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Decoupling Mechanism\Washington\3 Year Decoupling Evaluation\COS Analysis\Pricing\"/>
    </mc:Choice>
  </mc:AlternateContent>
  <xr:revisionPtr revIDLastSave="0" documentId="13_ncr:1_{DAC2D448-AA4A-4D78-810D-AB87CE663FF1}" xr6:coauthVersionLast="45" xr6:coauthVersionMax="45" xr10:uidLastSave="{00000000-0000-0000-0000-000000000000}"/>
  <bookViews>
    <workbookView xWindow="28680" yWindow="-120" windowWidth="25440" windowHeight="15990" tabRatio="684" activeTab="3" xr2:uid="{00000000-000D-0000-FFFF-FFFF00000000}"/>
  </bookViews>
  <sheets>
    <sheet name="Comparison" sheetId="12751" r:id="rId1"/>
    <sheet name="Table 1-Revenues" sheetId="12733" r:id="rId2"/>
    <sheet name="Table 1 - kWh" sheetId="12732" r:id="rId3"/>
    <sheet name="Table 2" sheetId="12711" r:id="rId4"/>
    <sheet name="Table 3" sheetId="12709" r:id="rId5"/>
    <sheet name="305 Inputs" sheetId="12780" r:id="rId6"/>
    <sheet name="305 Lookup" sheetId="12781" r:id="rId7"/>
    <sheet name="Jan - Mar Monthly 305 Revenue" sheetId="12764" state="hidden" r:id="rId8"/>
    <sheet name="WA SBC" sheetId="12767" r:id="rId9"/>
    <sheet name="WA Decoupling" sheetId="12782" r:id="rId10"/>
    <sheet name="SBC (Old)" sheetId="12761" state="hidden" r:id="rId11"/>
    <sheet name="Hydro Deferral" sheetId="12763" state="hidden" r:id="rId12"/>
    <sheet name="Temperature" sheetId="12750" r:id="rId13"/>
    <sheet name="TempAdjustmnts" sheetId="12769" r:id="rId14"/>
    <sheet name="Backed Out Revenue Totals" sheetId="12762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BACK1" localSheetId="11">#REF!</definedName>
    <definedName name="\BACK1" localSheetId="7">#REF!</definedName>
    <definedName name="\BLOCK" localSheetId="11">#REF!</definedName>
    <definedName name="\BLOCK" localSheetId="7">#REF!</definedName>
    <definedName name="\BLOCKT" localSheetId="11">#REF!</definedName>
    <definedName name="\BLOCKT" localSheetId="7">#REF!</definedName>
    <definedName name="\Z" localSheetId="11">#REF!</definedName>
    <definedName name="\Z" localSheetId="7">#REF!</definedName>
    <definedName name="__123Graph_A" localSheetId="5" hidden="1">[1]Inputs!#REF!</definedName>
    <definedName name="__123Graph_A" localSheetId="0" hidden="1">[2]Inputs!#REF!</definedName>
    <definedName name="__123Graph_A" localSheetId="11" hidden="1">[1]Inputs!#REF!</definedName>
    <definedName name="__123Graph_A" localSheetId="7" hidden="1">[1]Inputs!#REF!</definedName>
    <definedName name="__123Graph_A" localSheetId="8" hidden="1">'[3]OR Inputs'!#REF!</definedName>
    <definedName name="__123Graph_A" hidden="1">[1]Inputs!#REF!</definedName>
    <definedName name="__123Graph_B" localSheetId="5" hidden="1">[1]Inputs!#REF!</definedName>
    <definedName name="__123Graph_B" localSheetId="0" hidden="1">[2]Inputs!#REF!</definedName>
    <definedName name="__123Graph_B" localSheetId="11" hidden="1">[1]Inputs!#REF!</definedName>
    <definedName name="__123Graph_B" localSheetId="7" hidden="1">[1]Inputs!#REF!</definedName>
    <definedName name="__123Graph_B" localSheetId="8" hidden="1">'[3]OR Inputs'!#REF!</definedName>
    <definedName name="__123Graph_B" hidden="1">[1]Inputs!#REF!</definedName>
    <definedName name="__123Graph_D" localSheetId="5" hidden="1">[1]Inputs!#REF!</definedName>
    <definedName name="__123Graph_D" localSheetId="0" hidden="1">[2]Inputs!#REF!</definedName>
    <definedName name="__123Graph_D" localSheetId="11" hidden="1">[1]Inputs!#REF!</definedName>
    <definedName name="__123Graph_D" localSheetId="7" hidden="1">[1]Inputs!#REF!</definedName>
    <definedName name="__123Graph_D" localSheetId="8" hidden="1">'[3]OR Inputs'!#REF!</definedName>
    <definedName name="__123Graph_D" hidden="1">[1]Inputs!#REF!</definedName>
    <definedName name="_1Price_Ta" localSheetId="11">#REF!</definedName>
    <definedName name="_1Price_Ta" localSheetId="7">#REF!</definedName>
    <definedName name="_B" localSheetId="11">'[4]Rate Design'!#REF!</definedName>
    <definedName name="_B" localSheetId="7">'[4]Rate Design'!#REF!</definedName>
    <definedName name="_Fill" localSheetId="5" hidden="1">#REF!</definedName>
    <definedName name="_Fill" hidden="1">#REF!</definedName>
    <definedName name="_xlnm._FilterDatabase" localSheetId="5" hidden="1">'305 Inputs'!$B$4:$J$5</definedName>
    <definedName name="_xlnm._FilterDatabase" localSheetId="7" hidden="1">'Jan - Mar Monthly 305 Revenue'!$A$6:$D$110</definedName>
    <definedName name="_xlnm._FilterDatabase" localSheetId="3" hidden="1">'Table 2'!$F$10:$F$11</definedName>
    <definedName name="_xlnm._FilterDatabase" localSheetId="4" hidden="1">'Table 3'!#REF!</definedName>
    <definedName name="_Key1" localSheetId="5" hidden="1">#REF!</definedName>
    <definedName name="_Key1" localSheetId="11" hidden="1">#REF!</definedName>
    <definedName name="_Key1" localSheetId="7" hidden="1">#REF!</definedName>
    <definedName name="_Key1" hidden="1">#REF!</definedName>
    <definedName name="_Key2" localSheetId="5" hidden="1">#REF!</definedName>
    <definedName name="_Key2" localSheetId="11" hidden="1">#REF!</definedName>
    <definedName name="_Key2" localSheetId="7" hidden="1">#REF!</definedName>
    <definedName name="_Key2" hidden="1">#REF!</definedName>
    <definedName name="_Order1" hidden="1">0</definedName>
    <definedName name="_Order2" hidden="1">0</definedName>
    <definedName name="_P" localSheetId="11">#REF!</definedName>
    <definedName name="_P" localSheetId="7">#REF!</definedName>
    <definedName name="_Sort" localSheetId="5" hidden="1">#REF!</definedName>
    <definedName name="_Sort" localSheetId="11" hidden="1">#REF!</definedName>
    <definedName name="_Sort" localSheetId="7" hidden="1">#REF!</definedName>
    <definedName name="_Sort" hidden="1">#REF!</definedName>
    <definedName name="a" localSheetId="8" hidden="1">#REF!</definedName>
    <definedName name="a" hidden="1">'[1]DSM Output'!$J$21:$J$23</definedName>
    <definedName name="APR" localSheetId="11">[5]Backup!#REF!</definedName>
    <definedName name="APR" localSheetId="7">[5]Backup!#REF!</definedName>
    <definedName name="APRT" localSheetId="11">#REF!</definedName>
    <definedName name="APRT" localSheetId="7">#REF!</definedName>
    <definedName name="AUG" localSheetId="11">[5]Backup!#REF!</definedName>
    <definedName name="AUG" localSheetId="7">[5]Backup!#REF!</definedName>
    <definedName name="AUGT" localSheetId="11">#REF!</definedName>
    <definedName name="AUGT" localSheetId="7">#REF!</definedName>
    <definedName name="BACK1" localSheetId="11">#REF!</definedName>
    <definedName name="BACK1" localSheetId="7">#REF!</definedName>
    <definedName name="BACK2" localSheetId="11">#REF!</definedName>
    <definedName name="BACK2" localSheetId="7">#REF!</definedName>
    <definedName name="BACK3" localSheetId="11">#REF!</definedName>
    <definedName name="BACK3" localSheetId="7">#REF!</definedName>
    <definedName name="COMP" localSheetId="11">#REF!</definedName>
    <definedName name="COMP" localSheetId="7">#REF!</definedName>
    <definedName name="COMPT" localSheetId="11">#REF!</definedName>
    <definedName name="COMPT" localSheetId="7">#REF!</definedName>
    <definedName name="_xlnm.Database" localSheetId="11">[6]Invoice!#REF!</definedName>
    <definedName name="_xlnm.Database" localSheetId="7">[6]Invoice!#REF!</definedName>
    <definedName name="DEC" localSheetId="11">[5]Backup!#REF!</definedName>
    <definedName name="DEC" localSheetId="7">[5]Backup!#REF!</definedName>
    <definedName name="DECT" localSheetId="11">#REF!</definedName>
    <definedName name="DECT" localSheetId="7">#REF!</definedName>
    <definedName name="DUDE" localSheetId="5" hidden="1">#REF!</definedName>
    <definedName name="DUDE" localSheetId="11" hidden="1">#REF!</definedName>
    <definedName name="DUDE" localSheetId="7" hidden="1">#REF!</definedName>
    <definedName name="DUDE" hidden="1">#REF!</definedName>
    <definedName name="FEB" localSheetId="11">[5]Backup!#REF!</definedName>
    <definedName name="FEB" localSheetId="7">[5]Backup!#REF!</definedName>
    <definedName name="FEBT" localSheetId="11">#REF!</definedName>
    <definedName name="FEBT" localSheetId="7">#REF!</definedName>
    <definedName name="Func_Ftrs" localSheetId="11">#REF!</definedName>
    <definedName name="Func_Ftrs" localSheetId="7">#REF!</definedName>
    <definedName name="Func_GTD_Percents" localSheetId="11">#REF!</definedName>
    <definedName name="Func_GTD_Percents" localSheetId="7">#REF!</definedName>
    <definedName name="Func_MC" localSheetId="11">#REF!</definedName>
    <definedName name="Func_MC" localSheetId="7">#REF!</definedName>
    <definedName name="Func_Percents" localSheetId="11">#REF!</definedName>
    <definedName name="Func_Percents" localSheetId="7">#REF!</definedName>
    <definedName name="Func_Rev_Req1" localSheetId="11">#REF!</definedName>
    <definedName name="Func_Rev_Req1" localSheetId="7">#REF!</definedName>
    <definedName name="Func_Rev_Req2" localSheetId="11">#REF!</definedName>
    <definedName name="Func_Rev_Req2" localSheetId="7">#REF!</definedName>
    <definedName name="Func_Revenue" localSheetId="11">#REF!</definedName>
    <definedName name="Func_Revenue" localSheetId="7">#REF!</definedName>
    <definedName name="GTD_Percents" localSheetId="11">#REF!</definedName>
    <definedName name="GTD_Percents" localSheetId="7">#REF!</definedName>
    <definedName name="HEIGHT" localSheetId="11">#REF!</definedName>
    <definedName name="HEIGHT" localSheetId="7">#REF!</definedName>
    <definedName name="ID_0303_RVN_data" localSheetId="11">#REF!</definedName>
    <definedName name="ID_0303_RVN_data" localSheetId="7">#REF!</definedName>
    <definedName name="IDcontractsRVN" localSheetId="11">#REF!</definedName>
    <definedName name="IDcontractsRVN" localSheetId="7">#REF!</definedName>
    <definedName name="JAN" localSheetId="11">[5]Backup!#REF!</definedName>
    <definedName name="JAN" localSheetId="7">[5]Backup!#REF!</definedName>
    <definedName name="JANT" localSheetId="11">#REF!</definedName>
    <definedName name="JANT" localSheetId="7">#REF!</definedName>
    <definedName name="JUL" localSheetId="11">[5]Backup!#REF!</definedName>
    <definedName name="JUL" localSheetId="7">[5]Backup!#REF!</definedName>
    <definedName name="JULT" localSheetId="11">#REF!</definedName>
    <definedName name="JULT" localSheetId="7">#REF!</definedName>
    <definedName name="JUN" localSheetId="11">[5]Backup!#REF!</definedName>
    <definedName name="JUN" localSheetId="7">[5]Backup!#REF!</definedName>
    <definedName name="JUNT" localSheetId="11">#REF!</definedName>
    <definedName name="JUNT" localSheetId="7">#REF!</definedName>
    <definedName name="LABORMOD" localSheetId="11">#REF!</definedName>
    <definedName name="LABORMOD" localSheetId="7">#REF!</definedName>
    <definedName name="LABORROLL" localSheetId="11">#REF!</definedName>
    <definedName name="LABORROLL" localSheetId="7">#REF!</definedName>
    <definedName name="limcount" hidden="1">1</definedName>
    <definedName name="Line_Ext_Credit" localSheetId="11">#REF!</definedName>
    <definedName name="Line_Ext_Credit" localSheetId="7">#REF!</definedName>
    <definedName name="LOG" localSheetId="11">[5]Backup!#REF!</definedName>
    <definedName name="LOG" localSheetId="7">[5]Backup!#REF!</definedName>
    <definedName name="LOSS" localSheetId="11">[5]Backup!#REF!</definedName>
    <definedName name="LOSS" localSheetId="7">[5]Backup!#REF!</definedName>
    <definedName name="MAR" localSheetId="11">[5]Backup!#REF!</definedName>
    <definedName name="MAR" localSheetId="7">[5]Backup!#REF!</definedName>
    <definedName name="MART" localSheetId="11">#REF!</definedName>
    <definedName name="MART" localSheetId="7">#REF!</definedName>
    <definedName name="MAY" localSheetId="11">[5]Backup!#REF!</definedName>
    <definedName name="MAY" localSheetId="7">[5]Backup!#REF!</definedName>
    <definedName name="MAYT" localSheetId="11">#REF!</definedName>
    <definedName name="MAYT" localSheetId="7">#REF!</definedName>
    <definedName name="MCtoREV" localSheetId="11">#REF!</definedName>
    <definedName name="MCtoREV" localSheetId="7">#REF!</definedName>
    <definedName name="MONTH" localSheetId="11">[5]Backup!#REF!</definedName>
    <definedName name="MONTH" localSheetId="7">[5]Backup!#REF!</definedName>
    <definedName name="MULT" localSheetId="11">#REF!</definedName>
    <definedName name="MULT" localSheetId="7">#REF!</definedName>
    <definedName name="NORMALIZE" localSheetId="11">#REF!</definedName>
    <definedName name="NORMALIZE" localSheetId="7">#REF!</definedName>
    <definedName name="NOV" localSheetId="11">[5]Backup!#REF!</definedName>
    <definedName name="NOV" localSheetId="7">[5]Backup!#REF!</definedName>
    <definedName name="NOVT" localSheetId="11">#REF!</definedName>
    <definedName name="NOVT" localSheetId="7">#REF!</definedName>
    <definedName name="OCT" localSheetId="11">[5]Backup!#REF!</definedName>
    <definedName name="OCT" localSheetId="7">[5]Backup!#REF!</definedName>
    <definedName name="OCTT" localSheetId="11">#REF!</definedName>
    <definedName name="OCTT" localSheetId="7">#REF!</definedName>
    <definedName name="PAGE3" localSheetId="11">#REF!</definedName>
    <definedName name="PAGE3" localSheetId="7">#REF!</definedName>
    <definedName name="PMAC" localSheetId="11">[5]Backup!#REF!</definedName>
    <definedName name="PMAC" localSheetId="7">[5]Backup!#REF!</definedName>
    <definedName name="PRESENT" localSheetId="11">#REF!</definedName>
    <definedName name="PRESENT" localSheetId="7">#REF!</definedName>
    <definedName name="_xlnm.Print_Area" localSheetId="0">Comparison!$A$1:$M$29</definedName>
    <definedName name="_xlnm.Print_Area" localSheetId="2">'Table 1 - kWh'!$A$1:$G$34</definedName>
    <definedName name="_xlnm.Print_Area" localSheetId="1">'Table 1-Revenues'!$A$1:$N$32</definedName>
    <definedName name="_xlnm.Print_Area" localSheetId="3">'Table 2'!$A$1:$O$148</definedName>
    <definedName name="_xlnm.Print_Area" localSheetId="4">'Table 3'!$A$1:$V$145</definedName>
    <definedName name="_xlnm.Print_Area" localSheetId="8">'WA SBC'!#REF!</definedName>
    <definedName name="_xlnm.Print_Titles" localSheetId="3">'Table 2'!$A:$C,'Table 2'!$9:$11</definedName>
    <definedName name="_xlnm.Print_Titles" localSheetId="4">'Table 3'!$A:$D,'Table 3'!$9:$11</definedName>
    <definedName name="PTDMOD" localSheetId="11">#REF!</definedName>
    <definedName name="PTDMOD" localSheetId="7">#REF!</definedName>
    <definedName name="PTDROLL" localSheetId="11">#REF!</definedName>
    <definedName name="PTDROLL" localSheetId="7">#REF!</definedName>
    <definedName name="PTMOD" localSheetId="11">#REF!</definedName>
    <definedName name="PTMOD" localSheetId="7">#REF!</definedName>
    <definedName name="PTROLL" localSheetId="11">#REF!</definedName>
    <definedName name="PTROLL" localSheetId="7">#REF!</definedName>
    <definedName name="Query1" localSheetId="11">#REF!</definedName>
    <definedName name="Query1" localSheetId="7">#REF!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_by_month_take_2" localSheetId="11">#REF!</definedName>
    <definedName name="Revenue_by_month_take_2" localSheetId="7">#REF!</definedName>
    <definedName name="RevenueCheck" localSheetId="11">#REF!</definedName>
    <definedName name="RevenueCheck" localSheetId="7">#REF!</definedName>
    <definedName name="RISFORM" localSheetId="11">#REF!</definedName>
    <definedName name="RISFORM" localSheetId="7">#REF!</definedName>
    <definedName name="se" localSheetId="11">#REF!</definedName>
    <definedName name="se" localSheetId="7">#REF!</definedName>
    <definedName name="SEP" localSheetId="11">[5]Backup!#REF!</definedName>
    <definedName name="SEP" localSheetId="7">[5]Backup!#REF!</definedName>
    <definedName name="SEPT" localSheetId="11">#REF!</definedName>
    <definedName name="SEPT" localSheetId="7">#REF!</definedName>
    <definedName name="SERVICES_3" localSheetId="11">#REF!</definedName>
    <definedName name="SERVICES_3" localSheetId="7">#REF!</definedName>
    <definedName name="sg" localSheetId="11">#REF!</definedName>
    <definedName name="sg" localSheetId="7">#REF!</definedName>
    <definedName name="TABLE_1" localSheetId="11">#REF!</definedName>
    <definedName name="TABLE_1" localSheetId="7">#REF!</definedName>
    <definedName name="TABLE_2" localSheetId="11">#REF!</definedName>
    <definedName name="TABLE_2" localSheetId="7">#REF!</definedName>
    <definedName name="TABLE_3" localSheetId="11">#REF!</definedName>
    <definedName name="TABLE_3" localSheetId="7">#REF!</definedName>
    <definedName name="TABLE_4" localSheetId="11">#REF!</definedName>
    <definedName name="TABLE_4" localSheetId="7">#REF!</definedName>
    <definedName name="TABLE_4_A" localSheetId="11">#REF!</definedName>
    <definedName name="TABLE_4_A" localSheetId="7">#REF!</definedName>
    <definedName name="TABLE_5" localSheetId="11">#REF!</definedName>
    <definedName name="TABLE_5" localSheetId="7">#REF!</definedName>
    <definedName name="TABLE_6" localSheetId="11">#REF!</definedName>
    <definedName name="TABLE_6" localSheetId="7">#REF!</definedName>
    <definedName name="TABLE_7" localSheetId="11">#REF!</definedName>
    <definedName name="TABLE_7" localSheetId="7">#REF!</definedName>
    <definedName name="TABLEONE" localSheetId="11">#REF!</definedName>
    <definedName name="TABLEONE" localSheetId="7">#REF!</definedName>
    <definedName name="TDMOD" localSheetId="11">#REF!</definedName>
    <definedName name="TDMOD" localSheetId="7">#REF!</definedName>
    <definedName name="TDROLL" localSheetId="11">#REF!</definedName>
    <definedName name="TDROLL" localSheetId="7">#REF!</definedName>
    <definedName name="VAR" localSheetId="11">[5]Backup!#REF!</definedName>
    <definedName name="VAR" localSheetId="7">[5]Backup!#REF!</definedName>
    <definedName name="VOUCHER" localSheetId="11">#REF!</definedName>
    <definedName name="VOUCHER" localSheetId="7">#REF!</definedName>
    <definedName name="WIDTH" localSheetId="11">#REF!</definedName>
    <definedName name="WIDTH" localSheetId="7">#REF!</definedName>
    <definedName name="WORK1" localSheetId="11">#REF!</definedName>
    <definedName name="WORK1" localSheetId="7">#REF!</definedName>
    <definedName name="WORK2" localSheetId="11">#REF!</definedName>
    <definedName name="WORK2" localSheetId="7">#REF!</definedName>
    <definedName name="WORK3" localSheetId="11">#REF!</definedName>
    <definedName name="WORK3" localSheetId="7">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y" localSheetId="0" hidden="1">#REF!</definedName>
    <definedName name="y" localSheetId="8" hidden="1">#REF!</definedName>
    <definedName name="y" hidden="1">'[1]DSM Output'!$B$21:$B$23</definedName>
    <definedName name="Year" localSheetId="11">#REF!</definedName>
    <definedName name="Year" localSheetId="7">#REF!</definedName>
    <definedName name="z" localSheetId="0" hidden="1">#REF!</definedName>
    <definedName name="z" localSheetId="8" hidden="1">#REF!</definedName>
    <definedName name="z" hidden="1">'[1]DSM Output'!$G$21:$G$23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12711" l="1"/>
  <c r="E79" i="12711" l="1"/>
  <c r="F82" i="12709" l="1"/>
  <c r="F79" i="12709"/>
  <c r="F77" i="12709"/>
  <c r="F76" i="12709"/>
  <c r="F73" i="12709"/>
  <c r="F70" i="12709"/>
  <c r="F69" i="12709"/>
  <c r="F68" i="12709"/>
  <c r="J78" i="12711"/>
  <c r="H78" i="12711"/>
  <c r="I78" i="12711"/>
  <c r="E79" i="12709"/>
  <c r="E78" i="12709"/>
  <c r="P78" i="12709" l="1"/>
  <c r="L78" i="12709"/>
  <c r="H78" i="12709"/>
  <c r="G78" i="12709"/>
  <c r="J129" i="12709"/>
  <c r="J104" i="12709"/>
  <c r="J85" i="12709"/>
  <c r="J54" i="12709"/>
  <c r="J25" i="12709"/>
  <c r="G123" i="12709" l="1"/>
  <c r="G126" i="12709"/>
  <c r="G101" i="12709"/>
  <c r="G77" i="12709"/>
  <c r="G70" i="12709"/>
  <c r="G69" i="12709"/>
  <c r="G40" i="12709"/>
  <c r="G41" i="12709"/>
  <c r="G16" i="12709"/>
  <c r="G17" i="12709"/>
  <c r="I137" i="12780" l="1"/>
  <c r="J137" i="12780" s="1"/>
  <c r="I136" i="12780"/>
  <c r="J136" i="12780" s="1"/>
  <c r="I135" i="12780"/>
  <c r="J135" i="12780" s="1"/>
  <c r="I134" i="12780"/>
  <c r="J134" i="12780" s="1"/>
  <c r="I133" i="12780"/>
  <c r="J133" i="12780" s="1"/>
  <c r="I131" i="12780"/>
  <c r="J131" i="12780" s="1"/>
  <c r="I130" i="12780"/>
  <c r="J130" i="12780" s="1"/>
  <c r="I129" i="12780"/>
  <c r="J129" i="12780" s="1"/>
  <c r="I128" i="12780"/>
  <c r="J128" i="12780" s="1"/>
  <c r="I127" i="12780"/>
  <c r="J127" i="12780" s="1"/>
  <c r="I126" i="12780"/>
  <c r="J126" i="12780" s="1"/>
  <c r="I125" i="12780"/>
  <c r="J125" i="12780" s="1"/>
  <c r="I124" i="12780"/>
  <c r="J124" i="12780" s="1"/>
  <c r="I123" i="12780"/>
  <c r="J123" i="12780" s="1"/>
  <c r="I122" i="12780"/>
  <c r="J122" i="12780" s="1"/>
  <c r="I121" i="12780"/>
  <c r="J121" i="12780" s="1"/>
  <c r="I120" i="12780"/>
  <c r="J120" i="12780" s="1"/>
  <c r="I119" i="12780"/>
  <c r="J119" i="12780" s="1"/>
  <c r="I118" i="12780"/>
  <c r="J118" i="12780" s="1"/>
  <c r="I116" i="12780"/>
  <c r="J116" i="12780" s="1"/>
  <c r="I115" i="12780"/>
  <c r="J115" i="12780" s="1"/>
  <c r="I114" i="12780"/>
  <c r="J114" i="12780" s="1"/>
  <c r="I113" i="12780"/>
  <c r="J113" i="12780" s="1"/>
  <c r="I112" i="12780"/>
  <c r="J112" i="12780" s="1"/>
  <c r="I111" i="12780"/>
  <c r="J111" i="12780" s="1"/>
  <c r="I110" i="12780"/>
  <c r="J110" i="12780" s="1"/>
  <c r="I109" i="12780"/>
  <c r="J109" i="12780" s="1"/>
  <c r="I108" i="12780"/>
  <c r="J108" i="12780" s="1"/>
  <c r="I107" i="12780"/>
  <c r="J107" i="12780" s="1"/>
  <c r="I106" i="12780"/>
  <c r="J106" i="12780" s="1"/>
  <c r="I105" i="12780"/>
  <c r="J105" i="12780" s="1"/>
  <c r="I104" i="12780"/>
  <c r="J104" i="12780" s="1"/>
  <c r="I102" i="12780"/>
  <c r="J102" i="12780" s="1"/>
  <c r="I101" i="12780"/>
  <c r="J101" i="12780" s="1"/>
  <c r="I100" i="12780"/>
  <c r="J100" i="12780" s="1"/>
  <c r="I99" i="12780"/>
  <c r="J99" i="12780" s="1"/>
  <c r="I98" i="12780"/>
  <c r="J98" i="12780" s="1"/>
  <c r="I97" i="12780"/>
  <c r="J97" i="12780" s="1"/>
  <c r="I96" i="12780"/>
  <c r="J96" i="12780" s="1"/>
  <c r="I95" i="12780"/>
  <c r="J95" i="12780" s="1"/>
  <c r="I94" i="12780"/>
  <c r="J94" i="12780" s="1"/>
  <c r="I93" i="12780"/>
  <c r="J93" i="12780" s="1"/>
  <c r="I92" i="12780"/>
  <c r="J92" i="12780" s="1"/>
  <c r="I90" i="12780"/>
  <c r="J90" i="12780" s="1"/>
  <c r="I89" i="12780"/>
  <c r="J89" i="12780" s="1"/>
  <c r="I88" i="12780"/>
  <c r="J88" i="12780" s="1"/>
  <c r="I87" i="12780"/>
  <c r="J87" i="12780" s="1"/>
  <c r="I86" i="12780"/>
  <c r="J86" i="12780" s="1"/>
  <c r="I85" i="12780"/>
  <c r="J85" i="12780" s="1"/>
  <c r="I84" i="12780"/>
  <c r="J84" i="12780" s="1"/>
  <c r="I83" i="12780"/>
  <c r="J83" i="12780" s="1"/>
  <c r="I82" i="12780"/>
  <c r="J82" i="12780" s="1"/>
  <c r="I81" i="12780"/>
  <c r="J81" i="12780" s="1"/>
  <c r="I80" i="12780"/>
  <c r="J80" i="12780" s="1"/>
  <c r="I79" i="12780"/>
  <c r="J79" i="12780" s="1"/>
  <c r="I78" i="12780"/>
  <c r="J78" i="12780" s="1"/>
  <c r="I77" i="12780"/>
  <c r="J77" i="12780" s="1"/>
  <c r="I76" i="12780"/>
  <c r="J76" i="12780" s="1"/>
  <c r="I75" i="12780"/>
  <c r="J75" i="12780" s="1"/>
  <c r="I74" i="12780"/>
  <c r="J74" i="12780" s="1"/>
  <c r="I72" i="12780"/>
  <c r="J72" i="12780" s="1"/>
  <c r="I71" i="12780"/>
  <c r="J71" i="12780" s="1"/>
  <c r="I70" i="12780"/>
  <c r="J70" i="12780" s="1"/>
  <c r="I69" i="12780"/>
  <c r="J69" i="12780" s="1"/>
  <c r="I68" i="12780"/>
  <c r="J68" i="12780" s="1"/>
  <c r="I67" i="12780"/>
  <c r="J67" i="12780" s="1"/>
  <c r="I66" i="12780"/>
  <c r="J66" i="12780" s="1"/>
  <c r="I64" i="12780"/>
  <c r="J64" i="12780" s="1"/>
  <c r="I63" i="12780"/>
  <c r="J63" i="12780" s="1"/>
  <c r="I62" i="12780"/>
  <c r="J62" i="12780" s="1"/>
  <c r="I61" i="12780"/>
  <c r="J61" i="12780" s="1"/>
  <c r="I60" i="12780"/>
  <c r="J60" i="12780" s="1"/>
  <c r="I59" i="12780"/>
  <c r="J59" i="12780" s="1"/>
  <c r="I58" i="12780"/>
  <c r="J58" i="12780" s="1"/>
  <c r="I57" i="12780"/>
  <c r="J57" i="12780" s="1"/>
  <c r="I56" i="12780"/>
  <c r="J56" i="12780" s="1"/>
  <c r="I55" i="12780"/>
  <c r="J55" i="12780" s="1"/>
  <c r="I54" i="12780"/>
  <c r="J54" i="12780" s="1"/>
  <c r="I53" i="12780"/>
  <c r="J53" i="12780" s="1"/>
  <c r="I52" i="12780"/>
  <c r="J52" i="12780" s="1"/>
  <c r="I51" i="12780"/>
  <c r="J51" i="12780" s="1"/>
  <c r="I49" i="12780"/>
  <c r="J49" i="12780" s="1"/>
  <c r="I48" i="12780"/>
  <c r="J48" i="12780" s="1"/>
  <c r="I47" i="12780"/>
  <c r="J47" i="12780" s="1"/>
  <c r="I46" i="12780"/>
  <c r="J46" i="12780" s="1"/>
  <c r="I45" i="12780"/>
  <c r="J45" i="12780" s="1"/>
  <c r="I44" i="12780"/>
  <c r="J44" i="12780" s="1"/>
  <c r="I43" i="12780"/>
  <c r="J43" i="12780" s="1"/>
  <c r="I42" i="12780"/>
  <c r="J42" i="12780" s="1"/>
  <c r="I41" i="12780"/>
  <c r="J41" i="12780" s="1"/>
  <c r="I39" i="12780"/>
  <c r="J39" i="12780" s="1"/>
  <c r="I38" i="12780"/>
  <c r="J38" i="12780" s="1"/>
  <c r="I37" i="12780"/>
  <c r="J37" i="12780" s="1"/>
  <c r="I36" i="12780"/>
  <c r="J36" i="12780" s="1"/>
  <c r="I35" i="12780"/>
  <c r="J35" i="12780" s="1"/>
  <c r="I34" i="12780"/>
  <c r="J34" i="12780" s="1"/>
  <c r="I33" i="12780"/>
  <c r="J33" i="12780" s="1"/>
  <c r="I32" i="12780"/>
  <c r="J32" i="12780" s="1"/>
  <c r="I31" i="12780"/>
  <c r="J31" i="12780" s="1"/>
  <c r="I30" i="12780"/>
  <c r="J30" i="12780" s="1"/>
  <c r="I29" i="12780"/>
  <c r="J29" i="12780" s="1"/>
  <c r="I28" i="12780"/>
  <c r="J28" i="12780" s="1"/>
  <c r="I27" i="12780"/>
  <c r="J27" i="12780" s="1"/>
  <c r="I26" i="12780"/>
  <c r="J26" i="12780" s="1"/>
  <c r="I25" i="12780"/>
  <c r="J25" i="12780" s="1"/>
  <c r="I24" i="12780"/>
  <c r="J24" i="12780" s="1"/>
  <c r="I23" i="12780"/>
  <c r="J23" i="12780" s="1"/>
  <c r="I22" i="12780"/>
  <c r="J22" i="12780" s="1"/>
  <c r="I21" i="12780"/>
  <c r="J21" i="12780" s="1"/>
  <c r="I20" i="12780"/>
  <c r="J20" i="12780" s="1"/>
  <c r="I19" i="12780"/>
  <c r="J19" i="12780" s="1"/>
  <c r="I18" i="12780"/>
  <c r="J18" i="12780" s="1"/>
  <c r="I17" i="12780"/>
  <c r="J17" i="12780" s="1"/>
  <c r="I16" i="12780"/>
  <c r="J16" i="12780" s="1"/>
  <c r="I15" i="12780"/>
  <c r="J15" i="12780" s="1"/>
  <c r="I14" i="12780"/>
  <c r="J14" i="12780" s="1"/>
  <c r="I13" i="12780"/>
  <c r="J13" i="12780" s="1"/>
  <c r="I11" i="12780"/>
  <c r="J11" i="12780" s="1"/>
  <c r="I6" i="12780"/>
  <c r="J6" i="12780" s="1"/>
  <c r="I7" i="12780"/>
  <c r="J7" i="12780" s="1"/>
  <c r="I8" i="12780"/>
  <c r="J8" i="12780" s="1"/>
  <c r="I9" i="12780"/>
  <c r="J9" i="12780" s="1"/>
  <c r="I10" i="12780"/>
  <c r="J10" i="12780" s="1"/>
  <c r="I5" i="12780"/>
  <c r="J5" i="12780" s="1"/>
  <c r="Q41" i="12767"/>
  <c r="F19" i="12782"/>
  <c r="F20" i="12782"/>
  <c r="F21" i="12782"/>
  <c r="F22" i="12782"/>
  <c r="F23" i="12782"/>
  <c r="F24" i="12782"/>
  <c r="F27" i="12782"/>
  <c r="F28" i="12782"/>
  <c r="F29" i="12782"/>
  <c r="F30" i="12782"/>
  <c r="F31" i="12782"/>
  <c r="F32" i="12782"/>
  <c r="F35" i="12782"/>
  <c r="F36" i="12782"/>
  <c r="F38" i="12782"/>
  <c r="F39" i="12782"/>
  <c r="F40" i="12782"/>
  <c r="F41" i="12782"/>
  <c r="F13" i="12782"/>
  <c r="F14" i="12782"/>
  <c r="F15" i="12782"/>
  <c r="F16" i="12782"/>
  <c r="F17" i="12782"/>
  <c r="F12" i="12782"/>
  <c r="D42" i="12782"/>
  <c r="E42" i="12782"/>
  <c r="C42" i="12782"/>
  <c r="F42" i="12782" s="1"/>
  <c r="D36" i="12782"/>
  <c r="E36" i="12782"/>
  <c r="C36" i="12782"/>
  <c r="D33" i="12782"/>
  <c r="F33" i="12782" s="1"/>
  <c r="E33" i="12782"/>
  <c r="C33" i="12782"/>
  <c r="D25" i="12782"/>
  <c r="E25" i="12782"/>
  <c r="C25" i="12782"/>
  <c r="F25" i="12782" s="1"/>
  <c r="D18" i="12782"/>
  <c r="E18" i="12782"/>
  <c r="C18" i="12782"/>
  <c r="F18" i="12782" s="1"/>
  <c r="E44" i="12782" l="1"/>
  <c r="D44" i="12782"/>
  <c r="C44" i="12782"/>
  <c r="F44" i="12782" l="1"/>
  <c r="M133" i="12711"/>
  <c r="H133" i="12711"/>
  <c r="F133" i="12711"/>
  <c r="I133" i="12711" s="1"/>
  <c r="F113" i="12711"/>
  <c r="I113" i="12711" s="1"/>
  <c r="F112" i="12711"/>
  <c r="I112" i="12711" s="1"/>
  <c r="M112" i="12711"/>
  <c r="M113" i="12711"/>
  <c r="F91" i="12711"/>
  <c r="H91" i="12711"/>
  <c r="M91" i="12711"/>
  <c r="F92" i="12711"/>
  <c r="H92" i="12711"/>
  <c r="M92" i="12711"/>
  <c r="M60" i="12711"/>
  <c r="M61" i="12711"/>
  <c r="H60" i="12711"/>
  <c r="H61" i="12711"/>
  <c r="F60" i="12711"/>
  <c r="F61" i="12711"/>
  <c r="M31" i="12711"/>
  <c r="M32" i="12711"/>
  <c r="H32" i="12711"/>
  <c r="H31" i="12711"/>
  <c r="F31" i="12711"/>
  <c r="F32" i="12711"/>
  <c r="N133" i="12709"/>
  <c r="L133" i="12711" s="1"/>
  <c r="N113" i="12709"/>
  <c r="L113" i="12711" s="1"/>
  <c r="N112" i="12709"/>
  <c r="L112" i="12711" s="1"/>
  <c r="N92" i="12709"/>
  <c r="L92" i="12711" s="1"/>
  <c r="N91" i="12709"/>
  <c r="L91" i="12711" s="1"/>
  <c r="N61" i="12709"/>
  <c r="L61" i="12711" s="1"/>
  <c r="N60" i="12709"/>
  <c r="L60" i="12711" s="1"/>
  <c r="N32" i="12709"/>
  <c r="L32" i="12711" s="1"/>
  <c r="N31" i="12709"/>
  <c r="L31" i="12711" s="1"/>
  <c r="E122" i="12711"/>
  <c r="E123" i="12711"/>
  <c r="E124" i="12711"/>
  <c r="E125" i="12711"/>
  <c r="E126" i="12711"/>
  <c r="E121" i="12711"/>
  <c r="E101" i="12711"/>
  <c r="E100" i="12711"/>
  <c r="E82" i="12711"/>
  <c r="E77" i="12711"/>
  <c r="E76" i="12711"/>
  <c r="E73" i="12711"/>
  <c r="E70" i="12711"/>
  <c r="E69" i="12711"/>
  <c r="E68" i="12711"/>
  <c r="E51" i="12711"/>
  <c r="E50" i="12711"/>
  <c r="E47" i="12711"/>
  <c r="E44" i="12711"/>
  <c r="E41" i="12711"/>
  <c r="E40" i="12711"/>
  <c r="E39" i="12711"/>
  <c r="E22" i="12711"/>
  <c r="E14" i="12711"/>
  <c r="E15" i="12711"/>
  <c r="E16" i="12711"/>
  <c r="E17" i="12711"/>
  <c r="E18" i="12711"/>
  <c r="E19" i="12711"/>
  <c r="E13" i="12711"/>
  <c r="I32" i="12711" l="1"/>
  <c r="B17" i="12762"/>
  <c r="H154" i="12709"/>
  <c r="I31" i="12711"/>
  <c r="I91" i="12711"/>
  <c r="I61" i="12711"/>
  <c r="I92" i="12711"/>
  <c r="I60" i="12711"/>
  <c r="F63" i="12711"/>
  <c r="K48" i="12767" l="1"/>
  <c r="J48" i="12767"/>
  <c r="I48" i="12767"/>
  <c r="H48" i="12767"/>
  <c r="G48" i="12767"/>
  <c r="F48" i="12767"/>
  <c r="E48" i="12767"/>
  <c r="D48" i="12767"/>
  <c r="C48" i="12767"/>
  <c r="K41" i="12767"/>
  <c r="J41" i="12767"/>
  <c r="I41" i="12767"/>
  <c r="H41" i="12767"/>
  <c r="G41" i="12767"/>
  <c r="F41" i="12767"/>
  <c r="E41" i="12767"/>
  <c r="D41" i="12767"/>
  <c r="C41" i="12767"/>
  <c r="K37" i="12767"/>
  <c r="J37" i="12767"/>
  <c r="I37" i="12767"/>
  <c r="H37" i="12767"/>
  <c r="G37" i="12767"/>
  <c r="F37" i="12767"/>
  <c r="E37" i="12767"/>
  <c r="D37" i="12767"/>
  <c r="C37" i="12767"/>
  <c r="K28" i="12767"/>
  <c r="J28" i="12767"/>
  <c r="I28" i="12767"/>
  <c r="H28" i="12767"/>
  <c r="G28" i="12767"/>
  <c r="F28" i="12767"/>
  <c r="E28" i="12767"/>
  <c r="D28" i="12767"/>
  <c r="C28" i="12767"/>
  <c r="K20" i="12767"/>
  <c r="K50" i="12767" s="1"/>
  <c r="J20" i="12767"/>
  <c r="J50" i="12767" s="1"/>
  <c r="I20" i="12767"/>
  <c r="H20" i="12767"/>
  <c r="G20" i="12767"/>
  <c r="F20" i="12767"/>
  <c r="E20" i="12767"/>
  <c r="D20" i="12767"/>
  <c r="C20" i="12767"/>
  <c r="C50" i="12767" s="1"/>
  <c r="I50" i="12767" l="1"/>
  <c r="H50" i="12767"/>
  <c r="E50" i="12767"/>
  <c r="D50" i="12767"/>
  <c r="F50" i="12767"/>
  <c r="G50" i="12767"/>
  <c r="Q82" i="12750"/>
  <c r="P82" i="12750"/>
  <c r="C100" i="12750"/>
  <c r="F82" i="12750"/>
  <c r="E82" i="12750"/>
  <c r="H65" i="12750"/>
  <c r="G65" i="12750"/>
  <c r="F65" i="12750"/>
  <c r="F12" i="12750"/>
  <c r="E12" i="12750"/>
  <c r="L123" i="12709"/>
  <c r="L101" i="12709"/>
  <c r="L82" i="12709"/>
  <c r="L79" i="12709"/>
  <c r="L77" i="12709"/>
  <c r="L73" i="12709"/>
  <c r="L70" i="12709"/>
  <c r="L69" i="12709"/>
  <c r="L68" i="12709"/>
  <c r="L41" i="12709"/>
  <c r="L40" i="12709"/>
  <c r="L39" i="12709"/>
  <c r="L50" i="12709"/>
  <c r="L17" i="12709"/>
  <c r="L16" i="12709"/>
  <c r="L15" i="12709"/>
  <c r="L14" i="12709"/>
  <c r="L117" i="12709"/>
  <c r="L96" i="12709"/>
  <c r="L65" i="12709"/>
  <c r="L36" i="12709"/>
  <c r="Y17" i="12709" l="1"/>
  <c r="F13" i="12711" l="1"/>
  <c r="H89" i="12711" l="1"/>
  <c r="F89" i="12711"/>
  <c r="R89" i="12709"/>
  <c r="M89" i="12711" s="1"/>
  <c r="N89" i="12709"/>
  <c r="L89" i="12711" s="1"/>
  <c r="H19" i="12711"/>
  <c r="F19" i="12711"/>
  <c r="I89" i="12711" l="1"/>
  <c r="I19" i="12711"/>
  <c r="Y10" i="12709" l="1"/>
  <c r="R45" i="12767" l="1"/>
  <c r="G121" i="12709" s="1"/>
  <c r="R46" i="12767"/>
  <c r="G122" i="12709" s="1"/>
  <c r="R47" i="12767"/>
  <c r="G125" i="12709" s="1"/>
  <c r="R44" i="12767"/>
  <c r="G124" i="12709" s="1"/>
  <c r="R40" i="12767"/>
  <c r="G100" i="12709" s="1"/>
  <c r="R34" i="12767"/>
  <c r="G76" i="12709" s="1"/>
  <c r="R32" i="12767"/>
  <c r="G68" i="12709" s="1"/>
  <c r="R33" i="12767"/>
  <c r="G73" i="12709" s="1"/>
  <c r="R35" i="12767"/>
  <c r="G79" i="12709" s="1"/>
  <c r="R36" i="12767"/>
  <c r="R31" i="12767"/>
  <c r="G82" i="12709" s="1"/>
  <c r="R24" i="12767"/>
  <c r="G39" i="12709" s="1"/>
  <c r="R25" i="12767"/>
  <c r="G44" i="12709" s="1"/>
  <c r="R26" i="12767"/>
  <c r="G47" i="12709" s="1"/>
  <c r="R27" i="12767"/>
  <c r="G51" i="12709" s="1"/>
  <c r="R23" i="12767"/>
  <c r="G50" i="12709" s="1"/>
  <c r="L48" i="12767" l="1"/>
  <c r="M48" i="12767"/>
  <c r="N48" i="12767"/>
  <c r="O48" i="12767"/>
  <c r="P48" i="12767"/>
  <c r="Q48" i="12767"/>
  <c r="L41" i="12767"/>
  <c r="M41" i="12767"/>
  <c r="N41" i="12767"/>
  <c r="O41" i="12767"/>
  <c r="P41" i="12767"/>
  <c r="L37" i="12767"/>
  <c r="M37" i="12767"/>
  <c r="N37" i="12767"/>
  <c r="O37" i="12767"/>
  <c r="P37" i="12767"/>
  <c r="Q37" i="12767"/>
  <c r="M28" i="12767"/>
  <c r="L28" i="12767"/>
  <c r="N28" i="12767"/>
  <c r="O28" i="12767"/>
  <c r="P28" i="12767"/>
  <c r="Q28" i="12767"/>
  <c r="Y7" i="12709" l="1"/>
  <c r="E20" i="12711" l="1"/>
  <c r="F135" i="12711"/>
  <c r="F132" i="12711"/>
  <c r="F131" i="12711"/>
  <c r="F129" i="12711"/>
  <c r="F126" i="12711"/>
  <c r="F125" i="12711"/>
  <c r="F124" i="12711"/>
  <c r="F123" i="12711"/>
  <c r="F122" i="12711"/>
  <c r="F121" i="12711"/>
  <c r="F115" i="12711"/>
  <c r="F110" i="12711"/>
  <c r="F109" i="12711"/>
  <c r="F108" i="12711"/>
  <c r="F107" i="12711"/>
  <c r="F106" i="12711"/>
  <c r="F104" i="12711"/>
  <c r="F101" i="12711"/>
  <c r="F100" i="12711"/>
  <c r="F94" i="12711"/>
  <c r="F90" i="12711"/>
  <c r="F88" i="12711"/>
  <c r="F87" i="12711"/>
  <c r="F85" i="12711"/>
  <c r="F82" i="12711"/>
  <c r="F77" i="12711"/>
  <c r="F76" i="12711"/>
  <c r="F73" i="12711"/>
  <c r="F70" i="12711"/>
  <c r="F69" i="12711"/>
  <c r="F68" i="12711"/>
  <c r="F59" i="12711"/>
  <c r="F58" i="12711"/>
  <c r="F57" i="12711"/>
  <c r="F56" i="12711"/>
  <c r="F54" i="12711"/>
  <c r="F51" i="12711"/>
  <c r="F50" i="12711"/>
  <c r="F47" i="12711"/>
  <c r="F44" i="12711"/>
  <c r="F41" i="12711"/>
  <c r="F40" i="12711"/>
  <c r="F39" i="12711"/>
  <c r="F34" i="12711"/>
  <c r="F30" i="12711"/>
  <c r="F29" i="12711"/>
  <c r="F28" i="12711"/>
  <c r="F27" i="12711"/>
  <c r="F25" i="12711"/>
  <c r="F22" i="12711"/>
  <c r="F18" i="12711"/>
  <c r="F17" i="12711"/>
  <c r="F16" i="12711"/>
  <c r="F15" i="12711"/>
  <c r="F14" i="12711"/>
  <c r="F20" i="12711" l="1"/>
  <c r="U74" i="12750"/>
  <c r="T74" i="12750"/>
  <c r="S74" i="12750"/>
  <c r="U73" i="12750"/>
  <c r="T73" i="12750"/>
  <c r="S73" i="12750"/>
  <c r="U72" i="12750"/>
  <c r="T72" i="12750"/>
  <c r="S72" i="12750"/>
  <c r="U71" i="12750"/>
  <c r="T71" i="12750"/>
  <c r="S71" i="12750"/>
  <c r="U70" i="12750"/>
  <c r="T70" i="12750"/>
  <c r="S70" i="12750"/>
  <c r="U69" i="12750"/>
  <c r="T69" i="12750"/>
  <c r="S69" i="12750"/>
  <c r="U68" i="12750"/>
  <c r="T68" i="12750"/>
  <c r="S68" i="12750"/>
  <c r="U67" i="12750"/>
  <c r="T67" i="12750"/>
  <c r="S67" i="12750"/>
  <c r="U66" i="12750"/>
  <c r="T66" i="12750"/>
  <c r="S66" i="12750"/>
  <c r="U65" i="12750"/>
  <c r="T65" i="12750"/>
  <c r="S65" i="12750"/>
  <c r="U64" i="12750"/>
  <c r="T64" i="12750"/>
  <c r="S64" i="12750"/>
  <c r="U63" i="12750"/>
  <c r="T63" i="12750"/>
  <c r="S63" i="12750"/>
  <c r="F39" i="12750"/>
  <c r="F57" i="12750" s="1"/>
  <c r="E39" i="12750"/>
  <c r="E57" i="12750" s="1"/>
  <c r="F38" i="12750"/>
  <c r="F56" i="12750" s="1"/>
  <c r="E38" i="12750"/>
  <c r="E56" i="12750" s="1"/>
  <c r="F37" i="12750"/>
  <c r="F55" i="12750" s="1"/>
  <c r="E37" i="12750"/>
  <c r="E55" i="12750" s="1"/>
  <c r="F36" i="12750"/>
  <c r="F54" i="12750" s="1"/>
  <c r="E36" i="12750"/>
  <c r="E54" i="12750" s="1"/>
  <c r="F35" i="12750"/>
  <c r="F53" i="12750" s="1"/>
  <c r="E35" i="12750"/>
  <c r="E53" i="12750" s="1"/>
  <c r="F34" i="12750"/>
  <c r="F52" i="12750" s="1"/>
  <c r="E34" i="12750"/>
  <c r="E52" i="12750" s="1"/>
  <c r="F33" i="12750"/>
  <c r="F51" i="12750" s="1"/>
  <c r="E33" i="12750"/>
  <c r="E51" i="12750" s="1"/>
  <c r="F32" i="12750"/>
  <c r="F50" i="12750" s="1"/>
  <c r="E32" i="12750"/>
  <c r="E50" i="12750" s="1"/>
  <c r="F31" i="12750"/>
  <c r="F49" i="12750" s="1"/>
  <c r="E31" i="12750"/>
  <c r="E49" i="12750" s="1"/>
  <c r="F30" i="12750"/>
  <c r="F48" i="12750" s="1"/>
  <c r="E30" i="12750"/>
  <c r="E48" i="12750" s="1"/>
  <c r="F29" i="12750"/>
  <c r="F47" i="12750" s="1"/>
  <c r="E29" i="12750"/>
  <c r="E47" i="12750" s="1"/>
  <c r="F28" i="12750"/>
  <c r="F46" i="12750" s="1"/>
  <c r="E28" i="12750"/>
  <c r="E46" i="12750" s="1"/>
  <c r="P123" i="12709" l="1"/>
  <c r="P101" i="12709"/>
  <c r="P82" i="12709"/>
  <c r="P79" i="12709"/>
  <c r="P77" i="12709"/>
  <c r="P73" i="12709"/>
  <c r="P70" i="12709"/>
  <c r="P69" i="12709"/>
  <c r="P68" i="12709"/>
  <c r="P50" i="12709"/>
  <c r="P41" i="12709"/>
  <c r="P40" i="12709"/>
  <c r="P39" i="12709"/>
  <c r="P17" i="12709"/>
  <c r="P16" i="12709"/>
  <c r="P15" i="12709"/>
  <c r="P14" i="12709"/>
  <c r="P117" i="12709" l="1"/>
  <c r="P96" i="12709"/>
  <c r="P65" i="12709"/>
  <c r="P36" i="12709"/>
  <c r="Y14" i="12709"/>
  <c r="A4" i="12750" l="1"/>
  <c r="A6" i="12709"/>
  <c r="A6" i="12711"/>
  <c r="B6" i="12732"/>
  <c r="R37" i="12767" l="1"/>
  <c r="R48" i="12767" l="1"/>
  <c r="R41" i="12767"/>
  <c r="R28" i="12767"/>
  <c r="F127" i="12711"/>
  <c r="F137" i="12711" s="1"/>
  <c r="F52" i="12711"/>
  <c r="F23" i="12711"/>
  <c r="F36" i="12711" s="1"/>
  <c r="F102" i="12711"/>
  <c r="F83" i="12711"/>
  <c r="F74" i="12711"/>
  <c r="F45" i="12711"/>
  <c r="E71" i="12711"/>
  <c r="E42" i="12711"/>
  <c r="E23" i="12711"/>
  <c r="E102" i="12711"/>
  <c r="E83" i="12711"/>
  <c r="E74" i="12711"/>
  <c r="E48" i="12711"/>
  <c r="E45" i="12711"/>
  <c r="F48" i="12711" l="1"/>
  <c r="F42" i="12711"/>
  <c r="F71" i="12711"/>
  <c r="F80" i="12711"/>
  <c r="E52" i="12711"/>
  <c r="E80" i="12711"/>
  <c r="E127" i="12711"/>
  <c r="F117" i="12711"/>
  <c r="F65" i="12711" l="1"/>
  <c r="F96" i="12711"/>
  <c r="F140" i="12711" l="1"/>
  <c r="E12" i="12751" l="1"/>
  <c r="F12" i="12751" l="1"/>
  <c r="G12" i="12751" s="1"/>
  <c r="G127" i="12711" l="1"/>
  <c r="G137" i="12711" s="1"/>
  <c r="H135" i="12711"/>
  <c r="I135" i="12711" s="1"/>
  <c r="H132" i="12711"/>
  <c r="H131" i="12711"/>
  <c r="I131" i="12711" s="1"/>
  <c r="H129" i="12711"/>
  <c r="I129" i="12711" s="1"/>
  <c r="H126" i="12711"/>
  <c r="H125" i="12711"/>
  <c r="I125" i="12711" s="1"/>
  <c r="H124" i="12711"/>
  <c r="H123" i="12711"/>
  <c r="H122" i="12711"/>
  <c r="H121" i="12711"/>
  <c r="I121" i="12711" s="1"/>
  <c r="G80" i="12711"/>
  <c r="G71" i="12711"/>
  <c r="G23" i="12711"/>
  <c r="G52" i="12711"/>
  <c r="H101" i="12711"/>
  <c r="I115" i="12711"/>
  <c r="I111" i="12711"/>
  <c r="I110" i="12711"/>
  <c r="I109" i="12711"/>
  <c r="I108" i="12711"/>
  <c r="I107" i="12711"/>
  <c r="I106" i="12711"/>
  <c r="I104" i="12711"/>
  <c r="H79" i="12711"/>
  <c r="I79" i="12711" s="1"/>
  <c r="H77" i="12711"/>
  <c r="H76" i="12711"/>
  <c r="H94" i="12711"/>
  <c r="I94" i="12711" s="1"/>
  <c r="H90" i="12711"/>
  <c r="I90" i="12711" s="1"/>
  <c r="H88" i="12711"/>
  <c r="H87" i="12711"/>
  <c r="H85" i="12711"/>
  <c r="I85" i="12711" s="1"/>
  <c r="H82" i="12711"/>
  <c r="H73" i="12711"/>
  <c r="H70" i="12711"/>
  <c r="H69" i="12711"/>
  <c r="H68" i="12711"/>
  <c r="I68" i="12711" s="1"/>
  <c r="H63" i="12711"/>
  <c r="H59" i="12711"/>
  <c r="H58" i="12711"/>
  <c r="H57" i="12711"/>
  <c r="H56" i="12711"/>
  <c r="H54" i="12711"/>
  <c r="H51" i="12711"/>
  <c r="H50" i="12711"/>
  <c r="H34" i="12711"/>
  <c r="H30" i="12711"/>
  <c r="H29" i="12711"/>
  <c r="H28" i="12711"/>
  <c r="H27" i="12711"/>
  <c r="H25" i="12711"/>
  <c r="H22" i="12711"/>
  <c r="H23" i="12711" s="1"/>
  <c r="H41" i="12711"/>
  <c r="H40" i="12711"/>
  <c r="H16" i="12711"/>
  <c r="I16" i="12711" s="1"/>
  <c r="H17" i="12711"/>
  <c r="I17" i="12711" s="1"/>
  <c r="H52" i="12711" l="1"/>
  <c r="G96" i="12711"/>
  <c r="H80" i="12711"/>
  <c r="H71" i="12711"/>
  <c r="I76" i="12711"/>
  <c r="H127" i="12711"/>
  <c r="H137" i="12711" s="1"/>
  <c r="I88" i="12711"/>
  <c r="I25" i="12711"/>
  <c r="I30" i="12711"/>
  <c r="I73" i="12711"/>
  <c r="I74" i="12711" s="1"/>
  <c r="I87" i="12711"/>
  <c r="I82" i="12711"/>
  <c r="I83" i="12711" s="1"/>
  <c r="I58" i="12711"/>
  <c r="I27" i="12711"/>
  <c r="I28" i="12711"/>
  <c r="I34" i="12711"/>
  <c r="I29" i="12711"/>
  <c r="I51" i="12711"/>
  <c r="I54" i="12711"/>
  <c r="I57" i="12711"/>
  <c r="I63" i="12711"/>
  <c r="I124" i="12711"/>
  <c r="I56" i="12711"/>
  <c r="I59" i="12711"/>
  <c r="I126" i="12711"/>
  <c r="I132" i="12711"/>
  <c r="I50" i="12711"/>
  <c r="I22" i="12711"/>
  <c r="I23" i="12711" s="1"/>
  <c r="I69" i="12711"/>
  <c r="I77" i="12711"/>
  <c r="I70" i="12711"/>
  <c r="I123" i="12711"/>
  <c r="I122" i="12711"/>
  <c r="I101" i="12711"/>
  <c r="I41" i="12711"/>
  <c r="I40" i="12711"/>
  <c r="H96" i="12711" l="1"/>
  <c r="I80" i="12711"/>
  <c r="I52" i="12711"/>
  <c r="I71" i="12711"/>
  <c r="I127" i="12711"/>
  <c r="I137" i="12711" s="1"/>
  <c r="I96" i="12711" l="1"/>
  <c r="B10" i="12750"/>
  <c r="M81" i="12750" l="1"/>
  <c r="M82" i="12750"/>
  <c r="M83" i="12750"/>
  <c r="M84" i="12750"/>
  <c r="M85" i="12750"/>
  <c r="M86" i="12750"/>
  <c r="M87" i="12750"/>
  <c r="M88" i="12750"/>
  <c r="M89" i="12750"/>
  <c r="M90" i="12750"/>
  <c r="M91" i="12750"/>
  <c r="M80" i="12750"/>
  <c r="O81" i="12750" l="1"/>
  <c r="O85" i="12750"/>
  <c r="O89" i="12750"/>
  <c r="N81" i="12750"/>
  <c r="N85" i="12750"/>
  <c r="N89" i="12750"/>
  <c r="O82" i="12750"/>
  <c r="O86" i="12750"/>
  <c r="O90" i="12750"/>
  <c r="N82" i="12750"/>
  <c r="N86" i="12750"/>
  <c r="N90" i="12750"/>
  <c r="O83" i="12750"/>
  <c r="O87" i="12750"/>
  <c r="O91" i="12750"/>
  <c r="N83" i="12750"/>
  <c r="N87" i="12750"/>
  <c r="N91" i="12750"/>
  <c r="O84" i="12750"/>
  <c r="O88" i="12750"/>
  <c r="O80" i="12750"/>
  <c r="N84" i="12750"/>
  <c r="N88" i="12750"/>
  <c r="N80" i="12750"/>
  <c r="B91" i="12750"/>
  <c r="B81" i="12750"/>
  <c r="B82" i="12750"/>
  <c r="B83" i="12750"/>
  <c r="B84" i="12750"/>
  <c r="B85" i="12750"/>
  <c r="B86" i="12750"/>
  <c r="B87" i="12750"/>
  <c r="B88" i="12750"/>
  <c r="B89" i="12750"/>
  <c r="B90" i="12750"/>
  <c r="B80" i="12750"/>
  <c r="R80" i="12750" l="1"/>
  <c r="R83" i="12750"/>
  <c r="R90" i="12750"/>
  <c r="R81" i="12750"/>
  <c r="R84" i="12750"/>
  <c r="R91" i="12750"/>
  <c r="R82" i="12750"/>
  <c r="R89" i="12750"/>
  <c r="R88" i="12750"/>
  <c r="R86" i="12750"/>
  <c r="R87" i="12750"/>
  <c r="R85" i="12750"/>
  <c r="C82" i="12750"/>
  <c r="C84" i="12750"/>
  <c r="C86" i="12750"/>
  <c r="C88" i="12750"/>
  <c r="C90" i="12750"/>
  <c r="D80" i="12750"/>
  <c r="D84" i="12750"/>
  <c r="D88" i="12750"/>
  <c r="C80" i="12750"/>
  <c r="C81" i="12750"/>
  <c r="C83" i="12750"/>
  <c r="C85" i="12750"/>
  <c r="C87" i="12750"/>
  <c r="C89" i="12750"/>
  <c r="C91" i="12750"/>
  <c r="D81" i="12750"/>
  <c r="D83" i="12750"/>
  <c r="D85" i="12750"/>
  <c r="D87" i="12750"/>
  <c r="D89" i="12750"/>
  <c r="D91" i="12750"/>
  <c r="D82" i="12750"/>
  <c r="D86" i="12750"/>
  <c r="D90" i="12750"/>
  <c r="B92" i="12750"/>
  <c r="G86" i="12750" l="1"/>
  <c r="G45" i="12711"/>
  <c r="H44" i="12711"/>
  <c r="G90" i="12750"/>
  <c r="G91" i="12750"/>
  <c r="G83" i="12750"/>
  <c r="G82" i="12750"/>
  <c r="G89" i="12750"/>
  <c r="G81" i="12750"/>
  <c r="G84" i="12750"/>
  <c r="G85" i="12750"/>
  <c r="G88" i="12750"/>
  <c r="G87" i="12750"/>
  <c r="G80" i="12750"/>
  <c r="H45" i="12711" l="1"/>
  <c r="I44" i="12711"/>
  <c r="I45" i="12711" s="1"/>
  <c r="G92" i="12750"/>
  <c r="B99" i="12750" l="1"/>
  <c r="B100" i="12750"/>
  <c r="B101" i="12750"/>
  <c r="B102" i="12750"/>
  <c r="B103" i="12750"/>
  <c r="B104" i="12750"/>
  <c r="B105" i="12750"/>
  <c r="B106" i="12750"/>
  <c r="B107" i="12750"/>
  <c r="B108" i="12750"/>
  <c r="B109" i="12750"/>
  <c r="B98" i="12750"/>
  <c r="B47" i="12750"/>
  <c r="B48" i="12750"/>
  <c r="B49" i="12750"/>
  <c r="B50" i="12750"/>
  <c r="B51" i="12750"/>
  <c r="B52" i="12750"/>
  <c r="B53" i="12750"/>
  <c r="B54" i="12750"/>
  <c r="B55" i="12750"/>
  <c r="B56" i="12750"/>
  <c r="B57" i="12750"/>
  <c r="B46" i="12750"/>
  <c r="B29" i="12750"/>
  <c r="B30" i="12750"/>
  <c r="B31" i="12750"/>
  <c r="B32" i="12750"/>
  <c r="B33" i="12750"/>
  <c r="B34" i="12750"/>
  <c r="B35" i="12750"/>
  <c r="B36" i="12750"/>
  <c r="B37" i="12750"/>
  <c r="B38" i="12750"/>
  <c r="B39" i="12750"/>
  <c r="B28" i="12750"/>
  <c r="B11" i="12750" l="1"/>
  <c r="B12" i="12750"/>
  <c r="B13" i="12750"/>
  <c r="B14" i="12750"/>
  <c r="B15" i="12750"/>
  <c r="B16" i="12750"/>
  <c r="B17" i="12750"/>
  <c r="B18" i="12750"/>
  <c r="B19" i="12750"/>
  <c r="B20" i="12750"/>
  <c r="B21" i="12750"/>
  <c r="D99" i="12750" l="1"/>
  <c r="D100" i="12750"/>
  <c r="D101" i="12750"/>
  <c r="D102" i="12750"/>
  <c r="D103" i="12750"/>
  <c r="D104" i="12750"/>
  <c r="D105" i="12750"/>
  <c r="D106" i="12750"/>
  <c r="D107" i="12750"/>
  <c r="D108" i="12750"/>
  <c r="D98" i="12750"/>
  <c r="D109" i="12750"/>
  <c r="E26" i="12751"/>
  <c r="E25" i="12751"/>
  <c r="E23" i="12751"/>
  <c r="T79" i="12750" l="1"/>
  <c r="O92" i="12750" l="1"/>
  <c r="N92" i="12750"/>
  <c r="C92" i="12750"/>
  <c r="D92" i="12750"/>
  <c r="R92" i="12750" l="1"/>
  <c r="C18" i="12763"/>
  <c r="F18" i="12763" s="1"/>
  <c r="C49" i="12763" l="1"/>
  <c r="F49" i="12763" s="1"/>
  <c r="C48" i="12763" l="1"/>
  <c r="F48" i="12763" s="1"/>
  <c r="C47" i="12763"/>
  <c r="F47" i="12763" s="1"/>
  <c r="C46" i="12763"/>
  <c r="F46" i="12763" s="1"/>
  <c r="C45" i="12763"/>
  <c r="F45" i="12763" s="1"/>
  <c r="C44" i="12763"/>
  <c r="F44" i="12763" s="1"/>
  <c r="C43" i="12763"/>
  <c r="C39" i="12763"/>
  <c r="C38" i="12763"/>
  <c r="C37" i="12763"/>
  <c r="C36" i="12763"/>
  <c r="C35" i="12763"/>
  <c r="C34" i="12763"/>
  <c r="F34" i="12763" s="1"/>
  <c r="C30" i="12763"/>
  <c r="C29" i="12763"/>
  <c r="F29" i="12763" s="1"/>
  <c r="C25" i="12763"/>
  <c r="C24" i="12763"/>
  <c r="C23" i="12763"/>
  <c r="C22" i="12763"/>
  <c r="C21" i="12763"/>
  <c r="C20" i="12763"/>
  <c r="C19" i="12763"/>
  <c r="C14" i="12763"/>
  <c r="F14" i="12763" s="1"/>
  <c r="C13" i="12763"/>
  <c r="F13" i="12763" s="1"/>
  <c r="C12" i="12763"/>
  <c r="C11" i="12763"/>
  <c r="C10" i="12763"/>
  <c r="F10" i="12763" s="1"/>
  <c r="C9" i="12763"/>
  <c r="F9" i="12763" s="1"/>
  <c r="C8" i="12763"/>
  <c r="F8" i="12763" s="1"/>
  <c r="A4" i="12763"/>
  <c r="A3" i="12763"/>
  <c r="A2" i="12763"/>
  <c r="F11" i="12763" l="1"/>
  <c r="F43" i="12763"/>
  <c r="C50" i="12763"/>
  <c r="F12" i="12763"/>
  <c r="F36" i="12763"/>
  <c r="F38" i="12763"/>
  <c r="F35" i="12763"/>
  <c r="F37" i="12763"/>
  <c r="F30" i="12763"/>
  <c r="F19" i="12763"/>
  <c r="F21" i="12763"/>
  <c r="F23" i="12763"/>
  <c r="F25" i="12763"/>
  <c r="F20" i="12763"/>
  <c r="F22" i="12763"/>
  <c r="F24" i="12763"/>
  <c r="C31" i="12763"/>
  <c r="C15" i="12763"/>
  <c r="C40" i="12763"/>
  <c r="C26" i="12763"/>
  <c r="F52" i="12763" l="1"/>
  <c r="C52" i="12763"/>
  <c r="F54" i="12763" l="1"/>
  <c r="C12" i="12750"/>
  <c r="B40" i="12750"/>
  <c r="H14" i="12711" s="1"/>
  <c r="I14" i="12711" s="1"/>
  <c r="F27" i="12751"/>
  <c r="G26" i="12751"/>
  <c r="G25" i="12751"/>
  <c r="G24" i="12751"/>
  <c r="G23" i="12751"/>
  <c r="G22" i="12751"/>
  <c r="K129" i="12711"/>
  <c r="I127" i="12709"/>
  <c r="I137" i="12709" s="1"/>
  <c r="K104" i="12711"/>
  <c r="K85" i="12711"/>
  <c r="I71" i="12709"/>
  <c r="I74" i="12709"/>
  <c r="I80" i="12709"/>
  <c r="I83" i="12709"/>
  <c r="K54" i="12711"/>
  <c r="I48" i="12709"/>
  <c r="I52" i="12709"/>
  <c r="K25" i="12711"/>
  <c r="I23" i="12709"/>
  <c r="C16" i="12750"/>
  <c r="B22" i="12750"/>
  <c r="B58" i="12750"/>
  <c r="H15" i="12711" s="1"/>
  <c r="I15" i="12711" s="1"/>
  <c r="B110" i="12750"/>
  <c r="B18" i="12751"/>
  <c r="A2" i="12761"/>
  <c r="A3" i="12761"/>
  <c r="A4" i="12761"/>
  <c r="E7" i="12761"/>
  <c r="F7" i="12761" s="1"/>
  <c r="G7" i="12761" s="1"/>
  <c r="H7" i="12761" s="1"/>
  <c r="J7" i="12761"/>
  <c r="K7" i="12761" s="1"/>
  <c r="L7" i="12761" s="1"/>
  <c r="M7" i="12761" s="1"/>
  <c r="N7" i="12761" s="1"/>
  <c r="O8" i="12761"/>
  <c r="R8" i="12761" s="1"/>
  <c r="O9" i="12761"/>
  <c r="R9" i="12761" s="1"/>
  <c r="O10" i="12761"/>
  <c r="R10" i="12761" s="1"/>
  <c r="O11" i="12761"/>
  <c r="R11" i="12761" s="1"/>
  <c r="O12" i="12761"/>
  <c r="R12" i="12761" s="1"/>
  <c r="O13" i="12761"/>
  <c r="R13" i="12761" s="1"/>
  <c r="O14" i="12761"/>
  <c r="R14" i="12761" s="1"/>
  <c r="O15" i="12761"/>
  <c r="R15" i="12761" s="1"/>
  <c r="O16" i="12761"/>
  <c r="O17" i="12761"/>
  <c r="O18" i="12761"/>
  <c r="O19" i="12761"/>
  <c r="O20" i="12761"/>
  <c r="O21" i="12761"/>
  <c r="O22" i="12761"/>
  <c r="O23" i="12761"/>
  <c r="O24" i="12761"/>
  <c r="R24" i="12761" s="1"/>
  <c r="O25" i="12761"/>
  <c r="R25" i="12761" s="1"/>
  <c r="O26" i="12761"/>
  <c r="R26" i="12761" s="1"/>
  <c r="O27" i="12761"/>
  <c r="R27" i="12761" s="1"/>
  <c r="O28" i="12761"/>
  <c r="O29" i="12761"/>
  <c r="O30" i="12761"/>
  <c r="O31" i="12761"/>
  <c r="C33" i="12761"/>
  <c r="D33" i="12761"/>
  <c r="E33" i="12761"/>
  <c r="F33" i="12761"/>
  <c r="G33" i="12761"/>
  <c r="H33" i="12761"/>
  <c r="I33" i="12761"/>
  <c r="J33" i="12761"/>
  <c r="K33" i="12761"/>
  <c r="L33" i="12761"/>
  <c r="M33" i="12761"/>
  <c r="N33" i="12761"/>
  <c r="E35" i="12761"/>
  <c r="F35" i="12761" s="1"/>
  <c r="G35" i="12761" s="1"/>
  <c r="H35" i="12761" s="1"/>
  <c r="J35" i="12761"/>
  <c r="K35" i="12761" s="1"/>
  <c r="L35" i="12761" s="1"/>
  <c r="M35" i="12761" s="1"/>
  <c r="N35" i="12761" s="1"/>
  <c r="O36" i="12761"/>
  <c r="R36" i="12761" s="1"/>
  <c r="O37" i="12761"/>
  <c r="R37" i="12761" s="1"/>
  <c r="O38" i="12761"/>
  <c r="R38" i="12761" s="1"/>
  <c r="O39" i="12761"/>
  <c r="R39" i="12761" s="1"/>
  <c r="O40" i="12761"/>
  <c r="R40" i="12761" s="1"/>
  <c r="O41" i="12761"/>
  <c r="R41" i="12761" s="1"/>
  <c r="O42" i="12761"/>
  <c r="R42" i="12761" s="1"/>
  <c r="O43" i="12761"/>
  <c r="R43" i="12761" s="1"/>
  <c r="O44" i="12761"/>
  <c r="R44" i="12761" s="1"/>
  <c r="O45" i="12761"/>
  <c r="O46" i="12761"/>
  <c r="R46" i="12761" s="1"/>
  <c r="O47" i="12761"/>
  <c r="R47" i="12761" s="1"/>
  <c r="O48" i="12761"/>
  <c r="R48" i="12761" s="1"/>
  <c r="C54" i="12761"/>
  <c r="D54" i="12761"/>
  <c r="E54" i="12761"/>
  <c r="F54" i="12761"/>
  <c r="G54" i="12761"/>
  <c r="H54" i="12761"/>
  <c r="I54" i="12761"/>
  <c r="J54" i="12761"/>
  <c r="K54" i="12761"/>
  <c r="L54" i="12761"/>
  <c r="M54" i="12761"/>
  <c r="N54" i="12761"/>
  <c r="E56" i="12761"/>
  <c r="F56" i="12761" s="1"/>
  <c r="G56" i="12761" s="1"/>
  <c r="H56" i="12761" s="1"/>
  <c r="J56" i="12761"/>
  <c r="K56" i="12761" s="1"/>
  <c r="L56" i="12761" s="1"/>
  <c r="M56" i="12761" s="1"/>
  <c r="N56" i="12761" s="1"/>
  <c r="O57" i="12761"/>
  <c r="R57" i="12761" s="1"/>
  <c r="O58" i="12761"/>
  <c r="R58" i="12761" s="1"/>
  <c r="O59" i="12761"/>
  <c r="O60" i="12761"/>
  <c r="O61" i="12761"/>
  <c r="O62" i="12761"/>
  <c r="O63" i="12761"/>
  <c r="O64" i="12761"/>
  <c r="O65" i="12761"/>
  <c r="O66" i="12761"/>
  <c r="O67" i="12761"/>
  <c r="O68" i="12761"/>
  <c r="C69" i="12761"/>
  <c r="G69" i="12761" s="1"/>
  <c r="E71" i="12761"/>
  <c r="F71" i="12761" s="1"/>
  <c r="G71" i="12761" s="1"/>
  <c r="H71" i="12761" s="1"/>
  <c r="J71" i="12761"/>
  <c r="K71" i="12761" s="1"/>
  <c r="L71" i="12761" s="1"/>
  <c r="M71" i="12761" s="1"/>
  <c r="N71" i="12761" s="1"/>
  <c r="O72" i="12761"/>
  <c r="O81" i="12761" s="1"/>
  <c r="O73" i="12761"/>
  <c r="R73" i="12761"/>
  <c r="O74" i="12761"/>
  <c r="R74" i="12761"/>
  <c r="O75" i="12761"/>
  <c r="R75" i="12761"/>
  <c r="O76" i="12761"/>
  <c r="R76" i="12761"/>
  <c r="O77" i="12761"/>
  <c r="R77" i="12761"/>
  <c r="C81" i="12761"/>
  <c r="D81" i="12761"/>
  <c r="E81" i="12761"/>
  <c r="F81" i="12761"/>
  <c r="G81" i="12761"/>
  <c r="H81" i="12761"/>
  <c r="I81" i="12761"/>
  <c r="J81" i="12761"/>
  <c r="K81" i="12761"/>
  <c r="L81" i="12761"/>
  <c r="M81" i="12761"/>
  <c r="N81" i="12761"/>
  <c r="E83" i="12761"/>
  <c r="F83" i="12761" s="1"/>
  <c r="G83" i="12761" s="1"/>
  <c r="H83" i="12761" s="1"/>
  <c r="J83" i="12761"/>
  <c r="K83" i="12761" s="1"/>
  <c r="L83" i="12761" s="1"/>
  <c r="M83" i="12761" s="1"/>
  <c r="N83" i="12761" s="1"/>
  <c r="O84" i="12761"/>
  <c r="O85" i="12761"/>
  <c r="O86" i="12761"/>
  <c r="O87" i="12761"/>
  <c r="R87" i="12761" s="1"/>
  <c r="O88" i="12761"/>
  <c r="R88" i="12761" s="1"/>
  <c r="O89" i="12761"/>
  <c r="R89" i="12761" s="1"/>
  <c r="O90" i="12761"/>
  <c r="R90" i="12761" s="1"/>
  <c r="O91" i="12761"/>
  <c r="O92" i="12761"/>
  <c r="O93" i="12761"/>
  <c r="O94" i="12761"/>
  <c r="O95" i="12761"/>
  <c r="C97" i="12761"/>
  <c r="D97" i="12761"/>
  <c r="E97" i="12761"/>
  <c r="F97" i="12761"/>
  <c r="G97" i="12761"/>
  <c r="H97" i="12761"/>
  <c r="I97" i="12761"/>
  <c r="J97" i="12761"/>
  <c r="K97" i="12761"/>
  <c r="L97" i="12761"/>
  <c r="M97" i="12761"/>
  <c r="N97" i="12761"/>
  <c r="F23" i="12732"/>
  <c r="F24" i="12732"/>
  <c r="G45" i="12709"/>
  <c r="E27" i="12751"/>
  <c r="O54" i="12761" l="1"/>
  <c r="G102" i="12711"/>
  <c r="G117" i="12711" s="1"/>
  <c r="H100" i="12711"/>
  <c r="H13" i="12711"/>
  <c r="D19" i="12732"/>
  <c r="G27" i="12751"/>
  <c r="D12" i="12750"/>
  <c r="G12" i="12750" s="1"/>
  <c r="C20" i="12750"/>
  <c r="C19" i="12750"/>
  <c r="C11" i="12750"/>
  <c r="C15" i="12750"/>
  <c r="B65" i="12750"/>
  <c r="B70" i="12750"/>
  <c r="B63" i="12750"/>
  <c r="O63" i="12750"/>
  <c r="O67" i="12750"/>
  <c r="O72" i="12750"/>
  <c r="B67" i="12750"/>
  <c r="O70" i="12750"/>
  <c r="O64" i="12750"/>
  <c r="B71" i="12750"/>
  <c r="O74" i="12750"/>
  <c r="O73" i="12750"/>
  <c r="B69" i="12750"/>
  <c r="B74" i="12750"/>
  <c r="B64" i="12750"/>
  <c r="O66" i="12750"/>
  <c r="O71" i="12750"/>
  <c r="O65" i="12750"/>
  <c r="B73" i="12750"/>
  <c r="B68" i="12750"/>
  <c r="O69" i="12750"/>
  <c r="B66" i="12750"/>
  <c r="B72" i="12750"/>
  <c r="O68" i="12750"/>
  <c r="C21" i="12750"/>
  <c r="C17" i="12750"/>
  <c r="D13" i="12750"/>
  <c r="C18" i="12750"/>
  <c r="C14" i="12750"/>
  <c r="E20" i="12732"/>
  <c r="I96" i="12709"/>
  <c r="E18" i="12733" s="1"/>
  <c r="O97" i="12761"/>
  <c r="O69" i="12761"/>
  <c r="O33" i="12761"/>
  <c r="B119" i="12750"/>
  <c r="D50" i="12750"/>
  <c r="C54" i="12750"/>
  <c r="C50" i="12750"/>
  <c r="D57" i="12750"/>
  <c r="D55" i="12750"/>
  <c r="D53" i="12750"/>
  <c r="D51" i="12750"/>
  <c r="D49" i="12750"/>
  <c r="D47" i="12750"/>
  <c r="C57" i="12750"/>
  <c r="C55" i="12750"/>
  <c r="C53" i="12750"/>
  <c r="C51" i="12750"/>
  <c r="C49" i="12750"/>
  <c r="C47" i="12750"/>
  <c r="D56" i="12750"/>
  <c r="D54" i="12750"/>
  <c r="D52" i="12750"/>
  <c r="D48" i="12750"/>
  <c r="D46" i="12750"/>
  <c r="C56" i="12750"/>
  <c r="C52" i="12750"/>
  <c r="C48" i="12750"/>
  <c r="G48" i="12750" s="1"/>
  <c r="C46" i="12750"/>
  <c r="D38" i="12750"/>
  <c r="D34" i="12750"/>
  <c r="D30" i="12750"/>
  <c r="C38" i="12750"/>
  <c r="C34" i="12750"/>
  <c r="C30" i="12750"/>
  <c r="D39" i="12750"/>
  <c r="D37" i="12750"/>
  <c r="D35" i="12750"/>
  <c r="D33" i="12750"/>
  <c r="D31" i="12750"/>
  <c r="D29" i="12750"/>
  <c r="C39" i="12750"/>
  <c r="C37" i="12750"/>
  <c r="C35" i="12750"/>
  <c r="C33" i="12750"/>
  <c r="C31" i="12750"/>
  <c r="C29" i="12750"/>
  <c r="D36" i="12750"/>
  <c r="D32" i="12750"/>
  <c r="D28" i="12750"/>
  <c r="C36" i="12750"/>
  <c r="C32" i="12750"/>
  <c r="C28" i="12750"/>
  <c r="D21" i="12750"/>
  <c r="D20" i="12750"/>
  <c r="D19" i="12750"/>
  <c r="D18" i="12750"/>
  <c r="D17" i="12750"/>
  <c r="D16" i="12750"/>
  <c r="G16" i="12750" s="1"/>
  <c r="D15" i="12750"/>
  <c r="D14" i="12750"/>
  <c r="C13" i="12750"/>
  <c r="D11" i="12750"/>
  <c r="D10" i="12750"/>
  <c r="C10" i="12750"/>
  <c r="E20" i="12733"/>
  <c r="E18" i="12732"/>
  <c r="G48" i="12709"/>
  <c r="O99" i="12761"/>
  <c r="D110" i="12750"/>
  <c r="R86" i="12761"/>
  <c r="R97" i="12761" s="1"/>
  <c r="G127" i="12709"/>
  <c r="G74" i="12709"/>
  <c r="G83" i="12709"/>
  <c r="G80" i="12709"/>
  <c r="G102" i="12709"/>
  <c r="G42" i="12709"/>
  <c r="G52" i="12709"/>
  <c r="G52" i="12750" l="1"/>
  <c r="I13" i="12711"/>
  <c r="H102" i="12711"/>
  <c r="H117" i="12711" s="1"/>
  <c r="I100" i="12711"/>
  <c r="I102" i="12711" s="1"/>
  <c r="I117" i="12711" s="1"/>
  <c r="I102" i="12709"/>
  <c r="I117" i="12709" s="1"/>
  <c r="E19" i="12733" s="1"/>
  <c r="G15" i="12750"/>
  <c r="G11" i="12750"/>
  <c r="D20" i="12732"/>
  <c r="F20" i="12732" s="1"/>
  <c r="C11" i="12751" s="1"/>
  <c r="D16" i="12732"/>
  <c r="D18" i="12732"/>
  <c r="F18" i="12732" s="1"/>
  <c r="C9" i="12751" s="1"/>
  <c r="G17" i="12750"/>
  <c r="G14" i="12750"/>
  <c r="G20" i="12750"/>
  <c r="G18" i="12750"/>
  <c r="G19" i="12750"/>
  <c r="G21" i="12750"/>
  <c r="M92" i="12750"/>
  <c r="G36" i="12750"/>
  <c r="D40" i="12750"/>
  <c r="G13" i="12750"/>
  <c r="G33" i="12750"/>
  <c r="G37" i="12750"/>
  <c r="G53" i="12750"/>
  <c r="G57" i="12750"/>
  <c r="G39" i="12750"/>
  <c r="G47" i="12750"/>
  <c r="G55" i="12750"/>
  <c r="G50" i="12750"/>
  <c r="C40" i="12750"/>
  <c r="G38" i="12750"/>
  <c r="G35" i="12750"/>
  <c r="G32" i="12750"/>
  <c r="C72" i="12750"/>
  <c r="E72" i="12750"/>
  <c r="D72" i="12750"/>
  <c r="C68" i="12750"/>
  <c r="E68" i="12750"/>
  <c r="D68" i="12750"/>
  <c r="E67" i="12750"/>
  <c r="D67" i="12750"/>
  <c r="C67" i="12750"/>
  <c r="R72" i="12750"/>
  <c r="P72" i="12750"/>
  <c r="Q72" i="12750"/>
  <c r="Q74" i="12750"/>
  <c r="R74" i="12750"/>
  <c r="P74" i="12750"/>
  <c r="R71" i="12750"/>
  <c r="P71" i="12750"/>
  <c r="Q71" i="12750"/>
  <c r="E74" i="12750"/>
  <c r="C74" i="12750"/>
  <c r="D74" i="12750"/>
  <c r="E63" i="12750"/>
  <c r="D63" i="12750"/>
  <c r="B75" i="12750"/>
  <c r="C63" i="12750"/>
  <c r="D71" i="12750"/>
  <c r="C71" i="12750"/>
  <c r="E71" i="12750"/>
  <c r="G29" i="12750"/>
  <c r="G49" i="12750"/>
  <c r="D73" i="12750"/>
  <c r="C73" i="12750"/>
  <c r="E73" i="12750"/>
  <c r="D69" i="12750"/>
  <c r="C69" i="12750"/>
  <c r="E69" i="12750"/>
  <c r="Q70" i="12750"/>
  <c r="P70" i="12750"/>
  <c r="R70" i="12750"/>
  <c r="Q68" i="12750"/>
  <c r="R68" i="12750"/>
  <c r="P68" i="12750"/>
  <c r="Q66" i="12750"/>
  <c r="P66" i="12750"/>
  <c r="R66" i="12750"/>
  <c r="R67" i="12750"/>
  <c r="P67" i="12750"/>
  <c r="Q67" i="12750"/>
  <c r="E66" i="12750"/>
  <c r="C66" i="12750"/>
  <c r="D66" i="12750"/>
  <c r="P65" i="12750"/>
  <c r="Q65" i="12750"/>
  <c r="R65" i="12750"/>
  <c r="G31" i="12750"/>
  <c r="G34" i="12750"/>
  <c r="G51" i="12750"/>
  <c r="E70" i="12750"/>
  <c r="D70" i="12750"/>
  <c r="C70" i="12750"/>
  <c r="D65" i="12750"/>
  <c r="E65" i="12750"/>
  <c r="C65" i="12750"/>
  <c r="C64" i="12750"/>
  <c r="E64" i="12750"/>
  <c r="D64" i="12750"/>
  <c r="P69" i="12750"/>
  <c r="Q69" i="12750"/>
  <c r="R69" i="12750"/>
  <c r="Q64" i="12750"/>
  <c r="R64" i="12750"/>
  <c r="P64" i="12750"/>
  <c r="P73" i="12750"/>
  <c r="R73" i="12750"/>
  <c r="Q73" i="12750"/>
  <c r="C119" i="12750"/>
  <c r="G56" i="12750"/>
  <c r="D22" i="12750"/>
  <c r="G28" i="12750"/>
  <c r="G30" i="12750"/>
  <c r="G10" i="12750"/>
  <c r="C22" i="12750"/>
  <c r="G46" i="12750"/>
  <c r="C58" i="12750"/>
  <c r="D58" i="12750"/>
  <c r="G54" i="12750"/>
  <c r="G71" i="12709"/>
  <c r="I45" i="12709"/>
  <c r="D17" i="12732"/>
  <c r="H39" i="12711" l="1"/>
  <c r="G42" i="12711"/>
  <c r="H47" i="12711"/>
  <c r="G48" i="12711"/>
  <c r="B117" i="12750"/>
  <c r="C26" i="12751"/>
  <c r="L26" i="12751" s="1"/>
  <c r="L11" i="12751"/>
  <c r="C24" i="12751"/>
  <c r="I24" i="12751" s="1"/>
  <c r="G22" i="12750"/>
  <c r="I65" i="12750"/>
  <c r="I73" i="12750"/>
  <c r="V64" i="12750"/>
  <c r="I64" i="12750"/>
  <c r="I70" i="12750"/>
  <c r="I66" i="12750"/>
  <c r="I63" i="12750"/>
  <c r="I74" i="12750"/>
  <c r="V74" i="12750"/>
  <c r="V72" i="12750"/>
  <c r="G40" i="12750"/>
  <c r="V69" i="12750"/>
  <c r="V65" i="12750"/>
  <c r="V66" i="12750"/>
  <c r="V67" i="12750"/>
  <c r="I69" i="12750"/>
  <c r="I71" i="12750"/>
  <c r="V71" i="12750"/>
  <c r="I67" i="12750"/>
  <c r="I72" i="12750"/>
  <c r="V73" i="12750"/>
  <c r="V68" i="12750"/>
  <c r="V70" i="12750"/>
  <c r="E19" i="12732"/>
  <c r="F19" i="12732" s="1"/>
  <c r="I68" i="12750"/>
  <c r="G58" i="12750"/>
  <c r="C54" i="12763"/>
  <c r="D21" i="12732"/>
  <c r="D25" i="12732" s="1"/>
  <c r="I9" i="12751" l="1"/>
  <c r="G65" i="12711"/>
  <c r="I47" i="12711"/>
  <c r="I48" i="12711" s="1"/>
  <c r="H48" i="12711"/>
  <c r="H42" i="12711"/>
  <c r="I39" i="12711"/>
  <c r="I42" i="12711" s="1"/>
  <c r="L24" i="12751"/>
  <c r="C25" i="12751"/>
  <c r="L25" i="12751" s="1"/>
  <c r="C10" i="12751"/>
  <c r="I11" i="12751"/>
  <c r="I26" i="12751"/>
  <c r="L9" i="12751"/>
  <c r="I65" i="12711" l="1"/>
  <c r="H65" i="12711"/>
  <c r="I25" i="12751"/>
  <c r="L10" i="12751"/>
  <c r="I10" i="12751"/>
  <c r="C75" i="12750" l="1"/>
  <c r="E75" i="12750"/>
  <c r="R63" i="12750"/>
  <c r="R75" i="12750" s="1"/>
  <c r="Q63" i="12750"/>
  <c r="Q75" i="12750" s="1"/>
  <c r="I75" i="12750"/>
  <c r="C117" i="12750" s="1"/>
  <c r="D75" i="12750"/>
  <c r="O75" i="12750"/>
  <c r="G20" i="12711" s="1"/>
  <c r="P63" i="12750"/>
  <c r="H18" i="12711" l="1"/>
  <c r="H20" i="12711" s="1"/>
  <c r="G36" i="12711"/>
  <c r="G140" i="12711" s="1"/>
  <c r="B115" i="12750"/>
  <c r="D115" i="12750" s="1"/>
  <c r="P75" i="12750"/>
  <c r="V63" i="12750"/>
  <c r="V75" i="12750" s="1"/>
  <c r="I18" i="12711" l="1"/>
  <c r="H36" i="12711"/>
  <c r="H140" i="12711" s="1"/>
  <c r="C115" i="12750"/>
  <c r="E115" i="12750" s="1"/>
  <c r="I20" i="12711" l="1"/>
  <c r="I36" i="12711" s="1"/>
  <c r="I140" i="12711" s="1"/>
  <c r="I20" i="12709"/>
  <c r="E16" i="12732"/>
  <c r="F16" i="12732" s="1"/>
  <c r="E17" i="12732"/>
  <c r="I42" i="12709"/>
  <c r="I65" i="12709" s="1"/>
  <c r="I36" i="12709" l="1"/>
  <c r="E16" i="12733" s="1"/>
  <c r="C22" i="12751"/>
  <c r="L22" i="12751" s="1"/>
  <c r="C7" i="12751"/>
  <c r="E21" i="12732"/>
  <c r="E25" i="12732" s="1"/>
  <c r="F17" i="12732"/>
  <c r="C8" i="12751" s="1"/>
  <c r="E17" i="12733"/>
  <c r="E21" i="12733" l="1"/>
  <c r="E25" i="12733" s="1"/>
  <c r="I140" i="12709"/>
  <c r="I22" i="12751"/>
  <c r="I7" i="12751"/>
  <c r="L7" i="12751"/>
  <c r="F21" i="12732"/>
  <c r="F25" i="12732" s="1"/>
  <c r="C23" i="12751"/>
  <c r="L23" i="12751" l="1"/>
  <c r="C27" i="12751"/>
  <c r="L27" i="12751" s="1"/>
  <c r="I23" i="12751"/>
  <c r="I27" i="12751" s="1"/>
  <c r="L8" i="12751" l="1"/>
  <c r="C12" i="12751"/>
  <c r="I8" i="12751"/>
  <c r="L12" i="12751" l="1"/>
  <c r="I12" i="12751"/>
  <c r="R14" i="12767" l="1"/>
  <c r="G22" i="12709" s="1"/>
  <c r="R15" i="12767"/>
  <c r="G13" i="12709" s="1"/>
  <c r="R16" i="12767"/>
  <c r="G14" i="12709" s="1"/>
  <c r="R17" i="12767"/>
  <c r="G15" i="12709" s="1"/>
  <c r="R18" i="12767"/>
  <c r="G18" i="12709" s="1"/>
  <c r="R19" i="12767"/>
  <c r="G19" i="12709" s="1"/>
  <c r="L20" i="12767"/>
  <c r="M20" i="12767"/>
  <c r="M50" i="12767" s="1"/>
  <c r="N20" i="12767"/>
  <c r="N50" i="12767" s="1"/>
  <c r="O20" i="12767"/>
  <c r="O50" i="12767" s="1"/>
  <c r="P20" i="12767"/>
  <c r="P50" i="12767" s="1"/>
  <c r="Q20" i="12767"/>
  <c r="Q50" i="12767" s="1"/>
  <c r="R20" i="12767" l="1"/>
  <c r="G20" i="12709"/>
  <c r="G23" i="12709"/>
  <c r="L50" i="12767"/>
  <c r="R131" i="12709"/>
  <c r="M131" i="12711" s="1"/>
  <c r="R56" i="12709"/>
  <c r="M56" i="12711" s="1"/>
  <c r="R106" i="12709"/>
  <c r="M106" i="12711" s="1"/>
  <c r="R57" i="12709"/>
  <c r="M57" i="12711" s="1"/>
  <c r="R58" i="12709"/>
  <c r="M58" i="12711" s="1"/>
  <c r="R30" i="12709"/>
  <c r="M30" i="12711" s="1"/>
  <c r="N106" i="12709"/>
  <c r="L106" i="12711" s="1"/>
  <c r="R90" i="12709"/>
  <c r="M90" i="12711" s="1"/>
  <c r="N58" i="12709"/>
  <c r="L58" i="12711" s="1"/>
  <c r="R87" i="12709"/>
  <c r="M87" i="12711" s="1"/>
  <c r="R27" i="12709"/>
  <c r="M27" i="12711" s="1"/>
  <c r="R88" i="12709"/>
  <c r="M88" i="12711" s="1"/>
  <c r="R109" i="12709"/>
  <c r="M109" i="12711" s="1"/>
  <c r="R111" i="12709"/>
  <c r="M111" i="12711" s="1"/>
  <c r="N56" i="12709"/>
  <c r="L56" i="12711" s="1"/>
  <c r="N57" i="12709"/>
  <c r="L57" i="12711" s="1"/>
  <c r="R108" i="12709"/>
  <c r="M108" i="12711" s="1"/>
  <c r="R110" i="12709"/>
  <c r="M110" i="12711" s="1"/>
  <c r="R59" i="12709"/>
  <c r="M59" i="12711" s="1"/>
  <c r="N131" i="12709"/>
  <c r="L131" i="12711" s="1"/>
  <c r="N30" i="12709"/>
  <c r="L30" i="12711" s="1"/>
  <c r="R107" i="12709"/>
  <c r="M107" i="12711" s="1"/>
  <c r="N59" i="12709"/>
  <c r="L59" i="12711" s="1"/>
  <c r="N90" i="12709"/>
  <c r="L90" i="12711" s="1"/>
  <c r="N107" i="12709"/>
  <c r="L107" i="12711" s="1"/>
  <c r="N111" i="12709"/>
  <c r="L111" i="12711" s="1"/>
  <c r="R104" i="12709"/>
  <c r="M104" i="12711" s="1"/>
  <c r="R85" i="12709"/>
  <c r="M85" i="12711" s="1"/>
  <c r="R132" i="12709"/>
  <c r="M132" i="12711" s="1"/>
  <c r="R25" i="12709"/>
  <c r="M25" i="12711" s="1"/>
  <c r="N88" i="12709"/>
  <c r="L88" i="12711" s="1"/>
  <c r="R54" i="12709"/>
  <c r="M54" i="12711" s="1"/>
  <c r="N108" i="12709"/>
  <c r="L108" i="12711" s="1"/>
  <c r="R115" i="12709"/>
  <c r="M115" i="12711" s="1"/>
  <c r="R135" i="12709"/>
  <c r="M135" i="12711" s="1"/>
  <c r="R34" i="12709"/>
  <c r="M34" i="12711" s="1"/>
  <c r="N109" i="12709"/>
  <c r="L109" i="12711" s="1"/>
  <c r="N27" i="12709"/>
  <c r="L27" i="12711" s="1"/>
  <c r="N110" i="12709"/>
  <c r="L110" i="12711" s="1"/>
  <c r="N87" i="12709"/>
  <c r="L87" i="12711" s="1"/>
  <c r="R63" i="12709"/>
  <c r="M63" i="12711" s="1"/>
  <c r="R129" i="12709"/>
  <c r="M129" i="12711" s="1"/>
  <c r="R94" i="12709"/>
  <c r="M94" i="12711" s="1"/>
  <c r="N54" i="12709"/>
  <c r="L54" i="12711" s="1"/>
  <c r="N63" i="12709"/>
  <c r="N94" i="12709"/>
  <c r="N25" i="12709"/>
  <c r="N34" i="12709"/>
  <c r="N129" i="12709"/>
  <c r="L129" i="12711" s="1"/>
  <c r="N132" i="12709"/>
  <c r="L132" i="12711" s="1"/>
  <c r="N115" i="12709"/>
  <c r="N104" i="12709"/>
  <c r="N135" i="12709"/>
  <c r="N85" i="12709"/>
  <c r="L85" i="12711" s="1"/>
  <c r="R29" i="12709"/>
  <c r="M29" i="12711" s="1"/>
  <c r="R28" i="12709"/>
  <c r="M28" i="12711" s="1"/>
  <c r="N29" i="12709"/>
  <c r="L29" i="12711" s="1"/>
  <c r="N28" i="12709"/>
  <c r="L28" i="12711" s="1"/>
  <c r="E63" i="12711"/>
  <c r="B12" i="12762"/>
  <c r="E112" i="12711"/>
  <c r="E27" i="12711"/>
  <c r="E113" i="12711"/>
  <c r="E30" i="12711"/>
  <c r="E31" i="12711"/>
  <c r="E61" i="12711"/>
  <c r="B6" i="12762"/>
  <c r="E59" i="12711"/>
  <c r="E28" i="12711"/>
  <c r="E34" i="12711"/>
  <c r="E60" i="12711"/>
  <c r="E94" i="12711"/>
  <c r="B8" i="12762"/>
  <c r="E108" i="12711"/>
  <c r="E106" i="12711"/>
  <c r="B11" i="12762"/>
  <c r="B7" i="12762"/>
  <c r="E107" i="12711"/>
  <c r="E56" i="12711"/>
  <c r="B9" i="12762"/>
  <c r="E91" i="12711"/>
  <c r="B5" i="12762"/>
  <c r="E132" i="12711"/>
  <c r="B13" i="12762"/>
  <c r="E90" i="12711"/>
  <c r="E57" i="12711"/>
  <c r="E133" i="12711"/>
  <c r="E111" i="12711"/>
  <c r="E88" i="12711"/>
  <c r="E92" i="12711"/>
  <c r="E135" i="12711"/>
  <c r="E29" i="12711"/>
  <c r="B14" i="12762"/>
  <c r="E87" i="12711"/>
  <c r="E32" i="12711"/>
  <c r="E89" i="12711"/>
  <c r="E109" i="12711"/>
  <c r="E131" i="12711"/>
  <c r="E110" i="12711"/>
  <c r="E115" i="12711"/>
  <c r="B15" i="12762"/>
  <c r="E85" i="12711"/>
  <c r="H73" i="12709"/>
  <c r="H74" i="12709" s="1"/>
  <c r="E54" i="12711"/>
  <c r="H76" i="12709"/>
  <c r="H47" i="12709"/>
  <c r="H48" i="12709" s="1"/>
  <c r="B4" i="12762"/>
  <c r="H82" i="12709"/>
  <c r="H83" i="12709" s="1"/>
  <c r="H15" i="12709"/>
  <c r="E129" i="12711"/>
  <c r="E104" i="12711"/>
  <c r="H69" i="12709"/>
  <c r="E61" i="12709"/>
  <c r="E73" i="12709"/>
  <c r="E22" i="12709"/>
  <c r="E85" i="12709"/>
  <c r="K85" i="12709" s="1"/>
  <c r="E104" i="12709"/>
  <c r="J104" i="12711" s="1"/>
  <c r="E30" i="12709"/>
  <c r="H30" i="12709" s="1"/>
  <c r="J30" i="12709" s="1"/>
  <c r="E27" i="12709"/>
  <c r="E29" i="12709"/>
  <c r="E63" i="12709"/>
  <c r="E31" i="12709"/>
  <c r="E88" i="12709"/>
  <c r="H44" i="12709"/>
  <c r="H45" i="12709" s="1"/>
  <c r="E60" i="12709"/>
  <c r="E94" i="12709"/>
  <c r="E54" i="12709"/>
  <c r="J54" i="12711" s="1"/>
  <c r="E32" i="12709"/>
  <c r="G32" i="12709" s="1"/>
  <c r="E47" i="12709"/>
  <c r="E28" i="12709"/>
  <c r="E110" i="12709"/>
  <c r="H110" i="12709" s="1"/>
  <c r="J110" i="12709" s="1"/>
  <c r="E19" i="12709"/>
  <c r="H50" i="12709"/>
  <c r="H77" i="12709"/>
  <c r="E90" i="12709"/>
  <c r="H90" i="12709" s="1"/>
  <c r="J90" i="12709" s="1"/>
  <c r="E44" i="12709"/>
  <c r="E76" i="12709"/>
  <c r="E51" i="12709"/>
  <c r="E122" i="12709"/>
  <c r="H126" i="12709"/>
  <c r="E131" i="12709"/>
  <c r="G131" i="12709" s="1"/>
  <c r="E101" i="12709"/>
  <c r="E91" i="12709"/>
  <c r="G91" i="12709" s="1"/>
  <c r="J91" i="12709" s="1"/>
  <c r="E40" i="12709"/>
  <c r="E50" i="12709"/>
  <c r="H122" i="12709"/>
  <c r="E115" i="12709"/>
  <c r="E82" i="12709"/>
  <c r="H22" i="12709"/>
  <c r="H23" i="12709" s="1"/>
  <c r="H13" i="12709"/>
  <c r="E69" i="12709"/>
  <c r="E70" i="12709"/>
  <c r="H125" i="12709"/>
  <c r="E125" i="12709"/>
  <c r="E107" i="12709"/>
  <c r="G107" i="12709" s="1"/>
  <c r="J107" i="12709" s="1"/>
  <c r="E25" i="12711"/>
  <c r="H79" i="12709"/>
  <c r="E58" i="12709"/>
  <c r="E15" i="12709"/>
  <c r="E124" i="12709"/>
  <c r="E18" i="12709"/>
  <c r="E126" i="12709"/>
  <c r="E56" i="12709"/>
  <c r="H121" i="12709"/>
  <c r="H101" i="12709"/>
  <c r="H18" i="12709"/>
  <c r="E106" i="12709"/>
  <c r="E57" i="12709"/>
  <c r="E34" i="12709"/>
  <c r="H51" i="12709"/>
  <c r="E87" i="12709"/>
  <c r="G87" i="12709" s="1"/>
  <c r="J87" i="12709" s="1"/>
  <c r="H19" i="12709"/>
  <c r="E111" i="12709"/>
  <c r="H111" i="12709" s="1"/>
  <c r="J111" i="12709" s="1"/>
  <c r="E108" i="12709"/>
  <c r="G108" i="12709" s="1"/>
  <c r="J108" i="12709" s="1"/>
  <c r="H41" i="12709"/>
  <c r="E113" i="12709"/>
  <c r="G113" i="12709" s="1"/>
  <c r="J113" i="12709" s="1"/>
  <c r="H16" i="12709"/>
  <c r="E109" i="12709"/>
  <c r="H40" i="12709"/>
  <c r="E17" i="12709"/>
  <c r="H14" i="12709"/>
  <c r="E25" i="12709"/>
  <c r="E123" i="12709"/>
  <c r="E59" i="12709"/>
  <c r="H59" i="12709" s="1"/>
  <c r="J59" i="12709" s="1"/>
  <c r="H39" i="12709"/>
  <c r="H17" i="12709"/>
  <c r="E39" i="12709"/>
  <c r="F39" i="12709" s="1"/>
  <c r="H68" i="12709"/>
  <c r="E92" i="12709"/>
  <c r="H123" i="12709"/>
  <c r="E133" i="12709"/>
  <c r="E100" i="12709"/>
  <c r="E89" i="12709"/>
  <c r="G89" i="12709" s="1"/>
  <c r="J89" i="12709" s="1"/>
  <c r="H124" i="12709"/>
  <c r="E132" i="12709"/>
  <c r="G132" i="12709" s="1"/>
  <c r="J132" i="12709" s="1"/>
  <c r="E135" i="12709"/>
  <c r="H70" i="12709"/>
  <c r="E16" i="12709"/>
  <c r="E13" i="12709"/>
  <c r="E68" i="12709"/>
  <c r="E112" i="12709"/>
  <c r="G112" i="12709" s="1"/>
  <c r="J112" i="12709" s="1"/>
  <c r="E129" i="12709"/>
  <c r="K129" i="12709" s="1"/>
  <c r="O129" i="12709" s="1"/>
  <c r="E14" i="12709"/>
  <c r="F14" i="12709" s="1"/>
  <c r="J14" i="12709" s="1"/>
  <c r="E41" i="12709"/>
  <c r="E121" i="12709"/>
  <c r="H100" i="12709"/>
  <c r="E77" i="12709"/>
  <c r="J39" i="12709" l="1"/>
  <c r="F42" i="12709"/>
  <c r="F125" i="12709"/>
  <c r="J125" i="12709" s="1"/>
  <c r="K125" i="12709" s="1"/>
  <c r="M125" i="12709" s="1"/>
  <c r="N125" i="12709" s="1"/>
  <c r="F51" i="12709"/>
  <c r="J51" i="12709" s="1"/>
  <c r="F122" i="12709"/>
  <c r="J122" i="12709" s="1"/>
  <c r="K122" i="12709" s="1"/>
  <c r="M122" i="12709" s="1"/>
  <c r="N122" i="12709" s="1"/>
  <c r="J100" i="12711"/>
  <c r="F100" i="12709"/>
  <c r="F40" i="12709"/>
  <c r="J40" i="12709" s="1"/>
  <c r="K40" i="12711" s="1"/>
  <c r="F44" i="12709"/>
  <c r="J22" i="12711"/>
  <c r="J23" i="12711" s="1"/>
  <c r="F22" i="12709"/>
  <c r="K63" i="12709"/>
  <c r="O63" i="12709" s="1"/>
  <c r="F63" i="12709"/>
  <c r="J63" i="12709" s="1"/>
  <c r="K63" i="12711" s="1"/>
  <c r="F15" i="12709"/>
  <c r="J15" i="12709" s="1"/>
  <c r="K15" i="12709" s="1"/>
  <c r="M15" i="12709" s="1"/>
  <c r="N15" i="12709" s="1"/>
  <c r="O15" i="12709" s="1"/>
  <c r="Q15" i="12709" s="1"/>
  <c r="R15" i="12709" s="1"/>
  <c r="U15" i="12709" s="1"/>
  <c r="V15" i="12709" s="1"/>
  <c r="F19" i="12709"/>
  <c r="J19" i="12709" s="1"/>
  <c r="F115" i="12709"/>
  <c r="J115" i="12709" s="1"/>
  <c r="K115" i="12711" s="1"/>
  <c r="J68" i="12711"/>
  <c r="F34" i="12709"/>
  <c r="J34" i="12709" s="1"/>
  <c r="K34" i="12711" s="1"/>
  <c r="F123" i="12709"/>
  <c r="J123" i="12709" s="1"/>
  <c r="K123" i="12711" s="1"/>
  <c r="F16" i="12709"/>
  <c r="J16" i="12709" s="1"/>
  <c r="K16" i="12711" s="1"/>
  <c r="F94" i="12709"/>
  <c r="J94" i="12709" s="1"/>
  <c r="K94" i="12711" s="1"/>
  <c r="F17" i="12709"/>
  <c r="J17" i="12709" s="1"/>
  <c r="K17" i="12709" s="1"/>
  <c r="M17" i="12709" s="1"/>
  <c r="N17" i="12709" s="1"/>
  <c r="O17" i="12709" s="1"/>
  <c r="Q17" i="12709" s="1"/>
  <c r="R17" i="12709" s="1"/>
  <c r="U17" i="12709" s="1"/>
  <c r="V17" i="12709" s="1"/>
  <c r="F18" i="12709"/>
  <c r="J18" i="12709" s="1"/>
  <c r="K18" i="12709" s="1"/>
  <c r="M18" i="12709" s="1"/>
  <c r="N18" i="12709" s="1"/>
  <c r="F50" i="12709"/>
  <c r="F47" i="12709"/>
  <c r="F13" i="12709"/>
  <c r="F41" i="12709"/>
  <c r="J41" i="12709" s="1"/>
  <c r="F135" i="12709"/>
  <c r="J135" i="12709" s="1"/>
  <c r="K135" i="12711" s="1"/>
  <c r="J131" i="12709"/>
  <c r="K131" i="12709" s="1"/>
  <c r="O131" i="12709" s="1"/>
  <c r="S131" i="12709" s="1"/>
  <c r="R50" i="12767"/>
  <c r="B10" i="12762" s="1"/>
  <c r="U85" i="12709"/>
  <c r="V85" i="12709" s="1"/>
  <c r="S129" i="12709"/>
  <c r="O85" i="12709"/>
  <c r="S85" i="12709" s="1"/>
  <c r="L104" i="12711"/>
  <c r="N104" i="12711" s="1"/>
  <c r="O104" i="12711" s="1"/>
  <c r="U104" i="12709"/>
  <c r="L34" i="12711"/>
  <c r="N34" i="12711" s="1"/>
  <c r="U34" i="12709"/>
  <c r="V34" i="12709" s="1"/>
  <c r="L115" i="12711"/>
  <c r="L25" i="12711"/>
  <c r="N25" i="12711" s="1"/>
  <c r="U25" i="12709"/>
  <c r="V25" i="12709" s="1"/>
  <c r="U54" i="12709"/>
  <c r="N85" i="12711"/>
  <c r="J32" i="12709"/>
  <c r="U32" i="12709" s="1"/>
  <c r="S63" i="12709"/>
  <c r="L94" i="12711"/>
  <c r="U129" i="12709"/>
  <c r="V129" i="12709" s="1"/>
  <c r="N54" i="12711"/>
  <c r="O54" i="12711" s="1"/>
  <c r="L135" i="12711"/>
  <c r="L63" i="12711"/>
  <c r="U63" i="12709"/>
  <c r="V63" i="12709" s="1"/>
  <c r="N129" i="12711"/>
  <c r="E96" i="12711"/>
  <c r="J85" i="12711"/>
  <c r="K123" i="12709"/>
  <c r="M123" i="12709" s="1"/>
  <c r="N123" i="12709" s="1"/>
  <c r="L123" i="12711" s="1"/>
  <c r="E65" i="12711"/>
  <c r="H102" i="12709"/>
  <c r="H117" i="12709" s="1"/>
  <c r="E117" i="12711"/>
  <c r="E127" i="12709"/>
  <c r="E137" i="12709" s="1"/>
  <c r="E36" i="12711"/>
  <c r="E137" i="12711"/>
  <c r="C13" i="12762"/>
  <c r="H42" i="12709"/>
  <c r="G133" i="12709"/>
  <c r="K14" i="12711"/>
  <c r="U113" i="12709"/>
  <c r="V113" i="12709" s="1"/>
  <c r="K113" i="12711"/>
  <c r="N113" i="12711" s="1"/>
  <c r="U111" i="12709"/>
  <c r="V111" i="12709" s="1"/>
  <c r="K111" i="12711"/>
  <c r="N111" i="12711" s="1"/>
  <c r="U87" i="12709"/>
  <c r="V87" i="12709" s="1"/>
  <c r="K87" i="12711"/>
  <c r="N87" i="12711" s="1"/>
  <c r="K87" i="12709"/>
  <c r="O87" i="12709" s="1"/>
  <c r="S87" i="12709" s="1"/>
  <c r="U59" i="12709"/>
  <c r="V59" i="12709" s="1"/>
  <c r="K59" i="12711"/>
  <c r="N59" i="12711" s="1"/>
  <c r="K41" i="12711"/>
  <c r="K19" i="12711"/>
  <c r="K51" i="12711"/>
  <c r="K51" i="12709"/>
  <c r="M51" i="12709" s="1"/>
  <c r="N51" i="12709" s="1"/>
  <c r="U132" i="12709"/>
  <c r="V132" i="12709" s="1"/>
  <c r="K132" i="12711"/>
  <c r="N132" i="12711" s="1"/>
  <c r="U108" i="12709"/>
  <c r="V108" i="12709" s="1"/>
  <c r="K108" i="12711"/>
  <c r="N108" i="12711" s="1"/>
  <c r="U112" i="12709"/>
  <c r="V112" i="12709" s="1"/>
  <c r="K112" i="12711"/>
  <c r="N112" i="12711" s="1"/>
  <c r="U89" i="12709"/>
  <c r="V89" i="12709" s="1"/>
  <c r="K89" i="12711"/>
  <c r="N89" i="12711" s="1"/>
  <c r="K125" i="12711"/>
  <c r="U91" i="12709"/>
  <c r="V91" i="12709" s="1"/>
  <c r="K91" i="12711"/>
  <c r="N91" i="12711" s="1"/>
  <c r="E20" i="12709"/>
  <c r="J92" i="12711"/>
  <c r="E42" i="12709"/>
  <c r="K25" i="12709"/>
  <c r="O25" i="12709" s="1"/>
  <c r="S25" i="12709" s="1"/>
  <c r="J109" i="12711"/>
  <c r="K111" i="12709"/>
  <c r="O111" i="12709" s="1"/>
  <c r="S111" i="12709" s="1"/>
  <c r="J106" i="12711"/>
  <c r="H127" i="12709"/>
  <c r="H137" i="12709" s="1"/>
  <c r="J58" i="12711"/>
  <c r="U107" i="12709"/>
  <c r="V107" i="12709" s="1"/>
  <c r="K107" i="12711"/>
  <c r="N107" i="12711" s="1"/>
  <c r="J125" i="12711"/>
  <c r="G58" i="12709"/>
  <c r="E52" i="12709"/>
  <c r="J50" i="12711"/>
  <c r="K19" i="12709"/>
  <c r="M19" i="12709" s="1"/>
  <c r="N19" i="12709" s="1"/>
  <c r="J41" i="12711"/>
  <c r="J77" i="12711"/>
  <c r="E71" i="12709"/>
  <c r="J133" i="12711"/>
  <c r="H71" i="12709"/>
  <c r="K39" i="12709"/>
  <c r="K59" i="12709"/>
  <c r="O59" i="12709" s="1"/>
  <c r="S59" i="12709" s="1"/>
  <c r="J123" i="12711"/>
  <c r="J79" i="12711"/>
  <c r="J87" i="12711"/>
  <c r="J121" i="12711"/>
  <c r="J126" i="12711"/>
  <c r="H20" i="12709"/>
  <c r="H36" i="12709" s="1"/>
  <c r="U90" i="12709"/>
  <c r="V90" i="12709" s="1"/>
  <c r="K90" i="12711"/>
  <c r="N90" i="12711" s="1"/>
  <c r="K90" i="12709"/>
  <c r="O90" i="12709" s="1"/>
  <c r="S90" i="12709" s="1"/>
  <c r="J14" i="12711"/>
  <c r="J16" i="12711"/>
  <c r="J135" i="12711"/>
  <c r="J89" i="12711"/>
  <c r="K89" i="12709"/>
  <c r="O89" i="12709" s="1"/>
  <c r="S89" i="12709" s="1"/>
  <c r="J17" i="12711"/>
  <c r="J113" i="12711"/>
  <c r="K113" i="12709"/>
  <c r="O113" i="12709" s="1"/>
  <c r="S113" i="12709" s="1"/>
  <c r="J111" i="12711"/>
  <c r="J56" i="12711"/>
  <c r="G56" i="12709"/>
  <c r="J18" i="12711"/>
  <c r="J124" i="12711"/>
  <c r="J107" i="12711"/>
  <c r="J69" i="12711"/>
  <c r="E83" i="12709"/>
  <c r="J82" i="12711"/>
  <c r="J83" i="12711" s="1"/>
  <c r="J115" i="12711"/>
  <c r="K122" i="12711"/>
  <c r="K107" i="12709"/>
  <c r="O107" i="12709" s="1"/>
  <c r="S107" i="12709" s="1"/>
  <c r="U110" i="12709"/>
  <c r="V110" i="12709" s="1"/>
  <c r="K110" i="12711"/>
  <c r="N110" i="12711" s="1"/>
  <c r="U30" i="12709"/>
  <c r="V30" i="12709" s="1"/>
  <c r="K30" i="12711"/>
  <c r="N30" i="12711" s="1"/>
  <c r="J112" i="12711"/>
  <c r="J59" i="12711"/>
  <c r="K41" i="12709"/>
  <c r="M41" i="12709" s="1"/>
  <c r="N41" i="12709" s="1"/>
  <c r="K14" i="12709"/>
  <c r="M14" i="12709" s="1"/>
  <c r="N14" i="12709" s="1"/>
  <c r="J129" i="12711"/>
  <c r="J13" i="12711"/>
  <c r="J132" i="12711"/>
  <c r="K132" i="12709"/>
  <c r="O132" i="12709" s="1"/>
  <c r="S132" i="12709" s="1"/>
  <c r="E102" i="12709"/>
  <c r="E117" i="12709" s="1"/>
  <c r="G92" i="12709"/>
  <c r="J39" i="12711"/>
  <c r="J25" i="12711"/>
  <c r="G109" i="12709"/>
  <c r="J109" i="12709" s="1"/>
  <c r="J108" i="12711"/>
  <c r="K108" i="12709"/>
  <c r="O108" i="12709" s="1"/>
  <c r="S108" i="12709" s="1"/>
  <c r="J34" i="12711"/>
  <c r="J57" i="12711"/>
  <c r="G57" i="12709"/>
  <c r="J57" i="12709" s="1"/>
  <c r="G106" i="12709"/>
  <c r="J106" i="12709" s="1"/>
  <c r="K112" i="12709"/>
  <c r="O112" i="12709" s="1"/>
  <c r="S112" i="12709" s="1"/>
  <c r="J15" i="12711"/>
  <c r="J70" i="12711"/>
  <c r="J91" i="12711"/>
  <c r="K91" i="12709"/>
  <c r="O91" i="12709" s="1"/>
  <c r="S91" i="12709" s="1"/>
  <c r="U131" i="12709"/>
  <c r="V131" i="12709" s="1"/>
  <c r="K131" i="12711"/>
  <c r="N131" i="12711" s="1"/>
  <c r="J122" i="12711"/>
  <c r="E45" i="12709"/>
  <c r="J44" i="12711"/>
  <c r="J45" i="12711" s="1"/>
  <c r="J28" i="12711"/>
  <c r="E48" i="12709"/>
  <c r="J47" i="12711"/>
  <c r="J48" i="12711" s="1"/>
  <c r="V54" i="12709"/>
  <c r="K54" i="12709"/>
  <c r="O54" i="12709" s="1"/>
  <c r="S54" i="12709" s="1"/>
  <c r="J60" i="12711"/>
  <c r="G28" i="12709"/>
  <c r="J88" i="12711"/>
  <c r="J29" i="12711"/>
  <c r="G29" i="12709"/>
  <c r="G60" i="12709"/>
  <c r="J60" i="12709" s="1"/>
  <c r="J40" i="12711"/>
  <c r="J101" i="12711"/>
  <c r="J102" i="12711" s="1"/>
  <c r="J90" i="12711"/>
  <c r="J110" i="12711"/>
  <c r="K110" i="12709"/>
  <c r="O110" i="12709" s="1"/>
  <c r="S110" i="12709" s="1"/>
  <c r="J32" i="12711"/>
  <c r="V32" i="12709"/>
  <c r="J63" i="12711"/>
  <c r="E80" i="12709"/>
  <c r="J70" i="12709" s="1"/>
  <c r="H52" i="12709"/>
  <c r="J19" i="12711"/>
  <c r="J76" i="12711"/>
  <c r="J31" i="12711"/>
  <c r="J73" i="12711"/>
  <c r="J74" i="12711" s="1"/>
  <c r="E74" i="12709"/>
  <c r="J61" i="12711"/>
  <c r="G61" i="12709"/>
  <c r="G31" i="12709"/>
  <c r="K15" i="12711"/>
  <c r="J131" i="12711"/>
  <c r="J51" i="12711"/>
  <c r="J94" i="12711"/>
  <c r="G88" i="12709"/>
  <c r="J88" i="12709" s="1"/>
  <c r="J27" i="12711"/>
  <c r="G27" i="12709"/>
  <c r="J30" i="12711"/>
  <c r="K30" i="12709"/>
  <c r="O30" i="12709" s="1"/>
  <c r="S30" i="12709" s="1"/>
  <c r="K104" i="12709"/>
  <c r="O104" i="12709" s="1"/>
  <c r="S104" i="12709" s="1"/>
  <c r="V104" i="12709"/>
  <c r="H80" i="12709"/>
  <c r="E23" i="12709"/>
  <c r="K40" i="12709" l="1"/>
  <c r="M40" i="12709" s="1"/>
  <c r="N40" i="12709" s="1"/>
  <c r="K17" i="12711"/>
  <c r="N63" i="12711"/>
  <c r="N135" i="12711"/>
  <c r="J82" i="12709"/>
  <c r="K82" i="12709" s="1"/>
  <c r="F83" i="12709"/>
  <c r="K70" i="12709"/>
  <c r="M70" i="12709" s="1"/>
  <c r="N70" i="12709" s="1"/>
  <c r="L70" i="12711" s="1"/>
  <c r="K70" i="12711"/>
  <c r="J92" i="12709"/>
  <c r="U92" i="12709" s="1"/>
  <c r="V92" i="12709" s="1"/>
  <c r="K135" i="12709"/>
  <c r="O135" i="12709" s="1"/>
  <c r="S135" i="12709" s="1"/>
  <c r="K115" i="12709"/>
  <c r="O115" i="12709" s="1"/>
  <c r="S115" i="12709" s="1"/>
  <c r="J44" i="12709"/>
  <c r="K44" i="12709" s="1"/>
  <c r="F45" i="12709"/>
  <c r="J61" i="12709"/>
  <c r="U61" i="12709" s="1"/>
  <c r="V61" i="12709" s="1"/>
  <c r="J58" i="12709"/>
  <c r="K58" i="12711" s="1"/>
  <c r="N58" i="12711" s="1"/>
  <c r="O58" i="12711" s="1"/>
  <c r="J78" i="12709"/>
  <c r="K78" i="12711" s="1"/>
  <c r="J77" i="12709"/>
  <c r="K16" i="12709"/>
  <c r="M16" i="12709" s="1"/>
  <c r="N16" i="12709" s="1"/>
  <c r="L16" i="12711" s="1"/>
  <c r="U94" i="12709"/>
  <c r="V94" i="12709" s="1"/>
  <c r="U115" i="12709"/>
  <c r="V115" i="12709" s="1"/>
  <c r="J47" i="12709"/>
  <c r="J48" i="12709" s="1"/>
  <c r="F48" i="12709"/>
  <c r="F65" i="12709" s="1"/>
  <c r="K94" i="12709"/>
  <c r="O94" i="12709" s="1"/>
  <c r="S94" i="12709" s="1"/>
  <c r="F124" i="12709"/>
  <c r="J124" i="12709" s="1"/>
  <c r="F126" i="12709"/>
  <c r="J126" i="12709" s="1"/>
  <c r="J68" i="12709"/>
  <c r="J100" i="12709"/>
  <c r="F102" i="12709"/>
  <c r="F117" i="12709" s="1"/>
  <c r="J56" i="12709"/>
  <c r="U56" i="12709" s="1"/>
  <c r="V56" i="12709" s="1"/>
  <c r="J13" i="12709"/>
  <c r="F20" i="12709"/>
  <c r="J69" i="12709"/>
  <c r="K18" i="12711"/>
  <c r="N94" i="12711"/>
  <c r="N115" i="12711"/>
  <c r="O115" i="12711" s="1"/>
  <c r="J50" i="12709"/>
  <c r="F52" i="12709"/>
  <c r="F101" i="12709"/>
  <c r="J101" i="12709" s="1"/>
  <c r="J102" i="12709" s="1"/>
  <c r="K34" i="12709"/>
  <c r="O34" i="12709" s="1"/>
  <c r="S34" i="12709" s="1"/>
  <c r="J133" i="12709"/>
  <c r="K133" i="12709" s="1"/>
  <c r="O133" i="12709" s="1"/>
  <c r="S133" i="12709" s="1"/>
  <c r="U135" i="12709"/>
  <c r="V135" i="12709" s="1"/>
  <c r="J79" i="12709"/>
  <c r="F121" i="12709"/>
  <c r="J22" i="12709"/>
  <c r="K22" i="12709" s="1"/>
  <c r="F23" i="12709"/>
  <c r="H147" i="12709"/>
  <c r="G117" i="12709"/>
  <c r="K22" i="12711"/>
  <c r="K23" i="12711" s="1"/>
  <c r="O25" i="12711"/>
  <c r="K32" i="12709"/>
  <c r="O32" i="12709" s="1"/>
  <c r="L15" i="12711"/>
  <c r="H148" i="12709"/>
  <c r="K32" i="12711"/>
  <c r="N32" i="12711" s="1"/>
  <c r="O32" i="12711" s="1"/>
  <c r="L17" i="12711"/>
  <c r="O129" i="12711"/>
  <c r="O94" i="12711"/>
  <c r="O85" i="12711"/>
  <c r="O34" i="12711"/>
  <c r="O135" i="12711"/>
  <c r="G36" i="12709"/>
  <c r="H153" i="12709"/>
  <c r="J31" i="12709"/>
  <c r="U31" i="12709" s="1"/>
  <c r="V31" i="12709" s="1"/>
  <c r="H152" i="12709"/>
  <c r="O63" i="12711"/>
  <c r="G96" i="12709"/>
  <c r="H65" i="12709"/>
  <c r="K133" i="12711"/>
  <c r="N133" i="12711" s="1"/>
  <c r="O133" i="12711" s="1"/>
  <c r="J23" i="12709"/>
  <c r="O123" i="12709"/>
  <c r="Q123" i="12709" s="1"/>
  <c r="R123" i="12709" s="1"/>
  <c r="U123" i="12709" s="1"/>
  <c r="V123" i="12709" s="1"/>
  <c r="G137" i="12709"/>
  <c r="U133" i="12709"/>
  <c r="V133" i="12709" s="1"/>
  <c r="E140" i="12711"/>
  <c r="J80" i="12711"/>
  <c r="J71" i="12711"/>
  <c r="O108" i="12711"/>
  <c r="K45" i="12709"/>
  <c r="M44" i="12709"/>
  <c r="K42" i="12709"/>
  <c r="M39" i="12709"/>
  <c r="J27" i="12709"/>
  <c r="U88" i="12709"/>
  <c r="V88" i="12709" s="1"/>
  <c r="K88" i="12711"/>
  <c r="N88" i="12711" s="1"/>
  <c r="O88" i="12711" s="1"/>
  <c r="O131" i="12711"/>
  <c r="H149" i="12709"/>
  <c r="J42" i="12711"/>
  <c r="J20" i="12711"/>
  <c r="J36" i="12711" s="1"/>
  <c r="L41" i="12711"/>
  <c r="O41" i="12709"/>
  <c r="Q41" i="12709" s="1"/>
  <c r="R41" i="12709" s="1"/>
  <c r="U41" i="12709" s="1"/>
  <c r="V41" i="12709" s="1"/>
  <c r="H96" i="12709"/>
  <c r="E96" i="12709"/>
  <c r="K23" i="12709"/>
  <c r="M22" i="12709"/>
  <c r="O107" i="12711"/>
  <c r="O91" i="12711"/>
  <c r="O89" i="12711"/>
  <c r="L18" i="12711"/>
  <c r="O18" i="12709"/>
  <c r="Q18" i="12709" s="1"/>
  <c r="R18" i="12709" s="1"/>
  <c r="O132" i="12711"/>
  <c r="O59" i="12711"/>
  <c r="O111" i="12711"/>
  <c r="S17" i="12709"/>
  <c r="M17" i="12711"/>
  <c r="U60" i="12709"/>
  <c r="V60" i="12709" s="1"/>
  <c r="K60" i="12711"/>
  <c r="N60" i="12711" s="1"/>
  <c r="O60" i="12711" s="1"/>
  <c r="K60" i="12709"/>
  <c r="O60" i="12709" s="1"/>
  <c r="S60" i="12709" s="1"/>
  <c r="K100" i="12709"/>
  <c r="K100" i="12711"/>
  <c r="J117" i="12711"/>
  <c r="C19" i="12733" s="1"/>
  <c r="O40" i="12709"/>
  <c r="Q40" i="12709" s="1"/>
  <c r="R40" i="12709" s="1"/>
  <c r="U40" i="12709" s="1"/>
  <c r="V40" i="12709" s="1"/>
  <c r="L40" i="12711"/>
  <c r="L122" i="12711"/>
  <c r="O122" i="12709"/>
  <c r="Q122" i="12709" s="1"/>
  <c r="R122" i="12709" s="1"/>
  <c r="G65" i="12709"/>
  <c r="H151" i="12709"/>
  <c r="J29" i="12709"/>
  <c r="H150" i="12709"/>
  <c r="J28" i="12709"/>
  <c r="U109" i="12709"/>
  <c r="V109" i="12709" s="1"/>
  <c r="K109" i="12711"/>
  <c r="N109" i="12711" s="1"/>
  <c r="O109" i="12711" s="1"/>
  <c r="J127" i="12711"/>
  <c r="J137" i="12711" s="1"/>
  <c r="C20" i="12733" s="1"/>
  <c r="K109" i="12709"/>
  <c r="O109" i="12709" s="1"/>
  <c r="S109" i="12709" s="1"/>
  <c r="U58" i="12709"/>
  <c r="V58" i="12709" s="1"/>
  <c r="E65" i="12709"/>
  <c r="L125" i="12711"/>
  <c r="O125" i="12709"/>
  <c r="Q125" i="12709" s="1"/>
  <c r="R125" i="12709" s="1"/>
  <c r="U125" i="12709" s="1"/>
  <c r="V125" i="12709" s="1"/>
  <c r="O112" i="12711"/>
  <c r="O51" i="12709"/>
  <c r="Q51" i="12709" s="1"/>
  <c r="R51" i="12709" s="1"/>
  <c r="L51" i="12711"/>
  <c r="O87" i="12711"/>
  <c r="O113" i="12711"/>
  <c r="J45" i="12709"/>
  <c r="K44" i="12711"/>
  <c r="U57" i="12709"/>
  <c r="V57" i="12709" s="1"/>
  <c r="K57" i="12711"/>
  <c r="N57" i="12711" s="1"/>
  <c r="O57" i="12711" s="1"/>
  <c r="K57" i="12709"/>
  <c r="O57" i="12709" s="1"/>
  <c r="S57" i="12709" s="1"/>
  <c r="O110" i="12711"/>
  <c r="K88" i="12709"/>
  <c r="O88" i="12709" s="1"/>
  <c r="S88" i="12709" s="1"/>
  <c r="L14" i="12711"/>
  <c r="O14" i="12709"/>
  <c r="Q14" i="12709" s="1"/>
  <c r="R14" i="12709" s="1"/>
  <c r="U14" i="12709" s="1"/>
  <c r="V14" i="12709" s="1"/>
  <c r="O30" i="12711"/>
  <c r="O90" i="12711"/>
  <c r="J42" i="12709"/>
  <c r="K39" i="12711"/>
  <c r="L19" i="12711"/>
  <c r="O19" i="12709"/>
  <c r="Q19" i="12709" s="1"/>
  <c r="R19" i="12709" s="1"/>
  <c r="U19" i="12709" s="1"/>
  <c r="V19" i="12709" s="1"/>
  <c r="J52" i="12711"/>
  <c r="E36" i="12709"/>
  <c r="S15" i="12709"/>
  <c r="M15" i="12711"/>
  <c r="K47" i="12709" l="1"/>
  <c r="J83" i="12709"/>
  <c r="K82" i="12711"/>
  <c r="K83" i="12711" s="1"/>
  <c r="O70" i="12709"/>
  <c r="Q70" i="12709" s="1"/>
  <c r="R70" i="12709" s="1"/>
  <c r="U70" i="12709" s="1"/>
  <c r="V70" i="12709" s="1"/>
  <c r="F71" i="12709"/>
  <c r="J121" i="12709"/>
  <c r="F127" i="12709"/>
  <c r="F137" i="12709" s="1"/>
  <c r="J52" i="12709"/>
  <c r="K50" i="12709"/>
  <c r="K50" i="12711"/>
  <c r="K52" i="12711" s="1"/>
  <c r="K58" i="12709"/>
  <c r="O58" i="12709" s="1"/>
  <c r="S58" i="12709" s="1"/>
  <c r="K92" i="12709"/>
  <c r="O92" i="12709" s="1"/>
  <c r="S92" i="12709" s="1"/>
  <c r="K56" i="12709"/>
  <c r="O56" i="12709" s="1"/>
  <c r="S56" i="12709" s="1"/>
  <c r="K79" i="12709"/>
  <c r="M79" i="12709" s="1"/>
  <c r="N79" i="12709" s="1"/>
  <c r="K79" i="12711"/>
  <c r="K47" i="12711"/>
  <c r="K48" i="12711" s="1"/>
  <c r="J73" i="12709"/>
  <c r="F74" i="12709"/>
  <c r="K56" i="12711"/>
  <c r="N56" i="12711" s="1"/>
  <c r="O56" i="12711" s="1"/>
  <c r="J76" i="12709"/>
  <c r="F80" i="12709"/>
  <c r="K69" i="12711"/>
  <c r="K69" i="12709"/>
  <c r="M69" i="12709" s="1"/>
  <c r="N69" i="12709" s="1"/>
  <c r="J71" i="12709"/>
  <c r="K68" i="12711"/>
  <c r="K68" i="12709"/>
  <c r="K61" i="12709"/>
  <c r="O61" i="12709" s="1"/>
  <c r="S61" i="12709" s="1"/>
  <c r="K92" i="12711"/>
  <c r="N92" i="12711" s="1"/>
  <c r="O92" i="12711" s="1"/>
  <c r="K61" i="12711"/>
  <c r="N61" i="12711" s="1"/>
  <c r="O61" i="12711" s="1"/>
  <c r="O16" i="12709"/>
  <c r="Q16" i="12709" s="1"/>
  <c r="R16" i="12709" s="1"/>
  <c r="U16" i="12709" s="1"/>
  <c r="V16" i="12709" s="1"/>
  <c r="F36" i="12709"/>
  <c r="K126" i="12711"/>
  <c r="K126" i="12709"/>
  <c r="M126" i="12709" s="1"/>
  <c r="N126" i="12709" s="1"/>
  <c r="K77" i="12711"/>
  <c r="K77" i="12709"/>
  <c r="M77" i="12709" s="1"/>
  <c r="N77" i="12709" s="1"/>
  <c r="K101" i="12711"/>
  <c r="K102" i="12711" s="1"/>
  <c r="K101" i="12709"/>
  <c r="M101" i="12709" s="1"/>
  <c r="N101" i="12709" s="1"/>
  <c r="K13" i="12709"/>
  <c r="J20" i="12709"/>
  <c r="J36" i="12709" s="1"/>
  <c r="K13" i="12711"/>
  <c r="K20" i="12711" s="1"/>
  <c r="K124" i="12711"/>
  <c r="K124" i="12709"/>
  <c r="M124" i="12709" s="1"/>
  <c r="N124" i="12709" s="1"/>
  <c r="K78" i="12709"/>
  <c r="M78" i="12709" s="1"/>
  <c r="N78" i="12709" s="1"/>
  <c r="M16" i="12711"/>
  <c r="N16" i="12711" s="1"/>
  <c r="O16" i="12711" s="1"/>
  <c r="N15" i="12711"/>
  <c r="O15" i="12711" s="1"/>
  <c r="H140" i="12709"/>
  <c r="B16" i="12762" s="1"/>
  <c r="B18" i="12762" s="1"/>
  <c r="B19" i="12762" s="1"/>
  <c r="S16" i="12709"/>
  <c r="K31" i="12709"/>
  <c r="O31" i="12709" s="1"/>
  <c r="K31" i="12711"/>
  <c r="N31" i="12711" s="1"/>
  <c r="O31" i="12711" s="1"/>
  <c r="H155" i="12709"/>
  <c r="N17" i="12711"/>
  <c r="O17" i="12711" s="1"/>
  <c r="M70" i="12711"/>
  <c r="N70" i="12711" s="1"/>
  <c r="O70" i="12711" s="1"/>
  <c r="M123" i="12711"/>
  <c r="N123" i="12711" s="1"/>
  <c r="O123" i="12711" s="1"/>
  <c r="S123" i="12709"/>
  <c r="J96" i="12711"/>
  <c r="C18" i="12733" s="1"/>
  <c r="J65" i="12709"/>
  <c r="E140" i="12709"/>
  <c r="K45" i="12711"/>
  <c r="S51" i="12709"/>
  <c r="M51" i="12711"/>
  <c r="N51" i="12711" s="1"/>
  <c r="O51" i="12711" s="1"/>
  <c r="M40" i="12711"/>
  <c r="N40" i="12711" s="1"/>
  <c r="O40" i="12711" s="1"/>
  <c r="S40" i="12709"/>
  <c r="M47" i="12709"/>
  <c r="K48" i="12709"/>
  <c r="N39" i="12709"/>
  <c r="M42" i="12709"/>
  <c r="K102" i="12709"/>
  <c r="M100" i="12709"/>
  <c r="M18" i="12711"/>
  <c r="N18" i="12711" s="1"/>
  <c r="O18" i="12711" s="1"/>
  <c r="S18" i="12709"/>
  <c r="U18" i="12709"/>
  <c r="V18" i="12709" s="1"/>
  <c r="M23" i="12709"/>
  <c r="N22" i="12709"/>
  <c r="C16" i="12733"/>
  <c r="U106" i="12709"/>
  <c r="V106" i="12709" s="1"/>
  <c r="K106" i="12711"/>
  <c r="N106" i="12711" s="1"/>
  <c r="O106" i="12711" s="1"/>
  <c r="K106" i="12709"/>
  <c r="O106" i="12709" s="1"/>
  <c r="S106" i="12709" s="1"/>
  <c r="M45" i="12709"/>
  <c r="N44" i="12709"/>
  <c r="G140" i="12709"/>
  <c r="J65" i="12711"/>
  <c r="C17" i="12733" s="1"/>
  <c r="S19" i="12709"/>
  <c r="M19" i="12711"/>
  <c r="N19" i="12711" s="1"/>
  <c r="O19" i="12711" s="1"/>
  <c r="K83" i="12709"/>
  <c r="M82" i="12709"/>
  <c r="U28" i="12709"/>
  <c r="V28" i="12709" s="1"/>
  <c r="K28" i="12711"/>
  <c r="N28" i="12711" s="1"/>
  <c r="O28" i="12711" s="1"/>
  <c r="K28" i="12709"/>
  <c r="O28" i="12709" s="1"/>
  <c r="S28" i="12709" s="1"/>
  <c r="S14" i="12709"/>
  <c r="M14" i="12711"/>
  <c r="N14" i="12711" s="1"/>
  <c r="O14" i="12711" s="1"/>
  <c r="K42" i="12711"/>
  <c r="S125" i="12709"/>
  <c r="M125" i="12711"/>
  <c r="N125" i="12711" s="1"/>
  <c r="O125" i="12711" s="1"/>
  <c r="U29" i="12709"/>
  <c r="V29" i="12709" s="1"/>
  <c r="K29" i="12711"/>
  <c r="N29" i="12711" s="1"/>
  <c r="O29" i="12711" s="1"/>
  <c r="K29" i="12709"/>
  <c r="O29" i="12709" s="1"/>
  <c r="S29" i="12709" s="1"/>
  <c r="S122" i="12709"/>
  <c r="M122" i="12711"/>
  <c r="N122" i="12711" s="1"/>
  <c r="O122" i="12711" s="1"/>
  <c r="J117" i="12709"/>
  <c r="S41" i="12709"/>
  <c r="M41" i="12711"/>
  <c r="N41" i="12711" s="1"/>
  <c r="O41" i="12711" s="1"/>
  <c r="U27" i="12709"/>
  <c r="V27" i="12709" s="1"/>
  <c r="K27" i="12711"/>
  <c r="N27" i="12711" s="1"/>
  <c r="O27" i="12711" s="1"/>
  <c r="K27" i="12709"/>
  <c r="O27" i="12709" s="1"/>
  <c r="S27" i="12709" s="1"/>
  <c r="U122" i="12709"/>
  <c r="V122" i="12709" s="1"/>
  <c r="U51" i="12709"/>
  <c r="V51" i="12709" s="1"/>
  <c r="S70" i="12709" l="1"/>
  <c r="O78" i="12709"/>
  <c r="Q78" i="12709" s="1"/>
  <c r="R78" i="12709" s="1"/>
  <c r="L78" i="12711"/>
  <c r="K71" i="12711"/>
  <c r="F96" i="12709"/>
  <c r="F140" i="12709" s="1"/>
  <c r="U78" i="12709"/>
  <c r="V78" i="12709" s="1"/>
  <c r="L77" i="12711"/>
  <c r="O77" i="12709"/>
  <c r="Q77" i="12709" s="1"/>
  <c r="R77" i="12709" s="1"/>
  <c r="J80" i="12709"/>
  <c r="K76" i="12711"/>
  <c r="K80" i="12711" s="1"/>
  <c r="K76" i="12709"/>
  <c r="O124" i="12709"/>
  <c r="Q124" i="12709" s="1"/>
  <c r="R124" i="12709" s="1"/>
  <c r="L124" i="12711"/>
  <c r="M68" i="12709"/>
  <c r="K71" i="12709"/>
  <c r="M50" i="12709"/>
  <c r="K52" i="12709"/>
  <c r="K65" i="12709" s="1"/>
  <c r="M13" i="12709"/>
  <c r="K20" i="12709"/>
  <c r="K36" i="12709" s="1"/>
  <c r="O69" i="12709"/>
  <c r="Q69" i="12709" s="1"/>
  <c r="R69" i="12709" s="1"/>
  <c r="L69" i="12711"/>
  <c r="L126" i="12711"/>
  <c r="O126" i="12709"/>
  <c r="Q126" i="12709" s="1"/>
  <c r="R126" i="12709" s="1"/>
  <c r="K73" i="12709"/>
  <c r="J74" i="12709"/>
  <c r="K73" i="12711"/>
  <c r="K74" i="12711" s="1"/>
  <c r="O101" i="12709"/>
  <c r="Q101" i="12709" s="1"/>
  <c r="R101" i="12709" s="1"/>
  <c r="L101" i="12711"/>
  <c r="O79" i="12709"/>
  <c r="Q79" i="12709" s="1"/>
  <c r="R79" i="12709" s="1"/>
  <c r="L79" i="12711"/>
  <c r="J127" i="12709"/>
  <c r="J137" i="12709" s="1"/>
  <c r="K121" i="12709"/>
  <c r="K121" i="12711"/>
  <c r="K127" i="12711" s="1"/>
  <c r="K137" i="12711" s="1"/>
  <c r="D20" i="12733" s="1"/>
  <c r="F20" i="12733" s="1"/>
  <c r="G20" i="12733" s="1"/>
  <c r="K156" i="12709"/>
  <c r="K65" i="12711"/>
  <c r="D17" i="12733" s="1"/>
  <c r="F17" i="12733" s="1"/>
  <c r="G17" i="12733" s="1"/>
  <c r="K117" i="12711"/>
  <c r="D19" i="12733" s="1"/>
  <c r="F19" i="12733" s="1"/>
  <c r="G19" i="12733" s="1"/>
  <c r="N23" i="12709"/>
  <c r="L22" i="12711"/>
  <c r="O22" i="12709"/>
  <c r="M102" i="12709"/>
  <c r="M117" i="12709" s="1"/>
  <c r="N100" i="12709"/>
  <c r="K36" i="12711"/>
  <c r="C21" i="12733"/>
  <c r="C25" i="12733" s="1"/>
  <c r="K117" i="12709"/>
  <c r="O39" i="12709"/>
  <c r="N42" i="12709"/>
  <c r="L39" i="12711"/>
  <c r="M83" i="12709"/>
  <c r="N82" i="12709"/>
  <c r="L44" i="12711"/>
  <c r="N45" i="12709"/>
  <c r="O44" i="12709"/>
  <c r="J140" i="12711"/>
  <c r="N47" i="12709"/>
  <c r="M48" i="12709"/>
  <c r="J96" i="12709" l="1"/>
  <c r="J140" i="12709" s="1"/>
  <c r="S78" i="12709"/>
  <c r="M78" i="12711"/>
  <c r="N78" i="12711" s="1"/>
  <c r="O78" i="12711" s="1"/>
  <c r="K96" i="12711"/>
  <c r="D18" i="12733" s="1"/>
  <c r="F18" i="12733" s="1"/>
  <c r="G18" i="12733" s="1"/>
  <c r="M101" i="12711"/>
  <c r="N101" i="12711" s="1"/>
  <c r="O101" i="12711" s="1"/>
  <c r="U101" i="12709"/>
  <c r="V101" i="12709" s="1"/>
  <c r="S101" i="12709"/>
  <c r="M121" i="12709"/>
  <c r="K127" i="12709"/>
  <c r="K137" i="12709" s="1"/>
  <c r="U126" i="12709"/>
  <c r="V126" i="12709" s="1"/>
  <c r="S126" i="12709"/>
  <c r="M126" i="12711"/>
  <c r="N126" i="12711" s="1"/>
  <c r="O126" i="12711" s="1"/>
  <c r="M76" i="12709"/>
  <c r="K80" i="12709"/>
  <c r="M71" i="12709"/>
  <c r="N68" i="12709"/>
  <c r="K74" i="12709"/>
  <c r="M73" i="12709"/>
  <c r="U124" i="12709"/>
  <c r="V124" i="12709" s="1"/>
  <c r="S124" i="12709"/>
  <c r="M124" i="12711"/>
  <c r="N124" i="12711" s="1"/>
  <c r="O124" i="12711" s="1"/>
  <c r="U79" i="12709"/>
  <c r="V79" i="12709" s="1"/>
  <c r="S79" i="12709"/>
  <c r="M79" i="12711"/>
  <c r="N79" i="12711" s="1"/>
  <c r="O79" i="12711" s="1"/>
  <c r="N13" i="12709"/>
  <c r="M20" i="12709"/>
  <c r="M36" i="12709" s="1"/>
  <c r="N50" i="12709"/>
  <c r="M52" i="12709"/>
  <c r="M65" i="12709" s="1"/>
  <c r="U69" i="12709"/>
  <c r="V69" i="12709" s="1"/>
  <c r="S69" i="12709"/>
  <c r="M69" i="12711"/>
  <c r="N69" i="12711" s="1"/>
  <c r="O69" i="12711" s="1"/>
  <c r="U77" i="12709"/>
  <c r="V77" i="12709" s="1"/>
  <c r="S77" i="12709"/>
  <c r="M77" i="12711"/>
  <c r="N77" i="12711" s="1"/>
  <c r="O77" i="12711" s="1"/>
  <c r="N48" i="12709"/>
  <c r="L47" i="12711"/>
  <c r="O47" i="12709"/>
  <c r="O45" i="12709"/>
  <c r="Q44" i="12709"/>
  <c r="O42" i="12709"/>
  <c r="Q39" i="12709"/>
  <c r="D16" i="12733"/>
  <c r="L45" i="12711"/>
  <c r="L42" i="12711"/>
  <c r="N102" i="12709"/>
  <c r="N117" i="12709" s="1"/>
  <c r="H19" i="12733" s="1"/>
  <c r="I19" i="12733" s="1"/>
  <c r="L100" i="12711"/>
  <c r="O100" i="12709"/>
  <c r="O23" i="12709"/>
  <c r="Q22" i="12709"/>
  <c r="N83" i="12709"/>
  <c r="L82" i="12711"/>
  <c r="O82" i="12709"/>
  <c r="L23" i="12711"/>
  <c r="K140" i="12711" l="1"/>
  <c r="K96" i="12709"/>
  <c r="K140" i="12709" s="1"/>
  <c r="N121" i="12709"/>
  <c r="M127" i="12709"/>
  <c r="M137" i="12709" s="1"/>
  <c r="M74" i="12709"/>
  <c r="N73" i="12709"/>
  <c r="N52" i="12709"/>
  <c r="N65" i="12709" s="1"/>
  <c r="H17" i="12733" s="1"/>
  <c r="I17" i="12733" s="1"/>
  <c r="L50" i="12711"/>
  <c r="L52" i="12711" s="1"/>
  <c r="O50" i="12709"/>
  <c r="O68" i="12709"/>
  <c r="N71" i="12709"/>
  <c r="L68" i="12711"/>
  <c r="L71" i="12711" s="1"/>
  <c r="M80" i="12709"/>
  <c r="N76" i="12709"/>
  <c r="O13" i="12709"/>
  <c r="N20" i="12709"/>
  <c r="N36" i="12709" s="1"/>
  <c r="H16" i="12733" s="1"/>
  <c r="I16" i="12733" s="1"/>
  <c r="L13" i="12711"/>
  <c r="L20" i="12711" s="1"/>
  <c r="L36" i="12711" s="1"/>
  <c r="F16" i="12733"/>
  <c r="D21" i="12733"/>
  <c r="D25" i="12733" s="1"/>
  <c r="O48" i="12709"/>
  <c r="Q47" i="12709"/>
  <c r="L83" i="12711"/>
  <c r="O102" i="12709"/>
  <c r="O117" i="12709" s="1"/>
  <c r="Q100" i="12709"/>
  <c r="Q23" i="12709"/>
  <c r="R22" i="12709"/>
  <c r="L102" i="12711"/>
  <c r="L117" i="12711" s="1"/>
  <c r="L48" i="12711"/>
  <c r="O83" i="12709"/>
  <c r="Q82" i="12709"/>
  <c r="R39" i="12709"/>
  <c r="Q42" i="12709"/>
  <c r="Q45" i="12709"/>
  <c r="R44" i="12709"/>
  <c r="O20" i="12709" l="1"/>
  <c r="O36" i="12709" s="1"/>
  <c r="Q13" i="12709"/>
  <c r="L73" i="12711"/>
  <c r="L74" i="12711" s="1"/>
  <c r="O73" i="12709"/>
  <c r="N74" i="12709"/>
  <c r="M96" i="12709"/>
  <c r="M140" i="12709" s="1"/>
  <c r="L65" i="12711"/>
  <c r="O52" i="12709"/>
  <c r="O65" i="12709" s="1"/>
  <c r="Q50" i="12709"/>
  <c r="L121" i="12711"/>
  <c r="L127" i="12711" s="1"/>
  <c r="L137" i="12711" s="1"/>
  <c r="N127" i="12709"/>
  <c r="N137" i="12709" s="1"/>
  <c r="H20" i="12733" s="1"/>
  <c r="I20" i="12733" s="1"/>
  <c r="O121" i="12709"/>
  <c r="N80" i="12709"/>
  <c r="L76" i="12711"/>
  <c r="O76" i="12709"/>
  <c r="Q68" i="12709"/>
  <c r="O71" i="12709"/>
  <c r="R45" i="12709"/>
  <c r="S44" i="12709"/>
  <c r="S45" i="12709" s="1"/>
  <c r="M44" i="12711"/>
  <c r="U44" i="12709"/>
  <c r="M22" i="12711"/>
  <c r="R23" i="12709"/>
  <c r="S22" i="12709"/>
  <c r="S23" i="12709" s="1"/>
  <c r="U22" i="12709"/>
  <c r="S39" i="12709"/>
  <c r="S42" i="12709" s="1"/>
  <c r="R42" i="12709"/>
  <c r="M39" i="12711"/>
  <c r="U39" i="12709"/>
  <c r="Q48" i="12709"/>
  <c r="R47" i="12709"/>
  <c r="R100" i="12709"/>
  <c r="Q102" i="12709"/>
  <c r="Q117" i="12709" s="1"/>
  <c r="J19" i="12733" s="1"/>
  <c r="K19" i="12733" s="1"/>
  <c r="L19" i="12733" s="1"/>
  <c r="Q83" i="12709"/>
  <c r="R82" i="12709"/>
  <c r="F21" i="12733"/>
  <c r="F25" i="12733" s="1"/>
  <c r="G16" i="12733"/>
  <c r="N96" i="12709" l="1"/>
  <c r="H18" i="12733" s="1"/>
  <c r="R50" i="12709"/>
  <c r="Q52" i="12709"/>
  <c r="Q65" i="12709" s="1"/>
  <c r="L80" i="12711"/>
  <c r="L96" i="12711" s="1"/>
  <c r="L140" i="12711" s="1"/>
  <c r="Q121" i="12709"/>
  <c r="O127" i="12709"/>
  <c r="O137" i="12709" s="1"/>
  <c r="O74" i="12709"/>
  <c r="Q73" i="12709"/>
  <c r="O80" i="12709"/>
  <c r="Q76" i="12709"/>
  <c r="Q20" i="12709"/>
  <c r="Q36" i="12709" s="1"/>
  <c r="J16" i="12733" s="1"/>
  <c r="K16" i="12733" s="1"/>
  <c r="R13" i="12709"/>
  <c r="R68" i="12709"/>
  <c r="Q71" i="12709"/>
  <c r="G21" i="12733"/>
  <c r="M23" i="12711"/>
  <c r="N22" i="12711"/>
  <c r="S82" i="12709"/>
  <c r="S83" i="12709" s="1"/>
  <c r="R83" i="12709"/>
  <c r="M82" i="12711"/>
  <c r="U82" i="12709"/>
  <c r="B25" i="12751"/>
  <c r="B10" i="12751"/>
  <c r="R48" i="12709"/>
  <c r="M47" i="12711"/>
  <c r="S47" i="12709"/>
  <c r="S48" i="12709" s="1"/>
  <c r="U47" i="12709"/>
  <c r="U42" i="12709"/>
  <c r="V39" i="12709"/>
  <c r="U23" i="12709"/>
  <c r="V22" i="12709"/>
  <c r="U45" i="12709"/>
  <c r="V44" i="12709"/>
  <c r="R102" i="12709"/>
  <c r="R117" i="12709" s="1"/>
  <c r="M100" i="12711"/>
  <c r="S100" i="12709"/>
  <c r="S102" i="12709" s="1"/>
  <c r="S117" i="12709" s="1"/>
  <c r="U100" i="12709"/>
  <c r="M42" i="12711"/>
  <c r="N39" i="12711"/>
  <c r="M45" i="12711"/>
  <c r="N44" i="12711"/>
  <c r="O96" i="12709" l="1"/>
  <c r="O140" i="12709" s="1"/>
  <c r="N140" i="12709"/>
  <c r="J17" i="12733"/>
  <c r="K17" i="12733" s="1"/>
  <c r="L17" i="12733" s="1"/>
  <c r="Q80" i="12709"/>
  <c r="R76" i="12709"/>
  <c r="Q74" i="12709"/>
  <c r="R73" i="12709"/>
  <c r="S68" i="12709"/>
  <c r="S71" i="12709" s="1"/>
  <c r="M68" i="12711"/>
  <c r="U68" i="12709"/>
  <c r="R71" i="12709"/>
  <c r="M50" i="12711"/>
  <c r="U50" i="12709"/>
  <c r="S50" i="12709"/>
  <c r="S52" i="12709" s="1"/>
  <c r="S65" i="12709" s="1"/>
  <c r="R52" i="12709"/>
  <c r="R65" i="12709" s="1"/>
  <c r="V45" i="12709"/>
  <c r="V42" i="12709"/>
  <c r="M13" i="12711"/>
  <c r="S13" i="12709"/>
  <c r="S20" i="12709" s="1"/>
  <c r="S36" i="12709" s="1"/>
  <c r="U13" i="12709"/>
  <c r="R20" i="12709"/>
  <c r="R36" i="12709" s="1"/>
  <c r="Q127" i="12709"/>
  <c r="Q137" i="12709" s="1"/>
  <c r="J20" i="12733" s="1"/>
  <c r="K20" i="12733" s="1"/>
  <c r="L20" i="12733" s="1"/>
  <c r="R121" i="12709"/>
  <c r="I18" i="12733"/>
  <c r="I21" i="12733" s="1"/>
  <c r="H21" i="12733"/>
  <c r="V23" i="12709"/>
  <c r="M83" i="12711"/>
  <c r="N82" i="12711"/>
  <c r="L16" i="12733"/>
  <c r="N45" i="12711"/>
  <c r="O44" i="12711"/>
  <c r="O45" i="12711" s="1"/>
  <c r="M102" i="12711"/>
  <c r="M117" i="12711" s="1"/>
  <c r="N100" i="12711"/>
  <c r="O39" i="12711"/>
  <c r="O42" i="12711" s="1"/>
  <c r="N42" i="12711"/>
  <c r="U102" i="12709"/>
  <c r="U117" i="12709" s="1"/>
  <c r="V100" i="12709"/>
  <c r="U48" i="12709"/>
  <c r="V47" i="12709"/>
  <c r="U83" i="12709"/>
  <c r="V82" i="12709"/>
  <c r="N23" i="12711"/>
  <c r="O22" i="12711"/>
  <c r="O23" i="12711" s="1"/>
  <c r="M48" i="12711"/>
  <c r="N47" i="12711"/>
  <c r="H10" i="12751"/>
  <c r="K10" i="12751"/>
  <c r="D10" i="12751"/>
  <c r="G25" i="12733"/>
  <c r="K25" i="12751"/>
  <c r="H25" i="12751"/>
  <c r="D25" i="12751"/>
  <c r="Q96" i="12709" l="1"/>
  <c r="J18" i="12733" s="1"/>
  <c r="K18" i="12733" s="1"/>
  <c r="L18" i="12733" s="1"/>
  <c r="B24" i="12751" s="1"/>
  <c r="V102" i="12709"/>
  <c r="V117" i="12709" s="1"/>
  <c r="V83" i="12709"/>
  <c r="U52" i="12709"/>
  <c r="V50" i="12709"/>
  <c r="S73" i="12709"/>
  <c r="S74" i="12709" s="1"/>
  <c r="M73" i="12711"/>
  <c r="U73" i="12709"/>
  <c r="R74" i="12709"/>
  <c r="M52" i="12711"/>
  <c r="M65" i="12711" s="1"/>
  <c r="N50" i="12711"/>
  <c r="B11" i="12751"/>
  <c r="B26" i="12751"/>
  <c r="S76" i="12709"/>
  <c r="S80" i="12709" s="1"/>
  <c r="R80" i="12709"/>
  <c r="M76" i="12711"/>
  <c r="U76" i="12709"/>
  <c r="M20" i="12711"/>
  <c r="M36" i="12711" s="1"/>
  <c r="N13" i="12711"/>
  <c r="R127" i="12709"/>
  <c r="R137" i="12709" s="1"/>
  <c r="S121" i="12709"/>
  <c r="S127" i="12709" s="1"/>
  <c r="S137" i="12709" s="1"/>
  <c r="M121" i="12711"/>
  <c r="U121" i="12709"/>
  <c r="V48" i="12709"/>
  <c r="V13" i="12709"/>
  <c r="V20" i="12709" s="1"/>
  <c r="V36" i="12709" s="1"/>
  <c r="U20" i="12709"/>
  <c r="U36" i="12709" s="1"/>
  <c r="U71" i="12709"/>
  <c r="V68" i="12709"/>
  <c r="U65" i="12709"/>
  <c r="M71" i="12711"/>
  <c r="N68" i="12711"/>
  <c r="B23" i="12751"/>
  <c r="B8" i="12751"/>
  <c r="O47" i="12711"/>
  <c r="O48" i="12711" s="1"/>
  <c r="N48" i="12711"/>
  <c r="N83" i="12711"/>
  <c r="O82" i="12711"/>
  <c r="O83" i="12711" s="1"/>
  <c r="M10" i="12751"/>
  <c r="J10" i="12751"/>
  <c r="J25" i="12751"/>
  <c r="M25" i="12751"/>
  <c r="O100" i="12711"/>
  <c r="O102" i="12711" s="1"/>
  <c r="O117" i="12711" s="1"/>
  <c r="N102" i="12711"/>
  <c r="N117" i="12711" s="1"/>
  <c r="B7" i="12751"/>
  <c r="B22" i="12751"/>
  <c r="Q140" i="12709" l="1"/>
  <c r="D24" i="12751"/>
  <c r="J24" i="12751" s="1"/>
  <c r="K24" i="12751"/>
  <c r="H24" i="12751"/>
  <c r="K21" i="12733"/>
  <c r="L21" i="12733" s="1"/>
  <c r="L25" i="12733" s="1"/>
  <c r="J21" i="12733"/>
  <c r="B9" i="12751"/>
  <c r="H9" i="12751" s="1"/>
  <c r="R96" i="12709"/>
  <c r="R140" i="12709" s="1"/>
  <c r="S96" i="12709"/>
  <c r="S140" i="12709" s="1"/>
  <c r="N71" i="12711"/>
  <c r="O68" i="12711"/>
  <c r="O71" i="12711" s="1"/>
  <c r="O13" i="12711"/>
  <c r="O20" i="12711" s="1"/>
  <c r="O36" i="12711" s="1"/>
  <c r="N20" i="12711"/>
  <c r="N36" i="12711" s="1"/>
  <c r="N52" i="12711"/>
  <c r="O50" i="12711"/>
  <c r="O52" i="12711" s="1"/>
  <c r="O65" i="12711" s="1"/>
  <c r="N65" i="12711"/>
  <c r="V121" i="12709"/>
  <c r="U127" i="12709"/>
  <c r="U137" i="12709" s="1"/>
  <c r="U80" i="12709"/>
  <c r="V76" i="12709"/>
  <c r="M127" i="12711"/>
  <c r="M137" i="12711" s="1"/>
  <c r="N121" i="12711"/>
  <c r="M80" i="12711"/>
  <c r="N76" i="12711"/>
  <c r="U74" i="12709"/>
  <c r="V73" i="12709"/>
  <c r="V71" i="12709"/>
  <c r="M74" i="12711"/>
  <c r="N73" i="12711"/>
  <c r="H8" i="12751"/>
  <c r="K8" i="12751"/>
  <c r="D8" i="12751"/>
  <c r="D26" i="12751"/>
  <c r="K26" i="12751"/>
  <c r="H26" i="12751"/>
  <c r="V52" i="12709"/>
  <c r="V65" i="12709" s="1"/>
  <c r="H23" i="12751"/>
  <c r="K23" i="12751"/>
  <c r="D23" i="12751"/>
  <c r="H11" i="12751"/>
  <c r="K11" i="12751"/>
  <c r="D11" i="12751"/>
  <c r="K22" i="12751"/>
  <c r="D22" i="12751"/>
  <c r="B27" i="12751"/>
  <c r="H22" i="12751"/>
  <c r="M24" i="12751"/>
  <c r="K7" i="12751"/>
  <c r="H7" i="12751"/>
  <c r="D7" i="12751"/>
  <c r="B12" i="12751" l="1"/>
  <c r="K9" i="12751"/>
  <c r="D9" i="12751"/>
  <c r="N74" i="12711"/>
  <c r="O73" i="12711"/>
  <c r="O74" i="12711" s="1"/>
  <c r="M96" i="12711"/>
  <c r="M140" i="12711" s="1"/>
  <c r="O121" i="12711"/>
  <c r="O127" i="12711" s="1"/>
  <c r="O137" i="12711" s="1"/>
  <c r="N127" i="12711"/>
  <c r="N137" i="12711" s="1"/>
  <c r="H27" i="12751"/>
  <c r="J26" i="12751"/>
  <c r="M26" i="12751"/>
  <c r="M23" i="12751"/>
  <c r="J23" i="12751"/>
  <c r="M8" i="12751"/>
  <c r="J8" i="12751"/>
  <c r="M11" i="12751"/>
  <c r="J11" i="12751"/>
  <c r="V74" i="12709"/>
  <c r="V80" i="12709"/>
  <c r="U96" i="12709"/>
  <c r="U140" i="12709" s="1"/>
  <c r="O76" i="12711"/>
  <c r="O80" i="12711" s="1"/>
  <c r="N80" i="12711"/>
  <c r="V127" i="12709"/>
  <c r="V137" i="12709" s="1"/>
  <c r="J7" i="12751"/>
  <c r="M7" i="12751"/>
  <c r="K27" i="12751"/>
  <c r="D27" i="12751"/>
  <c r="K12" i="12751"/>
  <c r="H12" i="12751"/>
  <c r="D12" i="12751"/>
  <c r="M22" i="12751"/>
  <c r="J22" i="12751"/>
  <c r="V96" i="12709" l="1"/>
  <c r="V140" i="12709" s="1"/>
  <c r="M9" i="12751"/>
  <c r="J9" i="12751"/>
  <c r="O96" i="12711"/>
  <c r="O140" i="12711" s="1"/>
  <c r="N96" i="12711"/>
  <c r="N140" i="12711" s="1"/>
  <c r="M27" i="12751"/>
  <c r="J27" i="12751"/>
  <c r="J12" i="12751"/>
  <c r="M12" i="127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P15223</author>
  </authors>
  <commentList>
    <comment ref="A1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P15223:</t>
        </r>
        <r>
          <rPr>
            <sz val="8"/>
            <color indexed="81"/>
            <rFont val="Tahoma"/>
            <family val="2"/>
          </rPr>
          <t xml:space="preserve">
Use this sheet if SBC changes mid-period.</t>
        </r>
      </text>
    </comment>
  </commentList>
</comments>
</file>

<file path=xl/sharedStrings.xml><?xml version="1.0" encoding="utf-8"?>
<sst xmlns="http://schemas.openxmlformats.org/spreadsheetml/2006/main" count="2374" uniqueCount="447">
  <si>
    <t>Table 1</t>
  </si>
  <si>
    <t>Revenue</t>
  </si>
  <si>
    <t>Semi-Annual Report</t>
  </si>
  <si>
    <t>A</t>
  </si>
  <si>
    <t>B</t>
  </si>
  <si>
    <t>C</t>
  </si>
  <si>
    <t>D</t>
  </si>
  <si>
    <t>E</t>
  </si>
  <si>
    <t>Total</t>
  </si>
  <si>
    <t xml:space="preserve">Total </t>
  </si>
  <si>
    <t>Normalizing</t>
  </si>
  <si>
    <t>Temperature</t>
  </si>
  <si>
    <t>Adjusted</t>
  </si>
  <si>
    <t>Adjustments</t>
  </si>
  <si>
    <t>Normalization</t>
  </si>
  <si>
    <t>Residential</t>
  </si>
  <si>
    <t>Commercial</t>
  </si>
  <si>
    <t>Public St &amp; Hwy</t>
  </si>
  <si>
    <t>Customer</t>
  </si>
  <si>
    <t>Source / Formula</t>
  </si>
  <si>
    <t>Info. Services</t>
  </si>
  <si>
    <t>MWh</t>
  </si>
  <si>
    <t>Month</t>
  </si>
  <si>
    <t>kWh</t>
  </si>
  <si>
    <t>Impact</t>
  </si>
  <si>
    <t>Total Residential</t>
  </si>
  <si>
    <t>Total Commercial</t>
  </si>
  <si>
    <t>Table 3</t>
  </si>
  <si>
    <t>Industrial</t>
  </si>
  <si>
    <t xml:space="preserve"> </t>
  </si>
  <si>
    <t>Rate</t>
  </si>
  <si>
    <t>Booked Revenues</t>
  </si>
  <si>
    <t>AGA</t>
  </si>
  <si>
    <t>Subtotal</t>
  </si>
  <si>
    <t>Public Street &amp; Highway Lighting</t>
  </si>
  <si>
    <t>Revenues</t>
  </si>
  <si>
    <t>Price*</t>
  </si>
  <si>
    <t>Average</t>
  </si>
  <si>
    <t>Customers</t>
  </si>
  <si>
    <t>Booked</t>
  </si>
  <si>
    <t>A + D</t>
  </si>
  <si>
    <t>B + C</t>
  </si>
  <si>
    <t>Adjustment</t>
  </si>
  <si>
    <t>Temperature Normalization</t>
  </si>
  <si>
    <t>State of Washington</t>
  </si>
  <si>
    <t>02RESD00016</t>
  </si>
  <si>
    <t>02RESD00018</t>
  </si>
  <si>
    <t>02OALTO15R</t>
  </si>
  <si>
    <t>02GNSV0024</t>
  </si>
  <si>
    <t>02GNSV024F</t>
  </si>
  <si>
    <t>02LGSV0036</t>
  </si>
  <si>
    <t>02LGSV048T</t>
  </si>
  <si>
    <t>02OALT015N</t>
  </si>
  <si>
    <t>02RCFL0054</t>
  </si>
  <si>
    <t>02GNSV24FP</t>
  </si>
  <si>
    <t>02APSV0040</t>
  </si>
  <si>
    <t>02APSV040X</t>
  </si>
  <si>
    <t>02LGSV048M</t>
  </si>
  <si>
    <t>02COSL0052</t>
  </si>
  <si>
    <t>02CUSL053F</t>
  </si>
  <si>
    <t>02CUSL053M</t>
  </si>
  <si>
    <t>02HPSV0051</t>
  </si>
  <si>
    <t>02MVSL0057</t>
  </si>
  <si>
    <t>Schedule 16</t>
  </si>
  <si>
    <t>Schedule 24</t>
  </si>
  <si>
    <t>Sub Total</t>
  </si>
  <si>
    <t>$</t>
  </si>
  <si>
    <t>48T</t>
  </si>
  <si>
    <t>Sch. 191</t>
  </si>
  <si>
    <t xml:space="preserve">Adjustments </t>
  </si>
  <si>
    <t>Washington</t>
  </si>
  <si>
    <t>Total Washington</t>
  </si>
  <si>
    <t>Unbilled Rev</t>
  </si>
  <si>
    <t>Unbilled Rev.</t>
  </si>
  <si>
    <t>Unbilled Sales</t>
  </si>
  <si>
    <t>kWhs</t>
  </si>
  <si>
    <t>BPA Balance Acct.</t>
  </si>
  <si>
    <r>
      <t>Normalization</t>
    </r>
    <r>
      <rPr>
        <vertAlign val="superscript"/>
        <sz val="12"/>
        <rFont val="Times New Roman"/>
        <family val="1"/>
      </rPr>
      <t>1</t>
    </r>
  </si>
  <si>
    <t>Rev.</t>
  </si>
  <si>
    <t>Total Adj.</t>
  </si>
  <si>
    <t>Adj.</t>
  </si>
  <si>
    <t xml:space="preserve">Table 1 </t>
  </si>
  <si>
    <t>Other Non-Tariff Cont./Firm</t>
  </si>
  <si>
    <t>Other Non-Tariff Cont./Non-Firm</t>
  </si>
  <si>
    <t>Total with Contracts</t>
  </si>
  <si>
    <t>Non-Washington Contracts</t>
  </si>
  <si>
    <t>02RESD00017</t>
  </si>
  <si>
    <t>BPA Balancing Account</t>
  </si>
  <si>
    <t>BPA Balance Acct</t>
  </si>
  <si>
    <t>BPA Balancing Acct</t>
  </si>
  <si>
    <t>BPA</t>
  </si>
  <si>
    <t>Table 2</t>
  </si>
  <si>
    <t>Revenue Class Description</t>
  </si>
  <si>
    <t>Rate Description</t>
  </si>
  <si>
    <t>COMMERCIAL SALES</t>
  </si>
  <si>
    <t>02GNSV0024-WA GEN SRVC</t>
  </si>
  <si>
    <t>02GNSV024F-WA GEN SRVC-FL</t>
  </si>
  <si>
    <t>02LGSV0036-WA LRG GEN SRV</t>
  </si>
  <si>
    <t>02LGSV048T-LRG GEN SRVC 1</t>
  </si>
  <si>
    <t>02LNX00102-LINE EXT 80% G</t>
  </si>
  <si>
    <t>02LNX00103-LINE EXT 80% G</t>
  </si>
  <si>
    <t>02LNX00105-CNTRCT $ MIN G</t>
  </si>
  <si>
    <t>02LNX00109-REF/NREF ADV +</t>
  </si>
  <si>
    <t>02LNX00110-REF/NREF ADV +</t>
  </si>
  <si>
    <t>02LNX00112-YR INCURRED CH</t>
  </si>
  <si>
    <t>02OALT015N-WA OUTD AR LGT</t>
  </si>
  <si>
    <t>02RCFL0054-WA REC FIELD L</t>
  </si>
  <si>
    <t>02RFNDCENT - CENTRALIA RFND</t>
  </si>
  <si>
    <t>02ZZMERGCR-MERGER CREDITS</t>
  </si>
  <si>
    <t>BPA BALANCING ACCOUNT</t>
  </si>
  <si>
    <t>CUSTOMER COUNT - BPA</t>
  </si>
  <si>
    <t>CUSTOMER COUNT - REGULAR</t>
  </si>
  <si>
    <t>UNBILLED REVENUE</t>
  </si>
  <si>
    <t>Sum:</t>
  </si>
  <si>
    <t>INDUSTRIAL SALES</t>
  </si>
  <si>
    <t>02LGSV048M-WA LRG GEN SRV</t>
  </si>
  <si>
    <t>02PRSV47TM-LRG PART REQMT</t>
  </si>
  <si>
    <t>IRRIGATION SALES</t>
  </si>
  <si>
    <t>02APSV0040-WA AG PMP SRVC</t>
  </si>
  <si>
    <t>02APSV040X-WA AG PMP SRVC</t>
  </si>
  <si>
    <t>CUSTOMER CNT - IRRIGATION</t>
  </si>
  <si>
    <t>CUSTOMER CNT - IRRIG BPA</t>
  </si>
  <si>
    <t>IRRIGATION BPA BAL ACCT</t>
  </si>
  <si>
    <t>IRRIGATION UNBILLED</t>
  </si>
  <si>
    <t>PUBLIC STREET&amp;HIGHWAY LIGHTING</t>
  </si>
  <si>
    <t>02CFR00012-STR LGTS (CONV</t>
  </si>
  <si>
    <t>02COSL0052-WA STR LGT SRV</t>
  </si>
  <si>
    <t>02CUSL053F-WA STR LGT SRV</t>
  </si>
  <si>
    <t>02CUSL053M-WA STR LGT SRV</t>
  </si>
  <si>
    <t>02HPSV0051-WA HI PRESSURE</t>
  </si>
  <si>
    <t>02MVSL0057-WA MERC VAPSTR</t>
  </si>
  <si>
    <t>RESIDENTIAL SALES</t>
  </si>
  <si>
    <t>02RESD0016-WA RES SRVC</t>
  </si>
  <si>
    <t>02RESD0017-BILL ASSISTANC</t>
  </si>
  <si>
    <t>02RESD0017-BILL ASSISTANCE</t>
  </si>
  <si>
    <t>02RESD0018-WA 3 PHASE RES</t>
  </si>
  <si>
    <t>02RESD018X-WA 3 PHASE RES</t>
  </si>
  <si>
    <t>24f</t>
  </si>
  <si>
    <t>aga</t>
  </si>
  <si>
    <t>15n</t>
  </si>
  <si>
    <t>bpa</t>
  </si>
  <si>
    <t>unbilled</t>
  </si>
  <si>
    <t>48m</t>
  </si>
  <si>
    <t>48t</t>
  </si>
  <si>
    <t>24fp</t>
  </si>
  <si>
    <t>40x</t>
  </si>
  <si>
    <t>53f</t>
  </si>
  <si>
    <t>53m</t>
  </si>
  <si>
    <t>15r</t>
  </si>
  <si>
    <t>18x</t>
  </si>
  <si>
    <t>02RESD0018X</t>
  </si>
  <si>
    <t>Centralia Refund</t>
  </si>
  <si>
    <t>BPA Adjustment Fee</t>
  </si>
  <si>
    <t>02PRSV47TM</t>
  </si>
  <si>
    <t>Washington Total</t>
  </si>
  <si>
    <t>Check</t>
  </si>
  <si>
    <t>KWhs</t>
  </si>
  <si>
    <t>305 Report</t>
  </si>
  <si>
    <t>Change</t>
  </si>
  <si>
    <t>kWh &amp; Rev</t>
  </si>
  <si>
    <t>Revenue Detail</t>
  </si>
  <si>
    <t>MONTHLY KWH</t>
  </si>
  <si>
    <t>Merger Credit</t>
  </si>
  <si>
    <t>b24fp</t>
  </si>
  <si>
    <t>b16</t>
  </si>
  <si>
    <t>b17</t>
  </si>
  <si>
    <t>b18</t>
  </si>
  <si>
    <t>b18x</t>
  </si>
  <si>
    <t>($000)</t>
  </si>
  <si>
    <t>SBC</t>
  </si>
  <si>
    <t>02LNX00300-LINE EXT 80% G</t>
  </si>
  <si>
    <t>Irrigation</t>
  </si>
  <si>
    <t>Ratio</t>
  </si>
  <si>
    <t>First Block</t>
  </si>
  <si>
    <t>Second Block</t>
  </si>
  <si>
    <t>Ratio from</t>
  </si>
  <si>
    <t>First Block kWh</t>
  </si>
  <si>
    <t>Second Block kWh</t>
  </si>
  <si>
    <t>Third Block</t>
  </si>
  <si>
    <t>Third Block kWh</t>
  </si>
  <si>
    <t>*Energy base rate effective during the month indicated.</t>
  </si>
  <si>
    <t>Total Irrigation</t>
  </si>
  <si>
    <t>% Change</t>
  </si>
  <si>
    <t>( ¢/kWh)</t>
  </si>
  <si>
    <t>1. Revenues are in thousands.</t>
  </si>
  <si>
    <t>02NMT24135, Net metering, WA</t>
  </si>
  <si>
    <t>02LGSB048T - WA GEN SRVC, NO BPA</t>
  </si>
  <si>
    <t>301119 - UNBILLED REV - UNCOLLECTIBLE</t>
  </si>
  <si>
    <t>02GNSB024F-GEN SRVC DOM/F W/BPA</t>
  </si>
  <si>
    <t>02GNSB0024-WA GEN SRVC DO</t>
  </si>
  <si>
    <t>02GNSB24FP-WA GEN SVC SEASONAL</t>
  </si>
  <si>
    <t>ACQUISITION COMMITMENT-A and G CREDIT</t>
  </si>
  <si>
    <t>02LGSB0036-LRG GENSVC IRG W/BPA</t>
  </si>
  <si>
    <t>02OALTB15N-WA OUTD AR LGT NR W/BPA</t>
  </si>
  <si>
    <t>ACQUISITION COMMITMENT-WEST VALLEY LEASE</t>
  </si>
  <si>
    <t>02GNSB0024-WA GEN SRVC DO W/BPA</t>
  </si>
  <si>
    <t>02GNSB24FP-WA GEN SVC SEASONAL W/BPA</t>
  </si>
  <si>
    <t>02OALTB15N-WA OUTD AR LGT NR</t>
  </si>
  <si>
    <t>02GNSB024F-GEN SRVC DOM/F</t>
  </si>
  <si>
    <t>02LGSB0036-LRG GEN SVC IRG</t>
  </si>
  <si>
    <t>02OALTB15R-WA OUTD AR LGT RES</t>
  </si>
  <si>
    <t>02OALTB15R-WA OUTD AR LGT RES W/BPA</t>
  </si>
  <si>
    <t>kwh</t>
  </si>
  <si>
    <t>rev</t>
  </si>
  <si>
    <t>b24f</t>
  </si>
  <si>
    <t>b36</t>
  </si>
  <si>
    <t>b15n</t>
  </si>
  <si>
    <t>Acquisition Commitment</t>
  </si>
  <si>
    <t>b24</t>
  </si>
  <si>
    <t>b15r</t>
  </si>
  <si>
    <t>Schedule 18</t>
  </si>
  <si>
    <t>02LNX00311 - LINE EXT 80% GUARANTEE</t>
  </si>
  <si>
    <t>02LNX00310 - IRG, 80% ANNUAL MIN + 80%</t>
  </si>
  <si>
    <t>02LNX00312 - WA IRG LINE EXT</t>
  </si>
  <si>
    <t>02BLSKY01R-BLUESKY ENERGY</t>
  </si>
  <si>
    <t>Washington- 12 Months Ending December 2007 - Monthly KWH</t>
  </si>
  <si>
    <t>Effective</t>
  </si>
  <si>
    <t>02NETMT135 - WA RES NET METERING</t>
  </si>
  <si>
    <t>02NETMT135</t>
  </si>
  <si>
    <t>Error Check</t>
  </si>
  <si>
    <r>
      <t>Adjustments</t>
    </r>
    <r>
      <rPr>
        <vertAlign val="superscript"/>
        <sz val="12"/>
        <rFont val="Times New Roman"/>
        <family val="1"/>
      </rPr>
      <t>2</t>
    </r>
  </si>
  <si>
    <t>SMUD REVENUE IMPUTATIONS</t>
  </si>
  <si>
    <t>02NETMT135 - WA RES NET METERING-BPA</t>
  </si>
  <si>
    <t>305 from Cognos (305 Reports)</t>
  </si>
  <si>
    <t>SMUD</t>
  </si>
  <si>
    <t>bpaadj</t>
  </si>
  <si>
    <t>b40</t>
  </si>
  <si>
    <t>A + B</t>
  </si>
  <si>
    <t>WASHINGTON - CHEHALIS DEFERRAL</t>
  </si>
  <si>
    <t>REVENUE_ACCOUNTING ADJUSTMENTS</t>
  </si>
  <si>
    <t>02NMT36135-WA NET METER LRG SVC &lt; 1000KW</t>
  </si>
  <si>
    <t>301461-IRRIGATION DEMAND CHARGE ACCRUAL</t>
  </si>
  <si>
    <t>52f</t>
  </si>
  <si>
    <t>b135</t>
  </si>
  <si>
    <t>Chehalis Deferral</t>
  </si>
  <si>
    <t>Rev Adjustment</t>
  </si>
  <si>
    <t>def</t>
  </si>
  <si>
    <t>Irrigation Demand Charge</t>
  </si>
  <si>
    <t>02CFR0012</t>
  </si>
  <si>
    <t>Total Revenues all Classes</t>
  </si>
  <si>
    <t>Revenue Adjustment</t>
  </si>
  <si>
    <t xml:space="preserve">   </t>
  </si>
  <si>
    <r>
      <t>Adjustments</t>
    </r>
    <r>
      <rPr>
        <vertAlign val="superscript"/>
        <sz val="12"/>
        <rFont val="Times New Roman"/>
        <family val="1"/>
      </rPr>
      <t>1</t>
    </r>
  </si>
  <si>
    <t>02BLSKY01N-BLUESKY ENERGY</t>
  </si>
  <si>
    <t>02UPPL000R-BASE SCH FALL</t>
  </si>
  <si>
    <t>Revenue 1</t>
  </si>
  <si>
    <t>Restating</t>
  </si>
  <si>
    <t>Total Restating</t>
  </si>
  <si>
    <t>Revenue Accounting Adj</t>
  </si>
  <si>
    <t>Irrigation Demand Charge Accrual</t>
  </si>
  <si>
    <t>Schedule 17</t>
  </si>
  <si>
    <t>PacifiCorp</t>
  </si>
  <si>
    <t xml:space="preserve">PacifiCorp </t>
  </si>
  <si>
    <t>REVENUE ADJUSTMENT - DEFERRED NPC</t>
  </si>
  <si>
    <t>02NMT24135, Net metering, WA-BPA</t>
  </si>
  <si>
    <t>02RGNSB024-WA SMALL GENERAL SVC-RES</t>
  </si>
  <si>
    <t>02RGNSB024-WA SMALL GENERAL SVC-RES-BPA</t>
  </si>
  <si>
    <t>Washington- December 2011</t>
  </si>
  <si>
    <t>12 Months Ended December 2011</t>
  </si>
  <si>
    <t>Washington- 12 Months Ended December 2011</t>
  </si>
  <si>
    <r>
      <t>Revenue</t>
    </r>
    <r>
      <rPr>
        <vertAlign val="superscript"/>
        <sz val="8"/>
        <rFont val="Times New Roman"/>
        <family val="1"/>
      </rPr>
      <t xml:space="preserve"> 1</t>
    </r>
  </si>
  <si>
    <r>
      <t>1</t>
    </r>
    <r>
      <rPr>
        <sz val="12"/>
        <rFont val="Times New Roman"/>
        <family val="1"/>
      </rPr>
      <t xml:space="preserve"> Temperature normalization.</t>
    </r>
  </si>
  <si>
    <t>Sch. 96</t>
  </si>
  <si>
    <t>24F</t>
  </si>
  <si>
    <t>24FP</t>
  </si>
  <si>
    <t>40X</t>
  </si>
  <si>
    <t>53F</t>
  </si>
  <si>
    <t>18X</t>
  </si>
  <si>
    <t>Jan 2011 - Mar 2011</t>
  </si>
  <si>
    <t>301270-DSM REVENUE-COMMERCIAL</t>
  </si>
  <si>
    <t>301280-BLUE SKY REVENUE-COMMERCIAL</t>
  </si>
  <si>
    <t>301370-DSM REVENUE-INDUSTRIAL</t>
  </si>
  <si>
    <t>301470-DSM REVENUE-IRRIGATION</t>
  </si>
  <si>
    <t>301480-BLUE SKY REVENUE-IRRIGATION</t>
  </si>
  <si>
    <t>dsm</t>
  </si>
  <si>
    <t>blue</t>
  </si>
  <si>
    <t xml:space="preserve">DSM </t>
  </si>
  <si>
    <t>Blue Sky</t>
  </si>
  <si>
    <t>301670-DSM REVENUE-PSHL</t>
  </si>
  <si>
    <t>301170-DSM REVENUE-RESIDENTIAL</t>
  </si>
  <si>
    <t>301180-BLUE SKY REVENUE-RESIDENTIAL</t>
  </si>
  <si>
    <t>DSM</t>
  </si>
  <si>
    <t>02RGNSB024</t>
  </si>
  <si>
    <t>Days</t>
  </si>
  <si>
    <t>Schedule 40</t>
  </si>
  <si>
    <t>Res</t>
  </si>
  <si>
    <t>Com</t>
  </si>
  <si>
    <t>Irr</t>
  </si>
  <si>
    <t>Ind</t>
  </si>
  <si>
    <t>Year</t>
  </si>
  <si>
    <t>Sch 16</t>
  </si>
  <si>
    <t>Sch 17</t>
  </si>
  <si>
    <t>Sch 18</t>
  </si>
  <si>
    <t>Sch 24</t>
  </si>
  <si>
    <t>Sch 36</t>
  </si>
  <si>
    <t>Sch 48</t>
  </si>
  <si>
    <t>Sch 40</t>
  </si>
  <si>
    <t xml:space="preserve">BPA Adjustment  </t>
  </si>
  <si>
    <t>Surcharge</t>
  </si>
  <si>
    <t>Class</t>
  </si>
  <si>
    <t>Schedule</t>
  </si>
  <si>
    <t>Residential Total</t>
  </si>
  <si>
    <t>Commercial Total</t>
  </si>
  <si>
    <t>Industrial Total</t>
  </si>
  <si>
    <t>Irrigation Total</t>
  </si>
  <si>
    <t>PS&amp;H Lighting Total</t>
  </si>
  <si>
    <t>Totals</t>
  </si>
  <si>
    <t>December 2010-for 2011 GRC Ordered</t>
  </si>
  <si>
    <t>Comparison of June 2014 Semi-Annual versus December 2010 for 2011 GRC Ordered</t>
  </si>
  <si>
    <t>02NMT48135-WA LG SVC NET METER=&gt;1000 KW</t>
  </si>
  <si>
    <t>02NMT40135-WA NET METERING-IRG</t>
  </si>
  <si>
    <t>02NMT40135-WA NET METERING BPA-IRG</t>
  </si>
  <si>
    <t>02RESD0016-WA RES SRVC-BPA</t>
  </si>
  <si>
    <t>02RESD0018-WA 3 PHASE RES-BPA</t>
  </si>
  <si>
    <t>02RESD018X-WA 3 PHASE RES-BPA</t>
  </si>
  <si>
    <t>Adjustments (MWh)</t>
  </si>
  <si>
    <t>Schedule 36</t>
  </si>
  <si>
    <t>Schedule 48</t>
  </si>
  <si>
    <t>Secondary</t>
  </si>
  <si>
    <t>Primary</t>
  </si>
  <si>
    <t>02SLCO0051-WA COMPANY STREET LIGHTING</t>
  </si>
  <si>
    <t>F</t>
  </si>
  <si>
    <t>Annualized</t>
  </si>
  <si>
    <t xml:space="preserve">  </t>
  </si>
  <si>
    <r>
      <t>Rate Change</t>
    </r>
    <r>
      <rPr>
        <vertAlign val="superscript"/>
        <sz val="12"/>
        <rFont val="Times New Roman"/>
        <family val="1"/>
      </rPr>
      <t>2</t>
    </r>
  </si>
  <si>
    <t>Total Annualized</t>
  </si>
  <si>
    <t>Total Adj.Rev.</t>
  </si>
  <si>
    <t>Increase</t>
  </si>
  <si>
    <t>Restating and Annualized Adj.</t>
  </si>
  <si>
    <t>Price</t>
  </si>
  <si>
    <t>G</t>
  </si>
  <si>
    <t>H</t>
  </si>
  <si>
    <r>
      <t>Adjustments</t>
    </r>
    <r>
      <rPr>
        <vertAlign val="superscript"/>
        <sz val="12"/>
        <rFont val="Times New Roman"/>
        <family val="1"/>
      </rPr>
      <t>3</t>
    </r>
  </si>
  <si>
    <r>
      <t>Change</t>
    </r>
    <r>
      <rPr>
        <vertAlign val="superscript"/>
        <sz val="12"/>
        <rFont val="Times New Roman"/>
        <family val="1"/>
      </rPr>
      <t>2</t>
    </r>
  </si>
  <si>
    <t>305 by Class by Rate Group Cd</t>
  </si>
  <si>
    <t>State Desc</t>
  </si>
  <si>
    <t>Revenue Class Desc</t>
  </si>
  <si>
    <t>Rate Group Cd</t>
  </si>
  <si>
    <t>Rate Desc</t>
  </si>
  <si>
    <t>T Revenue</t>
  </si>
  <si>
    <t>T Avg Billing Count</t>
  </si>
  <si>
    <t>T kWh</t>
  </si>
  <si>
    <t>R</t>
  </si>
  <si>
    <t>U</t>
  </si>
  <si>
    <t>Code</t>
  </si>
  <si>
    <t>Code (BPA)</t>
  </si>
  <si>
    <t>cent</t>
  </si>
  <si>
    <t>acq</t>
  </si>
  <si>
    <t>merger</t>
  </si>
  <si>
    <t>smud</t>
  </si>
  <si>
    <t>irr</t>
  </si>
  <si>
    <t xml:space="preserve">Irrigation Sales                        </t>
  </si>
  <si>
    <t>Annualizing</t>
  </si>
  <si>
    <t>Present Period Beginning</t>
  </si>
  <si>
    <t>Present Period Ending</t>
  </si>
  <si>
    <t>Elapsed Days</t>
  </si>
  <si>
    <t>Post Effective Days in Period</t>
  </si>
  <si>
    <t>Year 2 - Rate Case Effective Date</t>
  </si>
  <si>
    <t>Pro Forma</t>
  </si>
  <si>
    <t>Effective 9/15/2017</t>
  </si>
  <si>
    <t>Pro Forma Period Beginning</t>
  </si>
  <si>
    <t>Pro Forma Period Ending</t>
  </si>
  <si>
    <t>Total Pro Forma</t>
  </si>
  <si>
    <r>
      <t>Rate Change</t>
    </r>
    <r>
      <rPr>
        <vertAlign val="superscript"/>
        <sz val="12"/>
        <rFont val="Times New Roman"/>
        <family val="1"/>
      </rPr>
      <t>3</t>
    </r>
  </si>
  <si>
    <t>I</t>
  </si>
  <si>
    <t>J</t>
  </si>
  <si>
    <t>E + G + I</t>
  </si>
  <si>
    <t>02NMX40135-WA NET METERING-IRG</t>
  </si>
  <si>
    <t>02RNM24135-RES NET MTR SMALL GEN SVC-BPA</t>
  </si>
  <si>
    <t>02RGNSB036-RES LRG GEN SVC &lt; 1000 KW</t>
  </si>
  <si>
    <t>02RNM24135-RES NET METER SMALL GEN SVC</t>
  </si>
  <si>
    <t>02RGNSB036-RES LRG GEN SVC &lt; 1000 KW BPA</t>
  </si>
  <si>
    <t>301380-BLUE SKY REVENUE-INDUSTRIAL</t>
  </si>
  <si>
    <t>02RGNSB036</t>
  </si>
  <si>
    <t xml:space="preserve">STATE OF WASHINGTON - PPL               </t>
  </si>
  <si>
    <t xml:space="preserve">02GNSV0024-WA GEN SRVC                  </t>
  </si>
  <si>
    <t xml:space="preserve">02GNSV024F-WA GEN SRVC-FL               </t>
  </si>
  <si>
    <t xml:space="preserve">02LGSV0036-WA LRG GEN SRV               </t>
  </si>
  <si>
    <t xml:space="preserve">02LGSV048T-LRG GEN SRVC 1               </t>
  </si>
  <si>
    <t xml:space="preserve">02LNX00102-LINE EXT 80% G               </t>
  </si>
  <si>
    <t xml:space="preserve">02LNX00103-LINE EXT 80% G               </t>
  </si>
  <si>
    <t xml:space="preserve">02LNX00105-CNTRCT $ MIN G               </t>
  </si>
  <si>
    <t xml:space="preserve">02LNX00109-REF/NREF ADV +               </t>
  </si>
  <si>
    <t xml:space="preserve">02LNX00110-REF/NREF ADV +               </t>
  </si>
  <si>
    <t xml:space="preserve">02LNX00112-YR INCURRED CH               </t>
  </si>
  <si>
    <t xml:space="preserve">02OALT015N-WA OUTD AR LGT               </t>
  </si>
  <si>
    <t xml:space="preserve">02RCFL0054-WA REC FIELD L               </t>
  </si>
  <si>
    <t xml:space="preserve">BPA BALANCING ACCOUNT                   </t>
  </si>
  <si>
    <t xml:space="preserve">CUSTOMER COUNT - BPA                    </t>
  </si>
  <si>
    <t xml:space="preserve">CUSTOMER COUNT - REGULAR                </t>
  </si>
  <si>
    <t xml:space="preserve">UNBILLED REVENUE                        </t>
  </si>
  <si>
    <t xml:space="preserve">02PRSV47TM-LRG PART REQMT               </t>
  </si>
  <si>
    <t xml:space="preserve">02APSV0040-WA AG PMP SRVC               </t>
  </si>
  <si>
    <t xml:space="preserve">02APSV040X-WA AG PMP SRVC               </t>
  </si>
  <si>
    <t xml:space="preserve">02BPADEBIT-BPA ADJUST FEE               </t>
  </si>
  <si>
    <t xml:space="preserve">CUSTOMER CNT - IRRIGATION               </t>
  </si>
  <si>
    <t xml:space="preserve">CUSTOMER CNT - IRRIG BPA                </t>
  </si>
  <si>
    <t xml:space="preserve">IRRIGATION BPA BAL ACCT                 </t>
  </si>
  <si>
    <t xml:space="preserve">IRRIGATION UNBILLED                     </t>
  </si>
  <si>
    <t xml:space="preserve">02CFR00012-STR LGTS (CONV               </t>
  </si>
  <si>
    <t xml:space="preserve">02COSL0052-WA STR LGT SRV               </t>
  </si>
  <si>
    <t xml:space="preserve">02CUSL053F-WA STR LGT SRV               </t>
  </si>
  <si>
    <t xml:space="preserve">02CUSL053M-WA STR LGT SRV               </t>
  </si>
  <si>
    <t xml:space="preserve">02MVSL0057-WA MERC VAPSTR               </t>
  </si>
  <si>
    <t xml:space="preserve">02BLSKY01R-BLUESKY ENERGY               </t>
  </si>
  <si>
    <t xml:space="preserve">02RESD0016-WA RES SRVC                  </t>
  </si>
  <si>
    <t xml:space="preserve">02RESD0017-BILL ASSISTANC               </t>
  </si>
  <si>
    <t xml:space="preserve">02RESD0018-WA 3 PHASE RES               </t>
  </si>
  <si>
    <t xml:space="preserve">02RESD018X-WA 3 PHASE RES               </t>
  </si>
  <si>
    <t>Pre 8/1/2017</t>
  </si>
  <si>
    <t>Post 8/1/2017</t>
  </si>
  <si>
    <t>Restating &amp; Annualized</t>
  </si>
  <si>
    <t>December 2017 Semi</t>
  </si>
  <si>
    <t>June 2018-Semi</t>
  </si>
  <si>
    <t>12 Months Ended June 2018</t>
  </si>
  <si>
    <t>ALT REVENUE PROGRAM ADJUSTMENTS</t>
  </si>
  <si>
    <t>INCOME TAX DEFERRAL ADJUSTMENTS</t>
  </si>
  <si>
    <t>Comparison of December 2017 Semi versus June 2018 Semi</t>
  </si>
  <si>
    <t>December 2017 Blocking</t>
  </si>
  <si>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Impact for 76 days of the $8.0 million price increase effective September 15, 2017.</t>
    </r>
  </si>
  <si>
    <r>
      <t>1</t>
    </r>
    <r>
      <rPr>
        <sz val="12"/>
        <rFont val="Times New Roman"/>
        <family val="1"/>
      </rPr>
      <t xml:space="preserve"> Temperature normalization 12,988,364 kWh.</t>
    </r>
  </si>
  <si>
    <r>
      <t>3</t>
    </r>
    <r>
      <rPr>
        <sz val="12"/>
        <rFont val="Times New Roman"/>
        <family val="1"/>
      </rPr>
      <t xml:space="preserve"> Impact for 76 days of the $8.0 million price increase effective September 15, 2017.</t>
    </r>
  </si>
  <si>
    <t>Alt Revenue Program</t>
  </si>
  <si>
    <t>Income Tax Deferral</t>
  </si>
  <si>
    <t>itd</t>
  </si>
  <si>
    <t>arp</t>
  </si>
  <si>
    <t>Residential Sales</t>
  </si>
  <si>
    <t>15</t>
  </si>
  <si>
    <t>Commercial Sales</t>
  </si>
  <si>
    <t>36</t>
  </si>
  <si>
    <t>Industrial Sales</t>
  </si>
  <si>
    <t>48T-DF</t>
  </si>
  <si>
    <t>Irrigation Sales</t>
  </si>
  <si>
    <t>Public Street&amp;Highway Lighting</t>
  </si>
  <si>
    <t>51</t>
  </si>
  <si>
    <t>52</t>
  </si>
  <si>
    <t>53</t>
  </si>
  <si>
    <t xml:space="preserve">Sch. 93 </t>
  </si>
  <si>
    <t>Decoupling</t>
  </si>
  <si>
    <t>Ck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</si>
  <si>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Adjustments back out Schedule 191 (System Benefits Charge) -$13,667,005, Revenue Accounting Adjustments $26,509,738, Irrigation Demand Charge Accrual -$43,000,</t>
    </r>
  </si>
  <si>
    <r>
      <t>2</t>
    </r>
    <r>
      <rPr>
        <sz val="12"/>
        <rFont val="Times New Roman"/>
        <family val="1"/>
      </rPr>
      <t xml:space="preserve"> Impact for 76 days of the $8.0 million price increase effective September 15, 2017.</t>
    </r>
  </si>
  <si>
    <t>Revenue Accounting Adjustments, DSM, Blue Sky, Income Tax Deferral, Alternate Revenue Program, and includes temperature adjustment.</t>
  </si>
  <si>
    <r>
      <t>2</t>
    </r>
    <r>
      <rPr>
        <sz val="12"/>
        <rFont val="Times New Roman"/>
        <family val="1"/>
      </rPr>
      <t xml:space="preserve"> Removes Schedule 98 (BPA), Schedule 96 (Renewable Energy Revenue One-Time Credit), Schedule 191 (System Benefits Charge), Schedule 93 (Decoupling),</t>
    </r>
  </si>
  <si>
    <t>DSM -$11,653,595, Blue Sky -$121,540, Income Tax Deferral $8,556,164, Alternate Revenue Program $1,560,911, and Decoupling -$391,426.</t>
  </si>
  <si>
    <t>Unbilled</t>
  </si>
  <si>
    <t>48b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</si>
</sst>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&quot;$&quot;#,##0"/>
    <numFmt numFmtId="166" formatCode="0.0000%"/>
    <numFmt numFmtId="167" formatCode="_(&quot;$&quot;* #,##0_);_(&quot;$&quot;* \(#,##0\);_(&quot;$&quot;* &quot;-&quot;??_);_(@_)"/>
    <numFmt numFmtId="168" formatCode="_(* #,##0_);_(* \(#,##0\);_(* &quot;-&quot;??_);_(@_)"/>
    <numFmt numFmtId="169" formatCode="General_)"/>
    <numFmt numFmtId="170" formatCode="0.000000"/>
    <numFmt numFmtId="171" formatCode="0.0%"/>
    <numFmt numFmtId="172" formatCode="0.00000"/>
    <numFmt numFmtId="173" formatCode="&quot;$&quot;#,##0.00000_);\(&quot;$&quot;#,##0.00000\)"/>
    <numFmt numFmtId="174" formatCode="#,##0.0000"/>
    <numFmt numFmtId="175" formatCode="_(&quot;$&quot;* #,##0.00000_);_(&quot;$&quot;* \(#,##0.00000\);_(&quot;$&quot;* &quot;-&quot;?????_);_(@_)"/>
    <numFmt numFmtId="176" formatCode="0.00_);\(0.00\)"/>
    <numFmt numFmtId="177" formatCode="#,##0.00;\-#,##0.00"/>
    <numFmt numFmtId="178" formatCode="&quot;$&quot;#,##0.00"/>
    <numFmt numFmtId="179" formatCode="########\-###\-###"/>
    <numFmt numFmtId="180" formatCode="#,##0;\-#,##0;#,##0"/>
  </numFmts>
  <fonts count="48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 val="double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7"/>
      <name val="Arial"/>
      <family val="2"/>
    </font>
    <font>
      <sz val="10"/>
      <name val="LinePrinter"/>
    </font>
    <font>
      <i/>
      <sz val="9"/>
      <color indexed="17"/>
      <name val="Times New Roman"/>
      <family val="1"/>
    </font>
    <font>
      <sz val="10"/>
      <color indexed="12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8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6"/>
      <name val="Times New Roman"/>
      <family val="1"/>
    </font>
    <font>
      <sz val="12"/>
      <name val="Arial"/>
      <family val="2"/>
      <charset val="1"/>
    </font>
    <font>
      <sz val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vertAlign val="superscript"/>
      <sz val="8"/>
      <name val="Times New Roman"/>
      <family val="1"/>
    </font>
    <font>
      <b/>
      <sz val="14"/>
      <name val="Times New Roman"/>
      <family val="1"/>
    </font>
    <font>
      <sz val="18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sz val="14"/>
      <name val="Arial MT"/>
    </font>
    <font>
      <u/>
      <sz val="14"/>
      <name val="Arial MT"/>
    </font>
    <font>
      <sz val="14"/>
      <name val="Times New Roman"/>
      <family val="1"/>
    </font>
    <font>
      <sz val="9"/>
      <name val="Arial"/>
      <family val="2"/>
    </font>
    <font>
      <u/>
      <sz val="16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9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</borders>
  <cellStyleXfs count="45">
    <xf numFmtId="0" fontId="0" fillId="0" borderId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left"/>
    </xf>
    <xf numFmtId="168" fontId="6" fillId="0" borderId="0" applyFont="0" applyAlignment="0" applyProtection="0"/>
    <xf numFmtId="0" fontId="30" fillId="0" borderId="0"/>
    <xf numFmtId="0" fontId="10" fillId="0" borderId="0"/>
    <xf numFmtId="0" fontId="23" fillId="0" borderId="0"/>
    <xf numFmtId="0" fontId="10" fillId="0" borderId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169" fontId="18" fillId="0" borderId="0">
      <alignment horizontal="left"/>
    </xf>
    <xf numFmtId="0" fontId="36" fillId="0" borderId="0"/>
    <xf numFmtId="43" fontId="36" fillId="0" borderId="0" applyFont="0" applyFill="0" applyBorder="0" applyAlignment="0" applyProtection="0"/>
    <xf numFmtId="0" fontId="38" fillId="0" borderId="0">
      <alignment wrapText="1"/>
    </xf>
    <xf numFmtId="0" fontId="39" fillId="0" borderId="0"/>
    <xf numFmtId="0" fontId="39" fillId="0" borderId="0"/>
    <xf numFmtId="43" fontId="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5" fillId="0" borderId="0"/>
    <xf numFmtId="0" fontId="2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9" fillId="0" borderId="0"/>
    <xf numFmtId="0" fontId="38" fillId="0" borderId="0"/>
    <xf numFmtId="43" fontId="38" fillId="0" borderId="0" applyFont="0" applyFill="0" applyBorder="0" applyAlignment="0" applyProtection="0"/>
    <xf numFmtId="179" fontId="5" fillId="0" borderId="0"/>
    <xf numFmtId="0" fontId="5" fillId="0" borderId="0"/>
    <xf numFmtId="0" fontId="5" fillId="0" borderId="0">
      <alignment wrapText="1"/>
    </xf>
    <xf numFmtId="9" fontId="3" fillId="0" borderId="0" applyFont="0" applyFill="0" applyBorder="0" applyAlignment="0" applyProtection="0"/>
    <xf numFmtId="0" fontId="9" fillId="0" borderId="0"/>
    <xf numFmtId="0" fontId="9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46" fillId="0" borderId="0"/>
    <xf numFmtId="0" fontId="39" fillId="0" borderId="0"/>
    <xf numFmtId="0" fontId="1" fillId="0" borderId="0"/>
  </cellStyleXfs>
  <cellXfs count="427">
    <xf numFmtId="0" fontId="0" fillId="0" borderId="0" xfId="0"/>
    <xf numFmtId="0" fontId="0" fillId="0" borderId="0" xfId="0" applyFill="1"/>
    <xf numFmtId="0" fontId="9" fillId="0" borderId="0" xfId="0" applyFont="1" applyFill="1"/>
    <xf numFmtId="0" fontId="11" fillId="0" borderId="0" xfId="0" applyFont="1" applyFill="1"/>
    <xf numFmtId="0" fontId="9" fillId="0" borderId="0" xfId="0" applyFont="1" applyFill="1" applyBorder="1"/>
    <xf numFmtId="168" fontId="9" fillId="0" borderId="0" xfId="0" applyNumberFormat="1" applyFont="1" applyFill="1"/>
    <xf numFmtId="0" fontId="7" fillId="0" borderId="0" xfId="0" applyFont="1" applyFill="1"/>
    <xf numFmtId="168" fontId="7" fillId="0" borderId="0" xfId="0" applyNumberFormat="1" applyFont="1" applyFill="1"/>
    <xf numFmtId="0" fontId="12" fillId="0" borderId="0" xfId="0" applyFont="1" applyFill="1"/>
    <xf numFmtId="168" fontId="0" fillId="0" borderId="0" xfId="0" applyNumberFormat="1" applyFill="1"/>
    <xf numFmtId="171" fontId="7" fillId="0" borderId="0" xfId="10" applyNumberFormat="1" applyFont="1" applyFill="1"/>
    <xf numFmtId="168" fontId="12" fillId="0" borderId="0" xfId="0" applyNumberFormat="1" applyFont="1" applyFill="1"/>
    <xf numFmtId="171" fontId="12" fillId="0" borderId="0" xfId="10" applyNumberFormat="1" applyFont="1" applyFill="1"/>
    <xf numFmtId="0" fontId="0" fillId="0" borderId="0" xfId="0" applyFill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65" fontId="9" fillId="0" borderId="0" xfId="0" applyNumberFormat="1" applyFont="1" applyFill="1" applyBorder="1"/>
    <xf numFmtId="3" fontId="9" fillId="0" borderId="0" xfId="0" applyNumberFormat="1" applyFont="1" applyFill="1" applyBorder="1"/>
    <xf numFmtId="0" fontId="9" fillId="0" borderId="13" xfId="0" applyFont="1" applyFill="1" applyBorder="1"/>
    <xf numFmtId="0" fontId="9" fillId="0" borderId="14" xfId="0" applyFont="1" applyFill="1" applyBorder="1"/>
    <xf numFmtId="0" fontId="11" fillId="0" borderId="15" xfId="0" applyFont="1" applyFill="1" applyBorder="1"/>
    <xf numFmtId="168" fontId="9" fillId="0" borderId="15" xfId="0" applyNumberFormat="1" applyFont="1" applyFill="1" applyBorder="1"/>
    <xf numFmtId="0" fontId="12" fillId="0" borderId="16" xfId="0" applyFont="1" applyFill="1" applyBorder="1"/>
    <xf numFmtId="0" fontId="9" fillId="0" borderId="0" xfId="0" applyFont="1" applyFill="1" applyBorder="1" applyAlignment="1">
      <alignment horizontal="center"/>
    </xf>
    <xf numFmtId="10" fontId="9" fillId="0" borderId="18" xfId="0" applyNumberFormat="1" applyFont="1" applyFill="1" applyBorder="1" applyProtection="1">
      <protection hidden="1"/>
    </xf>
    <xf numFmtId="0" fontId="16" fillId="0" borderId="0" xfId="0" quotePrefix="1" applyFont="1" applyFill="1" applyAlignment="1">
      <alignment horizontal="center"/>
    </xf>
    <xf numFmtId="0" fontId="13" fillId="0" borderId="0" xfId="0" applyFont="1" applyFill="1" applyAlignment="1"/>
    <xf numFmtId="0" fontId="9" fillId="0" borderId="0" xfId="0" applyFont="1" applyFill="1" applyBorder="1" applyAlignment="1"/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/>
    <xf numFmtId="0" fontId="15" fillId="0" borderId="0" xfId="0" applyFont="1" applyFill="1" applyAlignment="1">
      <alignment horizontal="centerContinuous"/>
    </xf>
    <xf numFmtId="0" fontId="0" fillId="0" borderId="0" xfId="0" applyFill="1" applyAlignment="1">
      <alignment horizontal="right"/>
    </xf>
    <xf numFmtId="0" fontId="0" fillId="0" borderId="10" xfId="0" applyFill="1" applyBorder="1"/>
    <xf numFmtId="171" fontId="9" fillId="0" borderId="0" xfId="10" applyNumberFormat="1" applyFont="1" applyFill="1"/>
    <xf numFmtId="0" fontId="19" fillId="0" borderId="27" xfId="0" applyFont="1" applyFill="1" applyBorder="1" applyAlignment="1">
      <alignment horizontal="left"/>
    </xf>
    <xf numFmtId="0" fontId="0" fillId="0" borderId="28" xfId="0" applyFill="1" applyBorder="1"/>
    <xf numFmtId="0" fontId="14" fillId="0" borderId="0" xfId="0" applyFont="1" applyFill="1" applyAlignment="1">
      <alignment horizontal="center"/>
    </xf>
    <xf numFmtId="0" fontId="0" fillId="0" borderId="45" xfId="0" applyFill="1" applyBorder="1"/>
    <xf numFmtId="168" fontId="0" fillId="0" borderId="46" xfId="0" applyNumberFormat="1" applyFill="1" applyBorder="1"/>
    <xf numFmtId="168" fontId="0" fillId="0" borderId="47" xfId="0" applyNumberFormat="1" applyFill="1" applyBorder="1"/>
    <xf numFmtId="3" fontId="0" fillId="0" borderId="0" xfId="0" applyNumberFormat="1" applyFill="1"/>
    <xf numFmtId="168" fontId="0" fillId="0" borderId="10" xfId="0" applyNumberFormat="1" applyFill="1" applyBorder="1"/>
    <xf numFmtId="168" fontId="0" fillId="0" borderId="48" xfId="0" applyNumberFormat="1" applyFill="1" applyBorder="1"/>
    <xf numFmtId="168" fontId="0" fillId="0" borderId="18" xfId="0" applyNumberFormat="1" applyFill="1" applyBorder="1"/>
    <xf numFmtId="175" fontId="20" fillId="0" borderId="0" xfId="0" applyNumberFormat="1" applyFont="1" applyFill="1"/>
    <xf numFmtId="0" fontId="9" fillId="0" borderId="1" xfId="0" applyFont="1" applyFill="1" applyBorder="1" applyAlignment="1" applyProtection="1">
      <alignment horizontal="center"/>
    </xf>
    <xf numFmtId="5" fontId="9" fillId="0" borderId="1" xfId="0" applyNumberFormat="1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0" fillId="0" borderId="4" xfId="0" applyFill="1" applyBorder="1"/>
    <xf numFmtId="0" fontId="21" fillId="0" borderId="0" xfId="0" applyFont="1" applyFill="1"/>
    <xf numFmtId="0" fontId="14" fillId="0" borderId="28" xfId="0" applyFont="1" applyFill="1" applyBorder="1" applyAlignment="1">
      <alignment horizontal="center"/>
    </xf>
    <xf numFmtId="5" fontId="0" fillId="0" borderId="0" xfId="0" applyNumberFormat="1" applyFill="1"/>
    <xf numFmtId="0" fontId="0" fillId="0" borderId="46" xfId="0" applyFill="1" applyBorder="1"/>
    <xf numFmtId="0" fontId="14" fillId="0" borderId="0" xfId="8" applyFont="1" applyFill="1"/>
    <xf numFmtId="0" fontId="14" fillId="0" borderId="27" xfId="8" applyFont="1" applyFill="1" applyBorder="1"/>
    <xf numFmtId="0" fontId="14" fillId="0" borderId="51" xfId="8" applyFont="1" applyFill="1" applyBorder="1"/>
    <xf numFmtId="0" fontId="14" fillId="0" borderId="53" xfId="8" applyFont="1" applyFill="1" applyBorder="1"/>
    <xf numFmtId="0" fontId="14" fillId="0" borderId="55" xfId="8" applyFont="1" applyFill="1" applyBorder="1"/>
    <xf numFmtId="2" fontId="14" fillId="0" borderId="0" xfId="8" applyNumberFormat="1" applyFont="1" applyFill="1"/>
    <xf numFmtId="171" fontId="14" fillId="0" borderId="0" xfId="8" applyNumberFormat="1" applyFont="1" applyFill="1"/>
    <xf numFmtId="5" fontId="14" fillId="0" borderId="0" xfId="8" applyNumberFormat="1" applyFont="1" applyFill="1"/>
    <xf numFmtId="37" fontId="14" fillId="0" borderId="0" xfId="8" applyNumberFormat="1" applyFont="1" applyFill="1"/>
    <xf numFmtId="14" fontId="14" fillId="0" borderId="11" xfId="0" applyNumberFormat="1" applyFont="1" applyFill="1" applyBorder="1" applyAlignment="1">
      <alignment horizontal="center"/>
    </xf>
    <xf numFmtId="0" fontId="9" fillId="0" borderId="45" xfId="0" applyFont="1" applyFill="1" applyBorder="1"/>
    <xf numFmtId="168" fontId="14" fillId="0" borderId="0" xfId="1" applyNumberFormat="1" applyFont="1" applyFill="1"/>
    <xf numFmtId="168" fontId="14" fillId="0" borderId="0" xfId="8" applyNumberFormat="1" applyFont="1" applyFill="1"/>
    <xf numFmtId="14" fontId="14" fillId="0" borderId="0" xfId="0" applyNumberFormat="1" applyFont="1" applyFill="1"/>
    <xf numFmtId="0" fontId="27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 applyProtection="1">
      <alignment horizontal="centerContinuous"/>
    </xf>
    <xf numFmtId="0" fontId="9" fillId="0" borderId="12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28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0" xfId="0" applyFont="1" applyFill="1" applyAlignment="1"/>
    <xf numFmtId="165" fontId="9" fillId="0" borderId="0" xfId="0" applyNumberFormat="1" applyFont="1" applyFill="1"/>
    <xf numFmtId="165" fontId="9" fillId="0" borderId="11" xfId="0" applyNumberFormat="1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3" fontId="9" fillId="0" borderId="17" xfId="0" applyNumberFormat="1" applyFont="1" applyFill="1" applyBorder="1"/>
    <xf numFmtId="0" fontId="9" fillId="0" borderId="0" xfId="0" applyFont="1" applyFill="1" applyProtection="1"/>
    <xf numFmtId="0" fontId="9" fillId="0" borderId="3" xfId="0" applyFont="1" applyFill="1" applyBorder="1" applyAlignment="1" applyProtection="1">
      <alignment horizontal="centerContinuous"/>
    </xf>
    <xf numFmtId="0" fontId="9" fillId="0" borderId="2" xfId="0" applyFont="1" applyFill="1" applyBorder="1" applyAlignment="1" applyProtection="1">
      <alignment horizontal="center"/>
    </xf>
    <xf numFmtId="5" fontId="9" fillId="0" borderId="7" xfId="0" applyNumberFormat="1" applyFont="1" applyFill="1" applyBorder="1" applyProtection="1"/>
    <xf numFmtId="5" fontId="9" fillId="0" borderId="20" xfId="0" applyNumberFormat="1" applyFont="1" applyFill="1" applyBorder="1" applyProtection="1"/>
    <xf numFmtId="5" fontId="9" fillId="0" borderId="22" xfId="0" applyNumberFormat="1" applyFont="1" applyFill="1" applyBorder="1" applyProtection="1"/>
    <xf numFmtId="168" fontId="9" fillId="0" borderId="0" xfId="1" applyNumberFormat="1" applyFont="1" applyFill="1"/>
    <xf numFmtId="0" fontId="9" fillId="0" borderId="29" xfId="0" applyFont="1" applyFill="1" applyBorder="1" applyAlignment="1" applyProtection="1">
      <alignment horizontal="centerContinuous"/>
    </xf>
    <xf numFmtId="0" fontId="9" fillId="0" borderId="11" xfId="0" applyFont="1" applyFill="1" applyBorder="1" applyAlignment="1" applyProtection="1">
      <alignment horizontal="centerContinuous"/>
    </xf>
    <xf numFmtId="0" fontId="9" fillId="0" borderId="12" xfId="0" applyFont="1" applyFill="1" applyBorder="1" applyAlignment="1" applyProtection="1">
      <alignment horizontal="centerContinuous"/>
    </xf>
    <xf numFmtId="165" fontId="9" fillId="0" borderId="4" xfId="0" applyNumberFormat="1" applyFont="1" applyFill="1" applyBorder="1" applyAlignment="1"/>
    <xf numFmtId="17" fontId="14" fillId="0" borderId="44" xfId="8" quotePrefix="1" applyNumberFormat="1" applyFont="1" applyFill="1" applyBorder="1" applyAlignment="1">
      <alignment horizontal="centerContinuous"/>
    </xf>
    <xf numFmtId="17" fontId="14" fillId="0" borderId="49" xfId="8" quotePrefix="1" applyNumberFormat="1" applyFont="1" applyFill="1" applyBorder="1" applyAlignment="1">
      <alignment horizontal="centerContinuous"/>
    </xf>
    <xf numFmtId="17" fontId="14" fillId="0" borderId="50" xfId="8" quotePrefix="1" applyNumberFormat="1" applyFont="1" applyFill="1" applyBorder="1" applyAlignment="1">
      <alignment horizontal="centerContinuous"/>
    </xf>
    <xf numFmtId="0" fontId="14" fillId="0" borderId="52" xfId="8" applyFont="1" applyFill="1" applyBorder="1"/>
    <xf numFmtId="0" fontId="14" fillId="0" borderId="18" xfId="8" applyFont="1" applyFill="1" applyBorder="1"/>
    <xf numFmtId="0" fontId="14" fillId="0" borderId="54" xfId="8" applyFont="1" applyFill="1" applyBorder="1"/>
    <xf numFmtId="0" fontId="14" fillId="0" borderId="56" xfId="8" applyFont="1" applyFill="1" applyBorder="1" applyAlignment="1">
      <alignment horizontal="center"/>
    </xf>
    <xf numFmtId="0" fontId="14" fillId="0" borderId="57" xfId="8" applyFont="1" applyFill="1" applyBorder="1" applyAlignment="1">
      <alignment horizontal="center"/>
    </xf>
    <xf numFmtId="5" fontId="14" fillId="0" borderId="58" xfId="8" applyNumberFormat="1" applyFont="1" applyFill="1" applyBorder="1"/>
    <xf numFmtId="37" fontId="14" fillId="0" borderId="59" xfId="8" applyNumberFormat="1" applyFont="1" applyFill="1" applyBorder="1"/>
    <xf numFmtId="2" fontId="14" fillId="0" borderId="60" xfId="8" applyNumberFormat="1" applyFont="1" applyFill="1" applyBorder="1"/>
    <xf numFmtId="37" fontId="14" fillId="0" borderId="61" xfId="8" applyNumberFormat="1" applyFont="1" applyFill="1" applyBorder="1"/>
    <xf numFmtId="176" fontId="14" fillId="0" borderId="13" xfId="8" applyNumberFormat="1" applyFont="1" applyFill="1" applyBorder="1"/>
    <xf numFmtId="9" fontId="14" fillId="0" borderId="58" xfId="10" applyNumberFormat="1" applyFont="1" applyFill="1" applyBorder="1"/>
    <xf numFmtId="9" fontId="14" fillId="0" borderId="61" xfId="10" applyNumberFormat="1" applyFont="1" applyFill="1" applyBorder="1"/>
    <xf numFmtId="9" fontId="14" fillId="0" borderId="62" xfId="10" applyNumberFormat="1" applyFont="1" applyFill="1" applyBorder="1"/>
    <xf numFmtId="5" fontId="14" fillId="0" borderId="63" xfId="8" applyNumberFormat="1" applyFont="1" applyFill="1" applyBorder="1"/>
    <xf numFmtId="37" fontId="14" fillId="0" borderId="64" xfId="8" applyNumberFormat="1" applyFont="1" applyFill="1" applyBorder="1"/>
    <xf numFmtId="9" fontId="14" fillId="0" borderId="63" xfId="10" applyNumberFormat="1" applyFont="1" applyFill="1" applyBorder="1"/>
    <xf numFmtId="9" fontId="14" fillId="0" borderId="64" xfId="10" applyNumberFormat="1" applyFont="1" applyFill="1" applyBorder="1"/>
    <xf numFmtId="9" fontId="14" fillId="0" borderId="60" xfId="10" applyNumberFormat="1" applyFont="1" applyFill="1" applyBorder="1"/>
    <xf numFmtId="5" fontId="14" fillId="0" borderId="65" xfId="8" applyNumberFormat="1" applyFont="1" applyFill="1" applyBorder="1"/>
    <xf numFmtId="37" fontId="14" fillId="0" borderId="65" xfId="8" applyNumberFormat="1" applyFont="1" applyFill="1" applyBorder="1"/>
    <xf numFmtId="2" fontId="14" fillId="0" borderId="65" xfId="8" applyNumberFormat="1" applyFont="1" applyFill="1" applyBorder="1"/>
    <xf numFmtId="9" fontId="14" fillId="0" borderId="41" xfId="10" applyNumberFormat="1" applyFont="1" applyFill="1" applyBorder="1"/>
    <xf numFmtId="0" fontId="31" fillId="0" borderId="0" xfId="7" applyFont="1" applyFill="1" applyAlignment="1" applyProtection="1">
      <alignment horizontal="left"/>
    </xf>
    <xf numFmtId="0" fontId="14" fillId="0" borderId="36" xfId="7" applyFont="1" applyFill="1" applyBorder="1" applyAlignment="1" applyProtection="1">
      <alignment horizontal="center"/>
    </xf>
    <xf numFmtId="0" fontId="14" fillId="0" borderId="37" xfId="7" applyFont="1" applyFill="1" applyBorder="1" applyAlignment="1" applyProtection="1">
      <alignment horizontal="center"/>
    </xf>
    <xf numFmtId="0" fontId="14" fillId="0" borderId="4" xfId="7" applyFont="1" applyFill="1" applyBorder="1" applyAlignment="1" applyProtection="1">
      <alignment horizontal="center"/>
    </xf>
    <xf numFmtId="0" fontId="14" fillId="0" borderId="38" xfId="7" applyFont="1" applyFill="1" applyBorder="1" applyAlignment="1" applyProtection="1">
      <alignment horizontal="center"/>
    </xf>
    <xf numFmtId="0" fontId="14" fillId="0" borderId="39" xfId="7" applyFont="1" applyFill="1" applyBorder="1" applyAlignment="1" applyProtection="1">
      <alignment horizontal="center"/>
    </xf>
    <xf numFmtId="0" fontId="14" fillId="0" borderId="40" xfId="7" applyFont="1" applyFill="1" applyBorder="1" applyAlignment="1" applyProtection="1">
      <alignment horizontal="center"/>
    </xf>
    <xf numFmtId="0" fontId="14" fillId="0" borderId="41" xfId="7" applyFont="1" applyFill="1" applyBorder="1" applyAlignment="1" applyProtection="1">
      <alignment horizontal="center"/>
    </xf>
    <xf numFmtId="0" fontId="14" fillId="0" borderId="42" xfId="7" applyFont="1" applyFill="1" applyBorder="1" applyAlignment="1" applyProtection="1">
      <alignment horizontal="left"/>
    </xf>
    <xf numFmtId="0" fontId="14" fillId="0" borderId="43" xfId="7" applyFont="1" applyFill="1" applyBorder="1" applyAlignment="1" applyProtection="1">
      <alignment horizontal="left"/>
    </xf>
    <xf numFmtId="0" fontId="14" fillId="0" borderId="44" xfId="7" applyFont="1" applyFill="1" applyBorder="1" applyAlignment="1" applyProtection="1">
      <alignment horizontal="left"/>
    </xf>
    <xf numFmtId="0" fontId="22" fillId="0" borderId="0" xfId="8" applyFont="1" applyFill="1"/>
    <xf numFmtId="0" fontId="22" fillId="0" borderId="0" xfId="8" applyFont="1" applyFill="1" applyAlignment="1">
      <alignment wrapText="1"/>
    </xf>
    <xf numFmtId="0" fontId="9" fillId="0" borderId="0" xfId="0" applyFont="1" applyFill="1" applyAlignment="1">
      <alignment wrapText="1"/>
    </xf>
    <xf numFmtId="5" fontId="9" fillId="0" borderId="3" xfId="0" applyNumberFormat="1" applyFont="1" applyFill="1" applyBorder="1" applyProtection="1"/>
    <xf numFmtId="5" fontId="9" fillId="0" borderId="34" xfId="0" applyNumberFormat="1" applyFont="1" applyFill="1" applyBorder="1" applyProtection="1"/>
    <xf numFmtId="0" fontId="9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centerContinuous"/>
    </xf>
    <xf numFmtId="0" fontId="11" fillId="0" borderId="0" xfId="0" applyFont="1" applyFill="1" applyAlignment="1" applyProtection="1">
      <alignment horizontal="centerContinuous"/>
    </xf>
    <xf numFmtId="0" fontId="9" fillId="0" borderId="5" xfId="0" applyFont="1" applyFill="1" applyBorder="1" applyAlignment="1" applyProtection="1">
      <alignment horizontal="centerContinuous"/>
    </xf>
    <xf numFmtId="0" fontId="9" fillId="0" borderId="71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Continuous"/>
    </xf>
    <xf numFmtId="0" fontId="9" fillId="0" borderId="1" xfId="0" applyFont="1" applyFill="1" applyBorder="1" applyAlignment="1" applyProtection="1">
      <alignment horizontal="centerContinuous"/>
    </xf>
    <xf numFmtId="0" fontId="9" fillId="0" borderId="0" xfId="0" quotePrefix="1" applyFont="1" applyFill="1" applyAlignment="1" applyProtection="1">
      <alignment horizontal="center"/>
    </xf>
    <xf numFmtId="0" fontId="9" fillId="0" borderId="38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left"/>
    </xf>
    <xf numFmtId="0" fontId="9" fillId="0" borderId="7" xfId="0" applyFont="1" applyFill="1" applyBorder="1" applyProtection="1"/>
    <xf numFmtId="173" fontId="9" fillId="0" borderId="0" xfId="0" applyNumberFormat="1" applyFont="1" applyFill="1" applyProtection="1"/>
    <xf numFmtId="0" fontId="9" fillId="0" borderId="8" xfId="0" applyFont="1" applyFill="1" applyBorder="1" applyAlignment="1" applyProtection="1">
      <alignment horizontal="left"/>
    </xf>
    <xf numFmtId="0" fontId="9" fillId="0" borderId="9" xfId="0" applyFont="1" applyFill="1" applyBorder="1" applyProtection="1"/>
    <xf numFmtId="0" fontId="9" fillId="0" borderId="10" xfId="0" applyFont="1" applyFill="1" applyBorder="1" applyAlignment="1" applyProtection="1">
      <alignment horizontal="left"/>
    </xf>
    <xf numFmtId="0" fontId="9" fillId="0" borderId="1" xfId="0" applyFont="1" applyFill="1" applyBorder="1" applyProtection="1"/>
    <xf numFmtId="0" fontId="9" fillId="0" borderId="33" xfId="0" applyFont="1" applyFill="1" applyBorder="1" applyAlignment="1" applyProtection="1">
      <alignment horizontal="left"/>
    </xf>
    <xf numFmtId="0" fontId="9" fillId="0" borderId="34" xfId="0" applyFont="1" applyFill="1" applyBorder="1" applyProtection="1"/>
    <xf numFmtId="0" fontId="9" fillId="0" borderId="31" xfId="0" applyFont="1" applyFill="1" applyBorder="1" applyAlignment="1" applyProtection="1">
      <alignment horizontal="left"/>
    </xf>
    <xf numFmtId="0" fontId="9" fillId="0" borderId="32" xfId="0" applyFont="1" applyFill="1" applyBorder="1" applyProtection="1"/>
    <xf numFmtId="0" fontId="9" fillId="0" borderId="21" xfId="0" applyFont="1" applyFill="1" applyBorder="1" applyAlignment="1" applyProtection="1">
      <alignment horizontal="left"/>
    </xf>
    <xf numFmtId="0" fontId="9" fillId="0" borderId="22" xfId="0" applyFont="1" applyFill="1" applyBorder="1" applyProtection="1"/>
    <xf numFmtId="5" fontId="9" fillId="0" borderId="0" xfId="0" applyNumberFormat="1" applyFont="1" applyFill="1" applyProtection="1"/>
    <xf numFmtId="0" fontId="9" fillId="0" borderId="1" xfId="0" quotePrefix="1" applyFont="1" applyFill="1" applyBorder="1" applyAlignment="1" applyProtection="1">
      <alignment horizontal="center"/>
    </xf>
    <xf numFmtId="10" fontId="9" fillId="0" borderId="0" xfId="10" applyNumberFormat="1" applyFont="1" applyFill="1" applyProtection="1"/>
    <xf numFmtId="0" fontId="9" fillId="0" borderId="0" xfId="0" applyFont="1" applyFill="1" applyAlignment="1">
      <alignment horizontal="left"/>
    </xf>
    <xf numFmtId="164" fontId="9" fillId="0" borderId="0" xfId="0" applyNumberFormat="1" applyFont="1" applyFill="1" applyProtection="1"/>
    <xf numFmtId="167" fontId="9" fillId="0" borderId="0" xfId="0" applyNumberFormat="1" applyFont="1" applyFill="1"/>
    <xf numFmtId="5" fontId="9" fillId="0" borderId="0" xfId="0" applyNumberFormat="1" applyFont="1" applyFill="1"/>
    <xf numFmtId="0" fontId="15" fillId="0" borderId="0" xfId="0" applyFont="1" applyFill="1" applyAlignment="1" applyProtection="1">
      <alignment horizontal="centerContinuous"/>
    </xf>
    <xf numFmtId="0" fontId="34" fillId="0" borderId="0" xfId="0" applyFont="1" applyFill="1" applyAlignment="1" applyProtection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3" xfId="0" applyFont="1" applyFill="1" applyBorder="1" applyAlignment="1" applyProtection="1">
      <alignment horizontal="center"/>
    </xf>
    <xf numFmtId="0" fontId="9" fillId="0" borderId="20" xfId="0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37" fontId="9" fillId="0" borderId="19" xfId="0" applyNumberFormat="1" applyFont="1" applyFill="1" applyBorder="1" applyProtection="1"/>
    <xf numFmtId="37" fontId="9" fillId="0" borderId="9" xfId="0" applyNumberFormat="1" applyFont="1" applyFill="1" applyBorder="1" applyProtection="1"/>
    <xf numFmtId="37" fontId="9" fillId="0" borderId="0" xfId="0" applyNumberFormat="1" applyFont="1" applyFill="1" applyProtection="1"/>
    <xf numFmtId="0" fontId="9" fillId="0" borderId="67" xfId="0" applyFont="1" applyFill="1" applyBorder="1" applyAlignment="1" applyProtection="1">
      <alignment horizontal="left"/>
    </xf>
    <xf numFmtId="0" fontId="9" fillId="0" borderId="68" xfId="0" applyFont="1" applyFill="1" applyBorder="1" applyProtection="1"/>
    <xf numFmtId="37" fontId="9" fillId="0" borderId="68" xfId="0" applyNumberFormat="1" applyFont="1" applyFill="1" applyBorder="1" applyProtection="1"/>
    <xf numFmtId="37" fontId="9" fillId="0" borderId="69" xfId="0" applyNumberFormat="1" applyFont="1" applyFill="1" applyBorder="1" applyProtection="1"/>
    <xf numFmtId="37" fontId="9" fillId="0" borderId="22" xfId="0" applyNumberFormat="1" applyFont="1" applyFill="1" applyBorder="1" applyProtection="1"/>
    <xf numFmtId="37" fontId="9" fillId="0" borderId="26" xfId="0" applyNumberFormat="1" applyFont="1" applyFill="1" applyBorder="1" applyProtection="1"/>
    <xf numFmtId="0" fontId="9" fillId="0" borderId="23" xfId="0" applyFont="1" applyFill="1" applyBorder="1" applyAlignment="1" applyProtection="1">
      <alignment horizontal="left"/>
    </xf>
    <xf numFmtId="0" fontId="9" fillId="0" borderId="24" xfId="0" applyFont="1" applyFill="1" applyBorder="1" applyProtection="1"/>
    <xf numFmtId="37" fontId="9" fillId="0" borderId="24" xfId="0" applyNumberFormat="1" applyFont="1" applyFill="1" applyBorder="1" applyProtection="1"/>
    <xf numFmtId="37" fontId="9" fillId="0" borderId="25" xfId="0" applyNumberFormat="1" applyFont="1" applyFill="1" applyBorder="1" applyProtection="1"/>
    <xf numFmtId="0" fontId="9" fillId="0" borderId="0" xfId="0" applyFont="1" applyFill="1" applyAlignment="1">
      <alignment horizontal="left" indent="1"/>
    </xf>
    <xf numFmtId="37" fontId="9" fillId="0" borderId="0" xfId="0" applyNumberFormat="1" applyFont="1" applyFill="1"/>
    <xf numFmtId="0" fontId="13" fillId="0" borderId="0" xfId="0" applyFont="1" applyFill="1" applyAlignment="1" applyProtection="1">
      <alignment horizontal="left"/>
    </xf>
    <xf numFmtId="168" fontId="9" fillId="0" borderId="0" xfId="0" applyNumberFormat="1" applyFont="1" applyFill="1" applyBorder="1"/>
    <xf numFmtId="168" fontId="9" fillId="0" borderId="4" xfId="0" applyNumberFormat="1" applyFont="1" applyFill="1" applyBorder="1"/>
    <xf numFmtId="3" fontId="9" fillId="0" borderId="4" xfId="0" applyNumberFormat="1" applyFont="1" applyFill="1" applyBorder="1"/>
    <xf numFmtId="3" fontId="7" fillId="0" borderId="0" xfId="0" applyNumberFormat="1" applyFont="1" applyFill="1" applyBorder="1"/>
    <xf numFmtId="3" fontId="7" fillId="0" borderId="4" xfId="0" applyNumberFormat="1" applyFont="1" applyFill="1" applyBorder="1"/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168" fontId="8" fillId="0" borderId="0" xfId="0" applyNumberFormat="1" applyFont="1" applyFill="1" applyBorder="1"/>
    <xf numFmtId="168" fontId="8" fillId="0" borderId="4" xfId="0" applyNumberFormat="1" applyFont="1" applyFill="1" applyBorder="1"/>
    <xf numFmtId="3" fontId="9" fillId="0" borderId="14" xfId="0" applyNumberFormat="1" applyFont="1" applyFill="1" applyBorder="1"/>
    <xf numFmtId="165" fontId="9" fillId="0" borderId="14" xfId="0" applyNumberFormat="1" applyFont="1" applyFill="1" applyBorder="1"/>
    <xf numFmtId="168" fontId="9" fillId="0" borderId="12" xfId="0" applyNumberFormat="1" applyFont="1" applyFill="1" applyBorder="1"/>
    <xf numFmtId="3" fontId="9" fillId="0" borderId="15" xfId="0" applyNumberFormat="1" applyFont="1" applyFill="1" applyBorder="1"/>
    <xf numFmtId="165" fontId="9" fillId="0" borderId="15" xfId="0" applyNumberFormat="1" applyFont="1" applyFill="1" applyBorder="1"/>
    <xf numFmtId="0" fontId="9" fillId="0" borderId="0" xfId="0" applyFont="1" applyFill="1" applyAlignment="1">
      <alignment horizontal="center"/>
    </xf>
    <xf numFmtId="0" fontId="11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center"/>
    </xf>
    <xf numFmtId="49" fontId="9" fillId="0" borderId="0" xfId="9" applyNumberFormat="1" applyFont="1" applyFill="1"/>
    <xf numFmtId="165" fontId="9" fillId="0" borderId="4" xfId="0" applyNumberFormat="1" applyFont="1" applyFill="1" applyBorder="1"/>
    <xf numFmtId="165" fontId="7" fillId="0" borderId="4" xfId="0" applyNumberFormat="1" applyFont="1" applyFill="1" applyBorder="1"/>
    <xf numFmtId="165" fontId="9" fillId="0" borderId="72" xfId="0" applyNumberFormat="1" applyFont="1" applyFill="1" applyBorder="1"/>
    <xf numFmtId="165" fontId="9" fillId="0" borderId="13" xfId="0" applyNumberFormat="1" applyFont="1" applyFill="1" applyBorder="1"/>
    <xf numFmtId="0" fontId="9" fillId="0" borderId="4" xfId="0" applyFont="1" applyFill="1" applyBorder="1"/>
    <xf numFmtId="165" fontId="9" fillId="0" borderId="70" xfId="0" applyNumberFormat="1" applyFont="1" applyFill="1" applyBorder="1"/>
    <xf numFmtId="165" fontId="9" fillId="0" borderId="66" xfId="0" applyNumberFormat="1" applyFont="1" applyFill="1" applyBorder="1"/>
    <xf numFmtId="0" fontId="9" fillId="0" borderId="29" xfId="0" applyFont="1" applyFill="1" applyBorder="1" applyAlignment="1" applyProtection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18" xfId="0" applyFont="1" applyFill="1" applyBorder="1" applyAlignment="1" applyProtection="1">
      <alignment horizontal="center"/>
    </xf>
    <xf numFmtId="14" fontId="9" fillId="0" borderId="0" xfId="0" applyNumberFormat="1" applyFont="1" applyFill="1"/>
    <xf numFmtId="16" fontId="9" fillId="0" borderId="0" xfId="0" applyNumberFormat="1" applyFont="1" applyFill="1"/>
    <xf numFmtId="168" fontId="9" fillId="0" borderId="0" xfId="0" quotePrefix="1" applyNumberFormat="1" applyFont="1" applyFill="1"/>
    <xf numFmtId="44" fontId="9" fillId="0" borderId="0" xfId="3" applyFont="1" applyFill="1" applyAlignment="1" applyProtection="1">
      <alignment horizontal="left"/>
    </xf>
    <xf numFmtId="168" fontId="9" fillId="0" borderId="0" xfId="1" applyNumberFormat="1" applyFont="1" applyFill="1" applyProtection="1"/>
    <xf numFmtId="166" fontId="9" fillId="0" borderId="0" xfId="0" applyNumberFormat="1" applyFont="1" applyFill="1"/>
    <xf numFmtId="1" fontId="9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top"/>
      <protection locked="0"/>
    </xf>
    <xf numFmtId="1" fontId="9" fillId="0" borderId="0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75" fontId="9" fillId="0" borderId="0" xfId="0" applyNumberFormat="1" applyFont="1" applyFill="1"/>
    <xf numFmtId="49" fontId="9" fillId="0" borderId="0" xfId="9" applyNumberFormat="1" applyFont="1" applyFill="1" applyBorder="1"/>
    <xf numFmtId="7" fontId="9" fillId="0" borderId="0" xfId="0" applyNumberFormat="1" applyFont="1" applyFill="1"/>
    <xf numFmtId="167" fontId="9" fillId="0" borderId="0" xfId="3" applyNumberFormat="1" applyFont="1" applyFill="1"/>
    <xf numFmtId="37" fontId="9" fillId="0" borderId="10" xfId="0" applyNumberFormat="1" applyFont="1" applyFill="1" applyBorder="1" applyProtection="1"/>
    <xf numFmtId="37" fontId="9" fillId="0" borderId="0" xfId="0" applyNumberFormat="1" applyFont="1" applyFill="1" applyBorder="1" applyProtection="1"/>
    <xf numFmtId="37" fontId="9" fillId="0" borderId="8" xfId="0" applyNumberFormat="1" applyFont="1" applyFill="1" applyBorder="1" applyProtection="1"/>
    <xf numFmtId="37" fontId="9" fillId="0" borderId="35" xfId="0" applyNumberFormat="1" applyFont="1" applyFill="1" applyBorder="1" applyProtection="1"/>
    <xf numFmtId="37" fontId="9" fillId="0" borderId="18" xfId="0" applyNumberFormat="1" applyFont="1" applyFill="1" applyBorder="1" applyProtection="1"/>
    <xf numFmtId="0" fontId="33" fillId="0" borderId="0" xfId="0" applyFont="1" applyFill="1" applyAlignment="1" applyProtection="1">
      <alignment horizontal="left"/>
    </xf>
    <xf numFmtId="0" fontId="9" fillId="0" borderId="1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Continuous"/>
    </xf>
    <xf numFmtId="0" fontId="9" fillId="0" borderId="0" xfId="0" applyFont="1" applyFill="1" applyBorder="1" applyProtection="1"/>
    <xf numFmtId="0" fontId="9" fillId="0" borderId="35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6" fontId="9" fillId="0" borderId="8" xfId="0" quotePrefix="1" applyNumberFormat="1" applyFont="1" applyFill="1" applyBorder="1" applyAlignment="1" applyProtection="1">
      <alignment horizontal="center"/>
    </xf>
    <xf numFmtId="17" fontId="9" fillId="0" borderId="0" xfId="0" applyNumberFormat="1" applyFont="1" applyFill="1" applyAlignment="1" applyProtection="1">
      <alignment horizontal="left"/>
    </xf>
    <xf numFmtId="42" fontId="9" fillId="0" borderId="10" xfId="0" applyNumberFormat="1" applyFont="1" applyFill="1" applyBorder="1" applyProtection="1"/>
    <xf numFmtId="17" fontId="9" fillId="0" borderId="0" xfId="0" applyNumberFormat="1" applyFont="1" applyFill="1"/>
    <xf numFmtId="37" fontId="9" fillId="0" borderId="11" xfId="0" applyNumberFormat="1" applyFont="1" applyFill="1" applyBorder="1" applyProtection="1"/>
    <xf numFmtId="17" fontId="9" fillId="0" borderId="0" xfId="0" applyNumberFormat="1" applyFont="1" applyFill="1" applyBorder="1" applyAlignment="1" applyProtection="1">
      <alignment horizontal="left"/>
    </xf>
    <xf numFmtId="17" fontId="9" fillId="0" borderId="0" xfId="0" applyNumberFormat="1" applyFont="1" applyFill="1" applyBorder="1"/>
    <xf numFmtId="42" fontId="9" fillId="0" borderId="0" xfId="0" applyNumberFormat="1" applyFont="1" applyFill="1" applyBorder="1" applyProtection="1"/>
    <xf numFmtId="42" fontId="9" fillId="0" borderId="31" xfId="0" applyNumberFormat="1" applyFont="1" applyFill="1" applyBorder="1" applyProtection="1"/>
    <xf numFmtId="0" fontId="9" fillId="0" borderId="10" xfId="0" applyFont="1" applyFill="1" applyBorder="1"/>
    <xf numFmtId="42" fontId="9" fillId="0" borderId="10" xfId="0" applyNumberFormat="1" applyFont="1" applyFill="1" applyBorder="1"/>
    <xf numFmtId="5" fontId="9" fillId="0" borderId="0" xfId="0" applyNumberFormat="1" applyFont="1" applyFill="1" applyBorder="1" applyProtection="1"/>
    <xf numFmtId="42" fontId="9" fillId="0" borderId="0" xfId="0" applyNumberFormat="1" applyFont="1" applyFill="1"/>
    <xf numFmtId="42" fontId="9" fillId="0" borderId="8" xfId="0" applyNumberFormat="1" applyFont="1" applyFill="1" applyBorder="1" applyProtection="1"/>
    <xf numFmtId="42" fontId="9" fillId="0" borderId="18" xfId="0" applyNumberFormat="1" applyFont="1" applyFill="1" applyBorder="1" applyProtection="1"/>
    <xf numFmtId="42" fontId="9" fillId="0" borderId="29" xfId="0" applyNumberFormat="1" applyFont="1" applyFill="1" applyBorder="1" applyProtection="1"/>
    <xf numFmtId="174" fontId="9" fillId="0" borderId="18" xfId="0" applyNumberFormat="1" applyFont="1" applyFill="1" applyBorder="1" applyProtection="1"/>
    <xf numFmtId="174" fontId="9" fillId="0" borderId="0" xfId="0" applyNumberFormat="1" applyFont="1" applyFill="1" applyProtection="1"/>
    <xf numFmtId="42" fontId="9" fillId="0" borderId="18" xfId="0" applyNumberFormat="1" applyFont="1" applyFill="1" applyBorder="1"/>
    <xf numFmtId="1" fontId="9" fillId="0" borderId="0" xfId="0" applyNumberFormat="1" applyFont="1" applyFill="1"/>
    <xf numFmtId="170" fontId="9" fillId="0" borderId="0" xfId="0" applyNumberFormat="1" applyFont="1" applyFill="1" applyBorder="1" applyProtection="1"/>
    <xf numFmtId="167" fontId="9" fillId="0" borderId="0" xfId="3" applyNumberFormat="1" applyFont="1" applyFill="1" applyBorder="1" applyProtection="1"/>
    <xf numFmtId="167" fontId="9" fillId="0" borderId="0" xfId="3" applyNumberFormat="1" applyFont="1" applyFill="1" applyProtection="1"/>
    <xf numFmtId="167" fontId="9" fillId="0" borderId="0" xfId="0" applyNumberFormat="1" applyFont="1" applyFill="1" applyProtection="1"/>
    <xf numFmtId="0" fontId="9" fillId="0" borderId="64" xfId="0" applyFont="1" applyFill="1" applyBorder="1"/>
    <xf numFmtId="167" fontId="9" fillId="0" borderId="64" xfId="3" applyNumberFormat="1" applyFont="1" applyFill="1" applyBorder="1"/>
    <xf numFmtId="0" fontId="9" fillId="0" borderId="0" xfId="1" applyNumberFormat="1" applyFont="1" applyFill="1"/>
    <xf numFmtId="2" fontId="9" fillId="0" borderId="0" xfId="0" applyNumberFormat="1" applyFont="1" applyFill="1"/>
    <xf numFmtId="5" fontId="9" fillId="0" borderId="0" xfId="1" applyNumberFormat="1" applyFont="1" applyFill="1"/>
    <xf numFmtId="176" fontId="9" fillId="0" borderId="0" xfId="0" applyNumberFormat="1" applyFont="1" applyFill="1"/>
    <xf numFmtId="9" fontId="9" fillId="0" borderId="0" xfId="0" applyNumberFormat="1" applyFont="1" applyFill="1"/>
    <xf numFmtId="0" fontId="3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175" fontId="14" fillId="0" borderId="0" xfId="0" applyNumberFormat="1" applyFont="1" applyFill="1" applyBorder="1"/>
    <xf numFmtId="0" fontId="2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/>
    </xf>
    <xf numFmtId="177" fontId="9" fillId="0" borderId="0" xfId="0" applyNumberFormat="1" applyFont="1" applyFill="1" applyBorder="1" applyAlignment="1">
      <alignment horizontal="left"/>
    </xf>
    <xf numFmtId="178" fontId="28" fillId="0" borderId="0" xfId="0" applyNumberFormat="1" applyFont="1" applyFill="1" applyBorder="1" applyAlignment="1" applyProtection="1">
      <alignment horizontal="right" vertical="top"/>
      <protection locked="0"/>
    </xf>
    <xf numFmtId="17" fontId="9" fillId="0" borderId="0" xfId="0" quotePrefix="1" applyNumberFormat="1" applyFont="1" applyFill="1" applyBorder="1" applyAlignment="1">
      <alignment horizontal="left"/>
    </xf>
    <xf numFmtId="0" fontId="9" fillId="0" borderId="0" xfId="0" applyNumberFormat="1" applyFont="1" applyFill="1"/>
    <xf numFmtId="37" fontId="9" fillId="0" borderId="12" xfId="0" applyNumberFormat="1" applyFont="1" applyFill="1" applyBorder="1" applyProtection="1"/>
    <xf numFmtId="37" fontId="9" fillId="0" borderId="29" xfId="0" applyNumberFormat="1" applyFont="1" applyFill="1" applyBorder="1" applyProtection="1"/>
    <xf numFmtId="37" fontId="9" fillId="0" borderId="32" xfId="0" applyNumberFormat="1" applyFont="1" applyFill="1" applyBorder="1" applyProtection="1"/>
    <xf numFmtId="0" fontId="40" fillId="0" borderId="0" xfId="16" applyFont="1" applyFill="1" applyAlignment="1">
      <alignment horizontal="centerContinuous"/>
    </xf>
    <xf numFmtId="37" fontId="40" fillId="0" borderId="0" xfId="16" applyNumberFormat="1" applyFont="1" applyFill="1" applyAlignment="1" applyProtection="1">
      <alignment horizontal="centerContinuous"/>
    </xf>
    <xf numFmtId="0" fontId="40" fillId="0" borderId="0" xfId="16" applyFont="1" applyFill="1"/>
    <xf numFmtId="0" fontId="40" fillId="0" borderId="0" xfId="16" applyFont="1" applyFill="1" applyAlignment="1">
      <alignment horizontal="center"/>
    </xf>
    <xf numFmtId="5" fontId="41" fillId="0" borderId="0" xfId="16" applyNumberFormat="1" applyFont="1" applyFill="1" applyProtection="1"/>
    <xf numFmtId="0" fontId="9" fillId="0" borderId="74" xfId="0" applyFont="1" applyFill="1" applyBorder="1"/>
    <xf numFmtId="0" fontId="9" fillId="0" borderId="27" xfId="0" applyFont="1" applyFill="1" applyBorder="1" applyAlignment="1"/>
    <xf numFmtId="165" fontId="9" fillId="0" borderId="17" xfId="0" applyNumberFormat="1" applyFont="1" applyFill="1" applyBorder="1"/>
    <xf numFmtId="0" fontId="37" fillId="0" borderId="0" xfId="28" applyFont="1" applyFill="1" applyBorder="1"/>
    <xf numFmtId="168" fontId="37" fillId="0" borderId="0" xfId="29" applyNumberFormat="1" applyFont="1" applyFill="1" applyBorder="1"/>
    <xf numFmtId="0" fontId="37" fillId="0" borderId="0" xfId="28" applyFont="1" applyFill="1"/>
    <xf numFmtId="0" fontId="37" fillId="0" borderId="27" xfId="28" applyFont="1" applyFill="1" applyBorder="1"/>
    <xf numFmtId="0" fontId="37" fillId="0" borderId="28" xfId="28" applyFont="1" applyFill="1" applyBorder="1"/>
    <xf numFmtId="0" fontId="37" fillId="0" borderId="45" xfId="28" applyFont="1" applyFill="1" applyBorder="1"/>
    <xf numFmtId="0" fontId="37" fillId="0" borderId="73" xfId="28" applyFont="1" applyFill="1" applyBorder="1"/>
    <xf numFmtId="0" fontId="37" fillId="0" borderId="29" xfId="28" applyFont="1" applyFill="1" applyBorder="1"/>
    <xf numFmtId="0" fontId="37" fillId="0" borderId="11" xfId="28" applyFont="1" applyFill="1" applyBorder="1"/>
    <xf numFmtId="0" fontId="37" fillId="0" borderId="12" xfId="28" applyFont="1" applyFill="1" applyBorder="1"/>
    <xf numFmtId="0" fontId="37" fillId="0" borderId="59" xfId="28" applyFont="1" applyFill="1" applyBorder="1"/>
    <xf numFmtId="168" fontId="5" fillId="0" borderId="18" xfId="29" applyNumberFormat="1" applyFont="1" applyFill="1" applyBorder="1"/>
    <xf numFmtId="168" fontId="5" fillId="0" borderId="0" xfId="29" applyNumberFormat="1" applyFont="1" applyFill="1" applyBorder="1"/>
    <xf numFmtId="168" fontId="5" fillId="0" borderId="4" xfId="29" applyNumberFormat="1" applyFont="1" applyFill="1" applyBorder="1"/>
    <xf numFmtId="168" fontId="5" fillId="0" borderId="27" xfId="29" applyNumberFormat="1" applyFont="1" applyFill="1" applyBorder="1"/>
    <xf numFmtId="168" fontId="5" fillId="0" borderId="45" xfId="29" applyNumberFormat="1" applyFont="1" applyFill="1" applyBorder="1"/>
    <xf numFmtId="168" fontId="5" fillId="0" borderId="29" xfId="29" applyNumberFormat="1" applyFont="1" applyFill="1" applyBorder="1"/>
    <xf numFmtId="168" fontId="5" fillId="0" borderId="12" xfId="29" applyNumberFormat="1" applyFont="1" applyFill="1" applyBorder="1"/>
    <xf numFmtId="0" fontId="5" fillId="0" borderId="0" xfId="28" applyFont="1" applyFill="1"/>
    <xf numFmtId="0" fontId="9" fillId="0" borderId="11" xfId="0" applyFont="1" applyFill="1" applyBorder="1" applyAlignment="1" applyProtection="1">
      <alignment horizontal="center"/>
    </xf>
    <xf numFmtId="174" fontId="9" fillId="0" borderId="0" xfId="0" applyNumberFormat="1" applyFont="1" applyFill="1" applyBorder="1" applyProtection="1"/>
    <xf numFmtId="42" fontId="9" fillId="0" borderId="0" xfId="0" applyNumberFormat="1" applyFont="1" applyFill="1" applyBorder="1"/>
    <xf numFmtId="0" fontId="40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5" fontId="40" fillId="0" borderId="0" xfId="0" applyNumberFormat="1" applyFont="1" applyFill="1" applyProtection="1"/>
    <xf numFmtId="5" fontId="41" fillId="0" borderId="0" xfId="0" applyNumberFormat="1" applyFont="1" applyFill="1" applyProtection="1"/>
    <xf numFmtId="173" fontId="41" fillId="0" borderId="0" xfId="16" applyNumberFormat="1" applyFont="1" applyFill="1" applyProtection="1"/>
    <xf numFmtId="3" fontId="9" fillId="0" borderId="72" xfId="0" applyNumberFormat="1" applyFont="1" applyFill="1" applyBorder="1"/>
    <xf numFmtId="17" fontId="40" fillId="0" borderId="0" xfId="0" quotePrefix="1" applyNumberFormat="1" applyFont="1" applyFill="1" applyAlignment="1">
      <alignment horizontal="center"/>
    </xf>
    <xf numFmtId="9" fontId="14" fillId="0" borderId="75" xfId="10" applyNumberFormat="1" applyFont="1" applyFill="1" applyBorder="1"/>
    <xf numFmtId="9" fontId="14" fillId="0" borderId="74" xfId="10" applyNumberFormat="1" applyFont="1" applyFill="1" applyBorder="1"/>
    <xf numFmtId="9" fontId="14" fillId="0" borderId="76" xfId="10" applyNumberFormat="1" applyFont="1" applyFill="1" applyBorder="1"/>
    <xf numFmtId="165" fontId="9" fillId="0" borderId="18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5" fontId="9" fillId="0" borderId="0" xfId="0" applyNumberFormat="1" applyFont="1" applyFill="1" applyBorder="1" applyAlignment="1" applyProtection="1">
      <alignment horizontal="center"/>
    </xf>
    <xf numFmtId="165" fontId="9" fillId="0" borderId="11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/>
    <xf numFmtId="3" fontId="9" fillId="0" borderId="4" xfId="0" applyNumberFormat="1" applyFont="1" applyFill="1" applyBorder="1" applyAlignment="1"/>
    <xf numFmtId="3" fontId="9" fillId="0" borderId="0" xfId="0" applyNumberFormat="1" applyFont="1" applyFill="1" applyBorder="1" applyAlignment="1"/>
    <xf numFmtId="0" fontId="9" fillId="0" borderId="5" xfId="0" applyFont="1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Continuous"/>
    </xf>
    <xf numFmtId="0" fontId="42" fillId="0" borderId="0" xfId="0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right"/>
    </xf>
    <xf numFmtId="0" fontId="9" fillId="0" borderId="14" xfId="0" applyFont="1" applyFill="1" applyBorder="1" applyAlignment="1">
      <alignment horizontal="right"/>
    </xf>
    <xf numFmtId="168" fontId="9" fillId="0" borderId="15" xfId="0" applyNumberFormat="1" applyFont="1" applyFill="1" applyBorder="1" applyAlignment="1">
      <alignment horizontal="right"/>
    </xf>
    <xf numFmtId="0" fontId="12" fillId="0" borderId="15" xfId="0" applyFont="1" applyFill="1" applyBorder="1"/>
    <xf numFmtId="0" fontId="11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43" fontId="9" fillId="0" borderId="0" xfId="1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25" applyFont="1" applyFill="1" applyAlignment="1" applyProtection="1">
      <alignment horizontal="centerContinuous"/>
    </xf>
    <xf numFmtId="0" fontId="9" fillId="0" borderId="11" xfId="25" applyFont="1" applyFill="1" applyBorder="1" applyAlignment="1" applyProtection="1">
      <alignment horizontal="centerContinuous"/>
    </xf>
    <xf numFmtId="172" fontId="9" fillId="0" borderId="48" xfId="25" applyNumberFormat="1" applyFont="1" applyFill="1" applyBorder="1"/>
    <xf numFmtId="172" fontId="9" fillId="0" borderId="3" xfId="25" applyNumberFormat="1" applyFont="1" applyFill="1" applyBorder="1"/>
    <xf numFmtId="17" fontId="9" fillId="0" borderId="0" xfId="25" applyNumberFormat="1" applyFont="1" applyFill="1" applyBorder="1" applyAlignment="1" applyProtection="1">
      <alignment horizontal="right"/>
    </xf>
    <xf numFmtId="37" fontId="9" fillId="0" borderId="28" xfId="25" applyNumberFormat="1" applyFont="1" applyFill="1" applyBorder="1" applyProtection="1"/>
    <xf numFmtId="172" fontId="9" fillId="0" borderId="18" xfId="25" applyNumberFormat="1" applyFont="1" applyFill="1" applyBorder="1"/>
    <xf numFmtId="172" fontId="9" fillId="0" borderId="1" xfId="25" applyNumberFormat="1" applyFont="1" applyFill="1" applyBorder="1"/>
    <xf numFmtId="17" fontId="9" fillId="0" borderId="11" xfId="25" applyNumberFormat="1" applyFont="1" applyFill="1" applyBorder="1" applyAlignment="1" applyProtection="1">
      <alignment horizontal="right"/>
    </xf>
    <xf numFmtId="37" fontId="9" fillId="0" borderId="11" xfId="25" applyNumberFormat="1" applyFont="1" applyFill="1" applyBorder="1" applyProtection="1"/>
    <xf numFmtId="172" fontId="9" fillId="0" borderId="4" xfId="25" applyNumberFormat="1" applyFont="1" applyFill="1" applyBorder="1"/>
    <xf numFmtId="17" fontId="9" fillId="0" borderId="0" xfId="25" applyNumberFormat="1" applyFont="1" applyFill="1" applyBorder="1" applyAlignment="1" applyProtection="1">
      <alignment horizontal="left"/>
    </xf>
    <xf numFmtId="37" fontId="9" fillId="0" borderId="0" xfId="25" applyNumberFormat="1" applyFont="1" applyFill="1" applyBorder="1" applyProtection="1"/>
    <xf numFmtId="172" fontId="9" fillId="0" borderId="10" xfId="0" applyNumberFormat="1" applyFont="1" applyFill="1" applyBorder="1"/>
    <xf numFmtId="172" fontId="9" fillId="0" borderId="8" xfId="0" applyNumberFormat="1" applyFont="1" applyFill="1" applyBorder="1"/>
    <xf numFmtId="172" fontId="9" fillId="0" borderId="26" xfId="0" applyNumberFormat="1" applyFont="1" applyFill="1" applyBorder="1"/>
    <xf numFmtId="172" fontId="9" fillId="0" borderId="10" xfId="25" applyNumberFormat="1" applyFont="1" applyFill="1" applyBorder="1"/>
    <xf numFmtId="172" fontId="9" fillId="0" borderId="0" xfId="25" applyNumberFormat="1" applyFont="1" applyFill="1" applyBorder="1"/>
    <xf numFmtId="172" fontId="9" fillId="0" borderId="0" xfId="0" applyNumberFormat="1" applyFont="1" applyFill="1" applyBorder="1"/>
    <xf numFmtId="172" fontId="9" fillId="0" borderId="4" xfId="0" applyNumberFormat="1" applyFont="1" applyFill="1" applyBorder="1"/>
    <xf numFmtId="0" fontId="9" fillId="0" borderId="11" xfId="25" applyFont="1" applyFill="1" applyBorder="1" applyAlignment="1">
      <alignment horizontal="right"/>
    </xf>
    <xf numFmtId="172" fontId="9" fillId="0" borderId="31" xfId="25" applyNumberFormat="1" applyFont="1" applyFill="1" applyBorder="1"/>
    <xf numFmtId="172" fontId="9" fillId="0" borderId="11" xfId="25" applyNumberFormat="1" applyFont="1" applyFill="1" applyBorder="1"/>
    <xf numFmtId="172" fontId="9" fillId="0" borderId="12" xfId="25" applyNumberFormat="1" applyFont="1" applyFill="1" applyBorder="1"/>
    <xf numFmtId="172" fontId="9" fillId="0" borderId="78" xfId="0" applyNumberFormat="1" applyFont="1" applyFill="1" applyBorder="1"/>
    <xf numFmtId="172" fontId="9" fillId="0" borderId="45" xfId="0" applyNumberFormat="1" applyFont="1" applyFill="1" applyBorder="1"/>
    <xf numFmtId="0" fontId="9" fillId="0" borderId="0" xfId="25" applyFont="1" applyFill="1" applyBorder="1" applyProtection="1"/>
    <xf numFmtId="0" fontId="9" fillId="0" borderId="11" xfId="25" applyFont="1" applyFill="1" applyBorder="1" applyAlignment="1" applyProtection="1">
      <alignment horizontal="left"/>
    </xf>
    <xf numFmtId="172" fontId="9" fillId="0" borderId="20" xfId="25" applyNumberFormat="1" applyFont="1" applyFill="1" applyBorder="1"/>
    <xf numFmtId="10" fontId="9" fillId="0" borderId="0" xfId="10" applyNumberFormat="1" applyFont="1" applyFill="1" applyBorder="1"/>
    <xf numFmtId="10" fontId="9" fillId="0" borderId="0" xfId="0" applyNumberFormat="1" applyFont="1" applyFill="1" applyBorder="1"/>
    <xf numFmtId="10" fontId="7" fillId="0" borderId="0" xfId="0" applyNumberFormat="1" applyFont="1" applyFill="1" applyBorder="1"/>
    <xf numFmtId="165" fontId="7" fillId="0" borderId="0" xfId="0" applyNumberFormat="1" applyFont="1" applyFill="1"/>
    <xf numFmtId="10" fontId="7" fillId="0" borderId="0" xfId="10" applyNumberFormat="1" applyFont="1" applyFill="1" applyBorder="1"/>
    <xf numFmtId="0" fontId="7" fillId="0" borderId="4" xfId="0" applyFont="1" applyFill="1" applyBorder="1"/>
    <xf numFmtId="166" fontId="9" fillId="0" borderId="0" xfId="10" applyNumberFormat="1" applyFont="1" applyFill="1" applyBorder="1"/>
    <xf numFmtId="10" fontId="8" fillId="0" borderId="0" xfId="0" applyNumberFormat="1" applyFont="1" applyFill="1" applyBorder="1"/>
    <xf numFmtId="0" fontId="5" fillId="0" borderId="0" xfId="28" applyFont="1" applyFill="1" applyBorder="1"/>
    <xf numFmtId="168" fontId="5" fillId="0" borderId="0" xfId="28" applyNumberFormat="1" applyFont="1" applyFill="1"/>
    <xf numFmtId="4" fontId="5" fillId="0" borderId="0" xfId="28" applyNumberFormat="1" applyFont="1" applyFill="1"/>
    <xf numFmtId="0" fontId="39" fillId="0" borderId="0" xfId="16" applyFont="1" applyFill="1"/>
    <xf numFmtId="5" fontId="39" fillId="0" borderId="0" xfId="16" applyNumberFormat="1" applyFont="1" applyFill="1"/>
    <xf numFmtId="0" fontId="39" fillId="0" borderId="0" xfId="16" applyFont="1" applyFill="1" applyAlignment="1"/>
    <xf numFmtId="0" fontId="39" fillId="0" borderId="0" xfId="16" applyFont="1" applyFill="1" applyAlignment="1">
      <alignment horizontal="right"/>
    </xf>
    <xf numFmtId="0" fontId="39" fillId="0" borderId="0" xfId="16" applyNumberFormat="1" applyFont="1" applyFill="1" applyAlignment="1">
      <alignment horizontal="right"/>
    </xf>
    <xf numFmtId="0" fontId="39" fillId="0" borderId="0" xfId="16" applyFont="1" applyFill="1" applyAlignment="1">
      <alignment horizontal="left"/>
    </xf>
    <xf numFmtId="0" fontId="43" fillId="0" borderId="0" xfId="0" applyFont="1" applyFill="1" applyAlignment="1">
      <alignment horizontal="left"/>
    </xf>
    <xf numFmtId="49" fontId="44" fillId="0" borderId="0" xfId="0" applyNumberFormat="1" applyFont="1" applyFill="1" applyAlignment="1">
      <alignment horizontal="left" vertical="center"/>
    </xf>
    <xf numFmtId="49" fontId="45" fillId="0" borderId="77" xfId="0" applyNumberFormat="1" applyFont="1" applyFill="1" applyBorder="1" applyAlignment="1">
      <alignment horizontal="left"/>
    </xf>
    <xf numFmtId="49" fontId="47" fillId="2" borderId="79" xfId="0" applyNumberFormat="1" applyFont="1" applyFill="1" applyBorder="1" applyAlignment="1">
      <alignment horizontal="left"/>
    </xf>
    <xf numFmtId="0" fontId="47" fillId="2" borderId="79" xfId="0" applyFont="1" applyFill="1" applyBorder="1" applyAlignment="1">
      <alignment horizontal="right"/>
    </xf>
    <xf numFmtId="180" fontId="47" fillId="2" borderId="79" xfId="0" applyNumberFormat="1" applyFont="1" applyFill="1" applyBorder="1" applyAlignment="1">
      <alignment horizontal="right"/>
    </xf>
    <xf numFmtId="6" fontId="40" fillId="0" borderId="0" xfId="0" applyNumberFormat="1" applyFont="1" applyFill="1" applyProtection="1"/>
    <xf numFmtId="6" fontId="41" fillId="0" borderId="0" xfId="0" applyNumberFormat="1" applyFont="1" applyFill="1" applyProtection="1"/>
    <xf numFmtId="0" fontId="5" fillId="3" borderId="27" xfId="23" applyFont="1" applyFill="1" applyBorder="1" applyAlignment="1">
      <alignment horizontal="center"/>
    </xf>
    <xf numFmtId="0" fontId="5" fillId="3" borderId="45" xfId="23" applyFont="1" applyFill="1" applyBorder="1" applyAlignment="1">
      <alignment horizontal="center"/>
    </xf>
    <xf numFmtId="168" fontId="5" fillId="3" borderId="18" xfId="18" applyNumberFormat="1" applyFont="1" applyFill="1" applyBorder="1" applyAlignment="1">
      <alignment horizontal="center"/>
    </xf>
    <xf numFmtId="168" fontId="5" fillId="3" borderId="0" xfId="18" applyNumberFormat="1" applyFont="1" applyFill="1" applyBorder="1" applyAlignment="1">
      <alignment horizontal="center"/>
    </xf>
    <xf numFmtId="168" fontId="5" fillId="3" borderId="4" xfId="18" applyNumberFormat="1" applyFont="1" applyFill="1" applyBorder="1" applyAlignment="1">
      <alignment horizontal="center"/>
    </xf>
    <xf numFmtId="168" fontId="5" fillId="3" borderId="38" xfId="18" applyNumberFormat="1" applyFont="1" applyFill="1" applyBorder="1" applyAlignment="1">
      <alignment horizontal="center"/>
    </xf>
    <xf numFmtId="0" fontId="5" fillId="3" borderId="18" xfId="23" applyFont="1" applyFill="1" applyBorder="1" applyAlignment="1">
      <alignment horizontal="center"/>
    </xf>
    <xf numFmtId="0" fontId="5" fillId="3" borderId="4" xfId="23" applyFont="1" applyFill="1" applyBorder="1" applyAlignment="1">
      <alignment horizontal="center"/>
    </xf>
    <xf numFmtId="0" fontId="5" fillId="3" borderId="29" xfId="23" applyFont="1" applyFill="1" applyBorder="1" applyAlignment="1">
      <alignment horizontal="center"/>
    </xf>
    <xf numFmtId="0" fontId="5" fillId="3" borderId="12" xfId="23" applyFont="1" applyFill="1" applyBorder="1" applyAlignment="1">
      <alignment horizontal="center"/>
    </xf>
    <xf numFmtId="168" fontId="5" fillId="3" borderId="29" xfId="18" applyNumberFormat="1" applyFont="1" applyFill="1" applyBorder="1" applyAlignment="1">
      <alignment horizontal="center"/>
    </xf>
    <xf numFmtId="168" fontId="5" fillId="3" borderId="11" xfId="18" applyNumberFormat="1" applyFont="1" applyFill="1" applyBorder="1" applyAlignment="1">
      <alignment horizontal="center"/>
    </xf>
    <xf numFmtId="168" fontId="5" fillId="3" borderId="12" xfId="18" applyNumberFormat="1" applyFont="1" applyFill="1" applyBorder="1" applyAlignment="1">
      <alignment horizontal="center"/>
    </xf>
    <xf numFmtId="168" fontId="5" fillId="3" borderId="59" xfId="18" applyNumberFormat="1" applyFont="1" applyFill="1" applyBorder="1" applyAlignment="1">
      <alignment horizontal="center"/>
    </xf>
    <xf numFmtId="0" fontId="5" fillId="3" borderId="0" xfId="23" applyFont="1" applyFill="1" applyBorder="1" applyAlignment="1">
      <alignment horizontal="center"/>
    </xf>
    <xf numFmtId="0" fontId="5" fillId="3" borderId="11" xfId="23" applyFont="1" applyFill="1" applyBorder="1" applyAlignment="1">
      <alignment horizontal="center"/>
    </xf>
    <xf numFmtId="0" fontId="43" fillId="4" borderId="0" xfId="0" applyFont="1" applyFill="1" applyAlignment="1">
      <alignment horizontal="left"/>
    </xf>
    <xf numFmtId="172" fontId="9" fillId="0" borderId="31" xfId="0" applyNumberFormat="1" applyFont="1" applyFill="1" applyBorder="1"/>
    <xf numFmtId="172" fontId="9" fillId="0" borderId="2" xfId="25" applyNumberFormat="1" applyFont="1" applyFill="1" applyBorder="1"/>
    <xf numFmtId="167" fontId="9" fillId="0" borderId="59" xfId="3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0" fillId="0" borderId="70" xfId="0" applyBorder="1"/>
    <xf numFmtId="0" fontId="0" fillId="0" borderId="70" xfId="0" applyBorder="1" applyAlignment="1">
      <alignment horizontal="left"/>
    </xf>
    <xf numFmtId="0" fontId="12" fillId="0" borderId="0" xfId="0" applyFont="1" applyBorder="1" applyAlignment="1">
      <alignment horizontal="center"/>
    </xf>
    <xf numFmtId="165" fontId="0" fillId="0" borderId="0" xfId="3" applyNumberFormat="1" applyFont="1"/>
    <xf numFmtId="165" fontId="0" fillId="0" borderId="0" xfId="0" applyNumberFormat="1"/>
    <xf numFmtId="165" fontId="0" fillId="0" borderId="70" xfId="3" applyNumberFormat="1" applyFont="1" applyBorder="1"/>
    <xf numFmtId="165" fontId="0" fillId="0" borderId="70" xfId="0" applyNumberFormat="1" applyBorder="1"/>
    <xf numFmtId="167" fontId="9" fillId="0" borderId="74" xfId="3" applyNumberFormat="1" applyFont="1" applyFill="1" applyBorder="1"/>
    <xf numFmtId="0" fontId="11" fillId="0" borderId="13" xfId="0" applyFont="1" applyFill="1" applyBorder="1" applyAlignment="1">
      <alignment horizontal="center"/>
    </xf>
    <xf numFmtId="0" fontId="11" fillId="0" borderId="72" xfId="0" applyFont="1" applyFill="1" applyBorder="1" applyAlignment="1">
      <alignment horizontal="center"/>
    </xf>
  </cellXfs>
  <cellStyles count="45">
    <cellStyle name="Comma" xfId="1" builtinId="3"/>
    <cellStyle name="Comma 2" xfId="2" xr:uid="{00000000-0005-0000-0000-000001000000}"/>
    <cellStyle name="Comma 2 2" xfId="18" xr:uid="{00000000-0005-0000-0000-000002000000}"/>
    <cellStyle name="Comma 3" xfId="14" xr:uid="{00000000-0005-0000-0000-000003000000}"/>
    <cellStyle name="Comma 4" xfId="29" xr:uid="{00000000-0005-0000-0000-000004000000}"/>
    <cellStyle name="Currency" xfId="3" builtinId="4"/>
    <cellStyle name="Currency 2" xfId="19" xr:uid="{00000000-0005-0000-0000-000006000000}"/>
    <cellStyle name="Currency 3" xfId="20" xr:uid="{00000000-0005-0000-0000-000007000000}"/>
    <cellStyle name="General" xfId="4" xr:uid="{00000000-0005-0000-0000-000008000000}"/>
    <cellStyle name="Marathon" xfId="30" xr:uid="{00000000-0005-0000-0000-000009000000}"/>
    <cellStyle name="nONE" xfId="5" xr:uid="{00000000-0005-0000-0000-00000A000000}"/>
    <cellStyle name="Normal" xfId="0" builtinId="0"/>
    <cellStyle name="Normal 10" xfId="21" xr:uid="{00000000-0005-0000-0000-00000C000000}"/>
    <cellStyle name="Normal 10 2" xfId="40" xr:uid="{00000000-0005-0000-0000-00000D000000}"/>
    <cellStyle name="Normal 11" xfId="22" xr:uid="{00000000-0005-0000-0000-00000E000000}"/>
    <cellStyle name="Normal 12" xfId="28" xr:uid="{00000000-0005-0000-0000-00000F000000}"/>
    <cellStyle name="Normal 13" xfId="34" xr:uid="{00000000-0005-0000-0000-000010000000}"/>
    <cellStyle name="Normal 14" xfId="35" xr:uid="{00000000-0005-0000-0000-000011000000}"/>
    <cellStyle name="Normal 15" xfId="37" xr:uid="{00000000-0005-0000-0000-000012000000}"/>
    <cellStyle name="Normal 16" xfId="38" xr:uid="{00000000-0005-0000-0000-000013000000}"/>
    <cellStyle name="Normal 17" xfId="39" xr:uid="{00000000-0005-0000-0000-000014000000}"/>
    <cellStyle name="Normal 18" xfId="41" xr:uid="{00000000-0005-0000-0000-000015000000}"/>
    <cellStyle name="Normal 19" xfId="42" xr:uid="{00000000-0005-0000-0000-000016000000}"/>
    <cellStyle name="Normal 2" xfId="6" xr:uid="{00000000-0005-0000-0000-000017000000}"/>
    <cellStyle name="Normal 2 2" xfId="23" xr:uid="{00000000-0005-0000-0000-000018000000}"/>
    <cellStyle name="Normal 2 3" xfId="43" xr:uid="{00000000-0005-0000-0000-000019000000}"/>
    <cellStyle name="Normal 20" xfId="44" xr:uid="{00000000-0005-0000-0000-00001A000000}"/>
    <cellStyle name="Normal 3" xfId="13" xr:uid="{00000000-0005-0000-0000-00001B000000}"/>
    <cellStyle name="Normal 3 2" xfId="31" xr:uid="{00000000-0005-0000-0000-00001C000000}"/>
    <cellStyle name="Normal 4" xfId="15" xr:uid="{00000000-0005-0000-0000-00001D000000}"/>
    <cellStyle name="Normal 4 2" xfId="32" xr:uid="{00000000-0005-0000-0000-00001E000000}"/>
    <cellStyle name="Normal 5" xfId="17" xr:uid="{00000000-0005-0000-0000-00001F000000}"/>
    <cellStyle name="Normal 6" xfId="24" xr:uid="{00000000-0005-0000-0000-000020000000}"/>
    <cellStyle name="Normal 7" xfId="25" xr:uid="{00000000-0005-0000-0000-000021000000}"/>
    <cellStyle name="Normal 8" xfId="26" xr:uid="{00000000-0005-0000-0000-000022000000}"/>
    <cellStyle name="Normal 9" xfId="27" xr:uid="{00000000-0005-0000-0000-000023000000}"/>
    <cellStyle name="Normal_EAST Blocking 901" xfId="7" xr:uid="{00000000-0005-0000-0000-000024000000}"/>
    <cellStyle name="Normal_Idaho Mar05" xfId="8" xr:uid="{00000000-0005-0000-0000-000025000000}"/>
    <cellStyle name="Normal_OR 1999 SAS VS 305" xfId="9" xr:uid="{00000000-0005-0000-0000-000026000000}"/>
    <cellStyle name="Normal_RECOV01" xfId="16" xr:uid="{00000000-0005-0000-0000-000027000000}"/>
    <cellStyle name="Percent" xfId="10" builtinId="5"/>
    <cellStyle name="Percent 2" xfId="11" xr:uid="{00000000-0005-0000-0000-000029000000}"/>
    <cellStyle name="Percent 3" xfId="33" xr:uid="{00000000-0005-0000-0000-00002A000000}"/>
    <cellStyle name="Percent 3 2" xfId="36" xr:uid="{00000000-0005-0000-0000-00002B000000}"/>
    <cellStyle name="TRANSMISSION RELIABILITY PORTION OF PROJECT" xfId="12" xr:uid="{00000000-0005-0000-0000-00002C000000}"/>
  </cellStyles>
  <dxfs count="13">
    <dxf>
      <font>
        <condense val="0"/>
        <extend val="0"/>
        <color indexed="10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80" formatCode="#,##0;\-#,##0;#,##0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ule%2048%20Boise%20catal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AC15">
            <v>25495655.259999998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4:J137" totalsRowShown="0" headerRowDxfId="12">
  <autoFilter ref="B4:J137" xr:uid="{00000000-0009-0000-0100-000002000000}"/>
  <tableColumns count="9">
    <tableColumn id="1" xr3:uid="{00000000-0010-0000-0000-000001000000}" name="State Desc" dataDxfId="11"/>
    <tableColumn id="2" xr3:uid="{00000000-0010-0000-0000-000002000000}" name="Revenue Class Desc" dataDxfId="10"/>
    <tableColumn id="3" xr3:uid="{00000000-0010-0000-0000-000003000000}" name="Rate Group Cd" dataDxfId="9"/>
    <tableColumn id="4" xr3:uid="{00000000-0010-0000-0000-000004000000}" name="Rate Desc" dataDxfId="8"/>
    <tableColumn id="5" xr3:uid="{00000000-0010-0000-0000-000005000000}" name="T Revenue" dataDxfId="7"/>
    <tableColumn id="6" xr3:uid="{00000000-0010-0000-0000-000006000000}" name="T Avg Billing Count" dataDxfId="6"/>
    <tableColumn id="7" xr3:uid="{00000000-0010-0000-0000-000007000000}" name="T kWh" dataDxfId="5"/>
    <tableColumn id="8" xr3:uid="{00000000-0010-0000-0000-000008000000}" name="Code" dataDxfId="4">
      <calculatedColumnFormula>VLOOKUP(Table2[[#This Row],[Rate Desc]],lookup305[],2,TRUE)</calculatedColumnFormula>
    </tableColumn>
    <tableColumn id="9" xr3:uid="{00000000-0010-0000-0000-000009000000}" name="Code (BPA)" dataDxfId="3">
      <calculatedColumnFormula>IF(Table2[[#This Row],[Rate Group Cd]]="B",IF(OR(Table2[[#This Row],[Code]]="bpa",Table2[[#This Row],[Code]]="bpaadj"),Table2[[#This Row],[Code]],"b"&amp;Table2[[#This Row],[Code]]),Table2[[#This Row],[Code]])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lookup305" displayName="lookup305" ref="A1:C133" totalsRowShown="0">
  <autoFilter ref="A1:C133" xr:uid="{00000000-0009-0000-0100-000001000000}"/>
  <tableColumns count="3">
    <tableColumn id="1" xr3:uid="{00000000-0010-0000-0100-000001000000}" name="Rate Desc"/>
    <tableColumn id="2" xr3:uid="{00000000-0010-0000-0100-000002000000}" name="Code" dataDxfId="2"/>
    <tableColumn id="3" xr3:uid="{00000000-0010-0000-0100-000003000000}" name="Code (BPA)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N41"/>
  <sheetViews>
    <sheetView workbookViewId="0">
      <selection activeCell="F36" sqref="F36"/>
    </sheetView>
  </sheetViews>
  <sheetFormatPr defaultColWidth="8" defaultRowHeight="13.2"/>
  <cols>
    <col min="1" max="1" width="17.8984375" style="53" customWidth="1"/>
    <col min="2" max="2" width="8.8984375" style="53" customWidth="1"/>
    <col min="3" max="3" width="10" style="53" customWidth="1"/>
    <col min="4" max="4" width="8.8984375" style="53" customWidth="1"/>
    <col min="5" max="5" width="10.09765625" style="53" customWidth="1"/>
    <col min="6" max="6" width="9.8984375" style="53" customWidth="1"/>
    <col min="7" max="7" width="11" style="53" customWidth="1"/>
    <col min="8" max="13" width="8.8984375" style="53" customWidth="1"/>
    <col min="14" max="16384" width="8" style="53"/>
  </cols>
  <sheetData>
    <row r="1" spans="1:14">
      <c r="A1" s="115" t="s">
        <v>417</v>
      </c>
    </row>
    <row r="2" spans="1:14" ht="13.8" thickBot="1"/>
    <row r="3" spans="1:14" ht="13.8" thickBot="1">
      <c r="A3" s="54"/>
      <c r="B3" s="90" t="s">
        <v>413</v>
      </c>
      <c r="C3" s="91"/>
      <c r="D3" s="92"/>
      <c r="E3" s="90" t="s">
        <v>412</v>
      </c>
      <c r="F3" s="91"/>
      <c r="G3" s="92"/>
      <c r="H3" s="90" t="s">
        <v>158</v>
      </c>
      <c r="I3" s="91"/>
      <c r="J3" s="92"/>
      <c r="K3" s="90" t="s">
        <v>182</v>
      </c>
      <c r="L3" s="91"/>
      <c r="M3" s="92"/>
    </row>
    <row r="4" spans="1:14">
      <c r="A4" s="55"/>
      <c r="B4" s="116" t="s">
        <v>8</v>
      </c>
      <c r="C4" s="117" t="s">
        <v>9</v>
      </c>
      <c r="D4" s="93" t="s">
        <v>37</v>
      </c>
      <c r="E4" s="118" t="s">
        <v>8</v>
      </c>
      <c r="F4" s="119" t="s">
        <v>9</v>
      </c>
      <c r="G4" s="94" t="s">
        <v>37</v>
      </c>
      <c r="H4" s="116" t="s">
        <v>8</v>
      </c>
      <c r="I4" s="117" t="s">
        <v>9</v>
      </c>
      <c r="J4" s="93" t="s">
        <v>37</v>
      </c>
      <c r="K4" s="116" t="s">
        <v>8</v>
      </c>
      <c r="L4" s="117" t="s">
        <v>9</v>
      </c>
      <c r="M4" s="93" t="s">
        <v>37</v>
      </c>
    </row>
    <row r="5" spans="1:14">
      <c r="A5" s="56"/>
      <c r="B5" s="120" t="s">
        <v>12</v>
      </c>
      <c r="C5" s="119" t="s">
        <v>12</v>
      </c>
      <c r="D5" s="95" t="s">
        <v>1</v>
      </c>
      <c r="E5" s="118" t="s">
        <v>12</v>
      </c>
      <c r="F5" s="119" t="s">
        <v>12</v>
      </c>
      <c r="G5" s="94" t="s">
        <v>1</v>
      </c>
      <c r="H5" s="120" t="s">
        <v>12</v>
      </c>
      <c r="I5" s="119" t="s">
        <v>12</v>
      </c>
      <c r="J5" s="95" t="s">
        <v>1</v>
      </c>
      <c r="K5" s="120" t="s">
        <v>12</v>
      </c>
      <c r="L5" s="119" t="s">
        <v>12</v>
      </c>
      <c r="M5" s="95" t="s">
        <v>1</v>
      </c>
    </row>
    <row r="6" spans="1:14" ht="13.8" thickBot="1">
      <c r="A6" s="57"/>
      <c r="B6" s="121" t="s">
        <v>260</v>
      </c>
      <c r="C6" s="122" t="s">
        <v>21</v>
      </c>
      <c r="D6" s="96" t="s">
        <v>183</v>
      </c>
      <c r="E6" s="121" t="s">
        <v>245</v>
      </c>
      <c r="F6" s="122" t="s">
        <v>21</v>
      </c>
      <c r="G6" s="97" t="s">
        <v>183</v>
      </c>
      <c r="H6" s="121" t="s">
        <v>260</v>
      </c>
      <c r="I6" s="122" t="s">
        <v>21</v>
      </c>
      <c r="J6" s="96" t="s">
        <v>183</v>
      </c>
      <c r="K6" s="121" t="s">
        <v>260</v>
      </c>
      <c r="L6" s="122" t="s">
        <v>21</v>
      </c>
      <c r="M6" s="96" t="s">
        <v>183</v>
      </c>
    </row>
    <row r="7" spans="1:14">
      <c r="A7" s="123" t="s">
        <v>15</v>
      </c>
      <c r="B7" s="98">
        <f>'Table 1-Revenues'!L16/1000</f>
        <v>149780.57222544093</v>
      </c>
      <c r="C7" s="99">
        <f>'Table 1 - kWh'!F16/1000</f>
        <v>1575823.28</v>
      </c>
      <c r="D7" s="100">
        <f t="shared" ref="D7:D12" si="0">B7*100/C7</f>
        <v>9.5049092196074749</v>
      </c>
      <c r="E7" s="98">
        <v>160230.21339360546</v>
      </c>
      <c r="F7" s="101">
        <v>1661664.3774956872</v>
      </c>
      <c r="G7" s="100">
        <v>9.6427543108970166</v>
      </c>
      <c r="H7" s="98">
        <f>B7-E7</f>
        <v>-10449.641168164526</v>
      </c>
      <c r="I7" s="101">
        <f>C7-F7</f>
        <v>-85841.097495687194</v>
      </c>
      <c r="J7" s="102">
        <f t="shared" ref="I7:J12" si="1">D7-G7</f>
        <v>-0.1378450912895417</v>
      </c>
      <c r="K7" s="103">
        <f t="shared" ref="K7:M12" si="2">B7/E7-1</f>
        <v>-6.5216421715016959E-2</v>
      </c>
      <c r="L7" s="104">
        <f t="shared" si="2"/>
        <v>-5.1659708577889374E-2</v>
      </c>
      <c r="M7" s="105">
        <f t="shared" si="2"/>
        <v>-1.4295198948890198E-2</v>
      </c>
      <c r="N7" s="58"/>
    </row>
    <row r="8" spans="1:14">
      <c r="A8" s="124" t="s">
        <v>16</v>
      </c>
      <c r="B8" s="106">
        <f>'Table 1-Revenues'!L17/1000</f>
        <v>130262.39012576437</v>
      </c>
      <c r="C8" s="99">
        <f>'Table 1 - kWh'!F17/1000</f>
        <v>1561150.8910000001</v>
      </c>
      <c r="D8" s="100">
        <f t="shared" si="0"/>
        <v>8.343997423741941</v>
      </c>
      <c r="E8" s="106">
        <v>127327.8606413356</v>
      </c>
      <c r="F8" s="107">
        <v>1519966.1785173127</v>
      </c>
      <c r="G8" s="100">
        <v>8.3770193337815329</v>
      </c>
      <c r="H8" s="106">
        <f>B8-E8</f>
        <v>2934.529484428771</v>
      </c>
      <c r="I8" s="107">
        <f t="shared" si="1"/>
        <v>41184.712482687319</v>
      </c>
      <c r="J8" s="102">
        <f t="shared" si="1"/>
        <v>-3.3021910039591873E-2</v>
      </c>
      <c r="K8" s="108">
        <f t="shared" si="2"/>
        <v>2.3047033615800183E-2</v>
      </c>
      <c r="L8" s="109">
        <f t="shared" si="2"/>
        <v>2.7095808488884821E-2</v>
      </c>
      <c r="M8" s="110">
        <f t="shared" si="2"/>
        <v>-3.9419641669473648E-3</v>
      </c>
      <c r="N8" s="59"/>
    </row>
    <row r="9" spans="1:14">
      <c r="A9" s="124" t="s">
        <v>28</v>
      </c>
      <c r="B9" s="106">
        <f>'Table 1-Revenues'!L18/1000</f>
        <v>50753.413724444115</v>
      </c>
      <c r="C9" s="99">
        <f>'Table 1 - kWh'!F18/1000</f>
        <v>738560.02500000002</v>
      </c>
      <c r="D9" s="100">
        <f>B9*100/C9</f>
        <v>6.871941616992352</v>
      </c>
      <c r="E9" s="106">
        <v>54092.296170084119</v>
      </c>
      <c r="F9" s="107">
        <v>796195.87800000003</v>
      </c>
      <c r="G9" s="100">
        <v>6.7938427797391991</v>
      </c>
      <c r="H9" s="106">
        <f>B9-E9</f>
        <v>-3338.8824456400034</v>
      </c>
      <c r="I9" s="107">
        <f t="shared" si="1"/>
        <v>-57635.853000000003</v>
      </c>
      <c r="J9" s="102">
        <f t="shared" si="1"/>
        <v>7.8098837253152809E-2</v>
      </c>
      <c r="K9" s="108">
        <f t="shared" si="2"/>
        <v>-6.1725655630174181E-2</v>
      </c>
      <c r="L9" s="109">
        <f t="shared" si="2"/>
        <v>-7.2389037161028846E-2</v>
      </c>
      <c r="M9" s="110">
        <f t="shared" si="2"/>
        <v>1.1495532025860511E-2</v>
      </c>
      <c r="N9" s="59"/>
    </row>
    <row r="10" spans="1:14">
      <c r="A10" s="124" t="s">
        <v>171</v>
      </c>
      <c r="B10" s="106">
        <f>'Table 1-Revenues'!L19/1000</f>
        <v>14644.331049453822</v>
      </c>
      <c r="C10" s="99">
        <f>'Table 1 - kWh'!F19/1000</f>
        <v>158782.995</v>
      </c>
      <c r="D10" s="100">
        <f t="shared" si="0"/>
        <v>9.222858562060642</v>
      </c>
      <c r="E10" s="106">
        <v>12290.936926678354</v>
      </c>
      <c r="F10" s="107">
        <v>139102.20980700001</v>
      </c>
      <c r="G10" s="100">
        <v>8.8359034293787619</v>
      </c>
      <c r="H10" s="106">
        <f>B10-E10</f>
        <v>2353.3941227754676</v>
      </c>
      <c r="I10" s="107">
        <f t="shared" si="1"/>
        <v>19680.785192999989</v>
      </c>
      <c r="J10" s="102">
        <f t="shared" si="1"/>
        <v>0.38695513268188009</v>
      </c>
      <c r="K10" s="108">
        <f t="shared" si="2"/>
        <v>0.19147394025489284</v>
      </c>
      <c r="L10" s="109">
        <f t="shared" si="2"/>
        <v>0.14148434608124827</v>
      </c>
      <c r="M10" s="110">
        <f t="shared" si="2"/>
        <v>4.3793499530028868E-2</v>
      </c>
      <c r="N10" s="59"/>
    </row>
    <row r="11" spans="1:14" ht="13.8" thickBot="1">
      <c r="A11" s="124" t="s">
        <v>17</v>
      </c>
      <c r="B11" s="106">
        <f>'Table 1-Revenues'!L20/1000</f>
        <v>1461.6864960470998</v>
      </c>
      <c r="C11" s="99">
        <f>'Table 1 - kWh'!F20/1000</f>
        <v>10294.069</v>
      </c>
      <c r="D11" s="100">
        <f t="shared" si="0"/>
        <v>14.199307349184274</v>
      </c>
      <c r="E11" s="106">
        <v>1591.7446038070996</v>
      </c>
      <c r="F11" s="107">
        <v>11524.423000000001</v>
      </c>
      <c r="G11" s="100">
        <v>13.811924499882549</v>
      </c>
      <c r="H11" s="106">
        <f>B11-E11</f>
        <v>-130.05810775999976</v>
      </c>
      <c r="I11" s="107">
        <f t="shared" si="1"/>
        <v>-1230.3540000000012</v>
      </c>
      <c r="J11" s="102">
        <f t="shared" si="1"/>
        <v>0.38738284930172462</v>
      </c>
      <c r="K11" s="317">
        <f t="shared" si="2"/>
        <v>-8.1707899275379803E-2</v>
      </c>
      <c r="L11" s="318">
        <f t="shared" si="2"/>
        <v>-0.10676057274190653</v>
      </c>
      <c r="M11" s="319">
        <f t="shared" si="2"/>
        <v>2.8046985726356777E-2</v>
      </c>
      <c r="N11" s="59"/>
    </row>
    <row r="12" spans="1:14" ht="13.8" thickBot="1">
      <c r="A12" s="125" t="s">
        <v>71</v>
      </c>
      <c r="B12" s="111">
        <f>SUM(B7:B11)</f>
        <v>346902.39362115035</v>
      </c>
      <c r="C12" s="112">
        <f>SUM(C7:C11)</f>
        <v>4044611.2600000002</v>
      </c>
      <c r="D12" s="113">
        <f t="shared" si="0"/>
        <v>8.576903225580951</v>
      </c>
      <c r="E12" s="111">
        <f>SUM(E7:E11)</f>
        <v>355533.05173551058</v>
      </c>
      <c r="F12" s="112">
        <f>SUM(F7:F11)</f>
        <v>4128453.0668200003</v>
      </c>
      <c r="G12" s="113">
        <f t="shared" ref="G12" si="3">E12*100/F12</f>
        <v>8.6117740950695847</v>
      </c>
      <c r="H12" s="111">
        <f>B12-E12</f>
        <v>-8630.658114360238</v>
      </c>
      <c r="I12" s="112">
        <f t="shared" si="1"/>
        <v>-83841.806820000056</v>
      </c>
      <c r="J12" s="113">
        <f t="shared" si="1"/>
        <v>-3.4870869488633716E-2</v>
      </c>
      <c r="K12" s="114">
        <f t="shared" si="2"/>
        <v>-2.4275262376395879E-2</v>
      </c>
      <c r="L12" s="114">
        <f t="shared" si="2"/>
        <v>-2.030828629101511E-2</v>
      </c>
      <c r="M12" s="114">
        <f t="shared" si="2"/>
        <v>-4.0492085723193849E-3</v>
      </c>
      <c r="N12" s="59"/>
    </row>
    <row r="13" spans="1:14">
      <c r="A13" s="126" t="s">
        <v>184</v>
      </c>
      <c r="F13" s="61"/>
      <c r="H13" s="60"/>
      <c r="I13" s="61"/>
    </row>
    <row r="14" spans="1:14">
      <c r="A14" s="126"/>
      <c r="B14" s="60"/>
      <c r="F14" s="64"/>
      <c r="G14" s="65"/>
      <c r="H14" s="60"/>
      <c r="I14" s="61"/>
    </row>
    <row r="15" spans="1:14" hidden="1">
      <c r="A15" s="126"/>
      <c r="H15" s="60"/>
      <c r="I15" s="61"/>
    </row>
    <row r="16" spans="1:14" hidden="1">
      <c r="A16" s="115" t="s">
        <v>308</v>
      </c>
    </row>
    <row r="17" spans="1:14" ht="13.8" hidden="1" thickBot="1"/>
    <row r="18" spans="1:14" ht="13.8" hidden="1" thickBot="1">
      <c r="A18" s="54"/>
      <c r="B18" s="90" t="str">
        <f>B3</f>
        <v>June 2018-Semi</v>
      </c>
      <c r="C18" s="91"/>
      <c r="D18" s="92"/>
      <c r="E18" s="90" t="s">
        <v>307</v>
      </c>
      <c r="F18" s="91"/>
      <c r="G18" s="92"/>
      <c r="H18" s="90" t="s">
        <v>158</v>
      </c>
      <c r="I18" s="91"/>
      <c r="J18" s="92"/>
      <c r="K18" s="90" t="s">
        <v>182</v>
      </c>
      <c r="L18" s="91"/>
      <c r="M18" s="92"/>
    </row>
    <row r="19" spans="1:14" hidden="1">
      <c r="A19" s="55"/>
      <c r="B19" s="116" t="s">
        <v>8</v>
      </c>
      <c r="C19" s="117" t="s">
        <v>9</v>
      </c>
      <c r="D19" s="93" t="s">
        <v>37</v>
      </c>
      <c r="E19" s="118" t="s">
        <v>8</v>
      </c>
      <c r="F19" s="119" t="s">
        <v>9</v>
      </c>
      <c r="G19" s="94" t="s">
        <v>37</v>
      </c>
      <c r="H19" s="116" t="s">
        <v>8</v>
      </c>
      <c r="I19" s="117" t="s">
        <v>9</v>
      </c>
      <c r="J19" s="93" t="s">
        <v>37</v>
      </c>
      <c r="K19" s="116" t="s">
        <v>8</v>
      </c>
      <c r="L19" s="117" t="s">
        <v>9</v>
      </c>
      <c r="M19" s="93" t="s">
        <v>37</v>
      </c>
    </row>
    <row r="20" spans="1:14" hidden="1">
      <c r="A20" s="56"/>
      <c r="B20" s="120" t="s">
        <v>12</v>
      </c>
      <c r="C20" s="119" t="s">
        <v>12</v>
      </c>
      <c r="D20" s="95" t="s">
        <v>1</v>
      </c>
      <c r="E20" s="118" t="s">
        <v>12</v>
      </c>
      <c r="F20" s="119" t="s">
        <v>12</v>
      </c>
      <c r="G20" s="94" t="s">
        <v>1</v>
      </c>
      <c r="H20" s="120" t="s">
        <v>12</v>
      </c>
      <c r="I20" s="119" t="s">
        <v>12</v>
      </c>
      <c r="J20" s="95" t="s">
        <v>1</v>
      </c>
      <c r="K20" s="120" t="s">
        <v>12</v>
      </c>
      <c r="L20" s="119" t="s">
        <v>12</v>
      </c>
      <c r="M20" s="95" t="s">
        <v>1</v>
      </c>
    </row>
    <row r="21" spans="1:14" ht="13.8" hidden="1" thickBot="1">
      <c r="A21" s="57"/>
      <c r="B21" s="121" t="s">
        <v>260</v>
      </c>
      <c r="C21" s="122" t="s">
        <v>21</v>
      </c>
      <c r="D21" s="96" t="s">
        <v>183</v>
      </c>
      <c r="E21" s="121" t="s">
        <v>245</v>
      </c>
      <c r="F21" s="122" t="s">
        <v>21</v>
      </c>
      <c r="G21" s="97" t="s">
        <v>183</v>
      </c>
      <c r="H21" s="121" t="s">
        <v>260</v>
      </c>
      <c r="I21" s="122" t="s">
        <v>21</v>
      </c>
      <c r="J21" s="96" t="s">
        <v>183</v>
      </c>
      <c r="K21" s="121" t="s">
        <v>260</v>
      </c>
      <c r="L21" s="122" t="s">
        <v>21</v>
      </c>
      <c r="M21" s="96" t="s">
        <v>183</v>
      </c>
    </row>
    <row r="22" spans="1:14" hidden="1">
      <c r="A22" s="123" t="s">
        <v>15</v>
      </c>
      <c r="B22" s="98">
        <f>'Table 1-Revenues'!L16/1000</f>
        <v>149780.57222544093</v>
      </c>
      <c r="C22" s="99">
        <f>'Table 1 - kWh'!F16/1000</f>
        <v>1575823.28</v>
      </c>
      <c r="D22" s="100">
        <f t="shared" ref="D22:D27" si="4">B22*100/C22</f>
        <v>9.5049092196074749</v>
      </c>
      <c r="E22" s="98">
        <v>139819.97700000001</v>
      </c>
      <c r="F22" s="101">
        <v>1664000.6419669625</v>
      </c>
      <c r="G22" s="100">
        <f t="shared" ref="G22:G27" si="5">E22*100/F22</f>
        <v>8.4026396068407312</v>
      </c>
      <c r="H22" s="98">
        <f t="shared" ref="H22:J26" si="6">B22-E22</f>
        <v>9960.5952254409203</v>
      </c>
      <c r="I22" s="101">
        <f t="shared" si="6"/>
        <v>-88177.36196696246</v>
      </c>
      <c r="J22" s="102">
        <f t="shared" si="6"/>
        <v>1.1022696127667437</v>
      </c>
      <c r="K22" s="103">
        <f>B22/E22-1</f>
        <v>7.1238713087765193E-2</v>
      </c>
      <c r="L22" s="104">
        <f t="shared" ref="K22:M26" si="7">C22/F22-1</f>
        <v>-5.2991182661282332E-2</v>
      </c>
      <c r="M22" s="105">
        <f t="shared" si="7"/>
        <v>0.13118135066382797</v>
      </c>
      <c r="N22" s="58"/>
    </row>
    <row r="23" spans="1:14" hidden="1">
      <c r="A23" s="124" t="s">
        <v>16</v>
      </c>
      <c r="B23" s="106">
        <f>'Table 1-Revenues'!L17/1000</f>
        <v>130262.39012576437</v>
      </c>
      <c r="C23" s="107">
        <f>'Table 1 - kWh'!F17/1000</f>
        <v>1561150.8910000001</v>
      </c>
      <c r="D23" s="100">
        <f t="shared" si="4"/>
        <v>8.343997423741941</v>
      </c>
      <c r="E23" s="106">
        <f>105527.634+572691/1000</f>
        <v>106100.32500000001</v>
      </c>
      <c r="F23" s="107">
        <v>1398979.84</v>
      </c>
      <c r="G23" s="100">
        <f t="shared" si="5"/>
        <v>7.5841210835461368</v>
      </c>
      <c r="H23" s="106">
        <f t="shared" si="6"/>
        <v>24162.065125764362</v>
      </c>
      <c r="I23" s="107">
        <f t="shared" si="6"/>
        <v>162171.05099999998</v>
      </c>
      <c r="J23" s="102">
        <f t="shared" si="6"/>
        <v>0.75987634019580419</v>
      </c>
      <c r="K23" s="108">
        <f>B23/E23-1</f>
        <v>0.22772847421310316</v>
      </c>
      <c r="L23" s="109">
        <f t="shared" si="7"/>
        <v>0.11592093492926958</v>
      </c>
      <c r="M23" s="110">
        <f t="shared" si="7"/>
        <v>0.10019306546204376</v>
      </c>
      <c r="N23" s="59"/>
    </row>
    <row r="24" spans="1:14" hidden="1">
      <c r="A24" s="124" t="s">
        <v>28</v>
      </c>
      <c r="B24" s="106">
        <f>'Table 1-Revenues'!L18/1000</f>
        <v>50753.413724444115</v>
      </c>
      <c r="C24" s="107">
        <f>'Table 1 - kWh'!F18/1000</f>
        <v>738560.02500000002</v>
      </c>
      <c r="D24" s="100">
        <f t="shared" si="4"/>
        <v>6.871941616992352</v>
      </c>
      <c r="E24" s="106">
        <v>48191.773000000001</v>
      </c>
      <c r="F24" s="107">
        <v>799159.99099999992</v>
      </c>
      <c r="G24" s="100">
        <f t="shared" si="5"/>
        <v>6.030303511528019</v>
      </c>
      <c r="H24" s="106">
        <f t="shared" si="6"/>
        <v>2561.6407244441143</v>
      </c>
      <c r="I24" s="107">
        <f t="shared" si="6"/>
        <v>-60599.965999999898</v>
      </c>
      <c r="J24" s="102">
        <f t="shared" si="6"/>
        <v>0.84163810546433293</v>
      </c>
      <c r="K24" s="108">
        <f t="shared" si="7"/>
        <v>5.3155145888575506E-2</v>
      </c>
      <c r="L24" s="109">
        <f t="shared" si="7"/>
        <v>-7.5829579411464731E-2</v>
      </c>
      <c r="M24" s="110">
        <f t="shared" si="7"/>
        <v>0.13956811690413073</v>
      </c>
      <c r="N24" s="59"/>
    </row>
    <row r="25" spans="1:14" hidden="1">
      <c r="A25" s="124" t="s">
        <v>171</v>
      </c>
      <c r="B25" s="106">
        <f>'Table 1-Revenues'!L19/1000</f>
        <v>14644.331049453822</v>
      </c>
      <c r="C25" s="107">
        <f>'Table 1 - kWh'!F19/1000</f>
        <v>158782.995</v>
      </c>
      <c r="D25" s="100">
        <f t="shared" si="4"/>
        <v>9.222858562060642</v>
      </c>
      <c r="E25" s="106">
        <f>12086.693+149690/1000</f>
        <v>12236.383</v>
      </c>
      <c r="F25" s="107">
        <v>150522.40299999999</v>
      </c>
      <c r="G25" s="100">
        <f t="shared" si="5"/>
        <v>8.129276942250252</v>
      </c>
      <c r="H25" s="106">
        <f t="shared" si="6"/>
        <v>2407.948049453822</v>
      </c>
      <c r="I25" s="107">
        <f t="shared" si="6"/>
        <v>8260.5920000000042</v>
      </c>
      <c r="J25" s="102">
        <f t="shared" si="6"/>
        <v>1.09358161981039</v>
      </c>
      <c r="K25" s="108">
        <f t="shared" si="7"/>
        <v>0.19678593334760941</v>
      </c>
      <c r="L25" s="109">
        <f t="shared" si="7"/>
        <v>5.4879485281669416E-2</v>
      </c>
      <c r="M25" s="110">
        <f>D25/G25-1</f>
        <v>0.1345238485020388</v>
      </c>
      <c r="N25" s="59"/>
    </row>
    <row r="26" spans="1:14" ht="13.8" hidden="1" thickBot="1">
      <c r="A26" s="124" t="s">
        <v>17</v>
      </c>
      <c r="B26" s="106">
        <f>'Table 1-Revenues'!L20/1000</f>
        <v>1461.6864960470998</v>
      </c>
      <c r="C26" s="107">
        <f>'Table 1 - kWh'!F20/1000</f>
        <v>10294.069</v>
      </c>
      <c r="D26" s="100">
        <f t="shared" si="4"/>
        <v>14.199307349184274</v>
      </c>
      <c r="E26" s="106">
        <f>1346.07525+91/1000</f>
        <v>1346.16625</v>
      </c>
      <c r="F26" s="107">
        <v>11032.199000000001</v>
      </c>
      <c r="G26" s="100">
        <f t="shared" si="5"/>
        <v>12.202157067688862</v>
      </c>
      <c r="H26" s="106">
        <f t="shared" si="6"/>
        <v>115.52024604709982</v>
      </c>
      <c r="I26" s="107">
        <f t="shared" si="6"/>
        <v>-738.13000000000102</v>
      </c>
      <c r="J26" s="102">
        <f t="shared" si="6"/>
        <v>1.9971502814954114</v>
      </c>
      <c r="K26" s="108">
        <f t="shared" si="7"/>
        <v>8.5814249203692183E-2</v>
      </c>
      <c r="L26" s="109">
        <f t="shared" si="7"/>
        <v>-6.6906878673961612E-2</v>
      </c>
      <c r="M26" s="110">
        <f t="shared" si="7"/>
        <v>0.16367190410815446</v>
      </c>
      <c r="N26" s="59"/>
    </row>
    <row r="27" spans="1:14" ht="13.8" hidden="1" thickBot="1">
      <c r="A27" s="125" t="s">
        <v>71</v>
      </c>
      <c r="B27" s="111">
        <f>SUM(B22:B26)</f>
        <v>346902.39362115035</v>
      </c>
      <c r="C27" s="112">
        <f>SUM(C22:C26)</f>
        <v>4044611.2600000002</v>
      </c>
      <c r="D27" s="113">
        <f t="shared" si="4"/>
        <v>8.576903225580951</v>
      </c>
      <c r="E27" s="111">
        <f>SUM(E22:E26)</f>
        <v>307694.62424999999</v>
      </c>
      <c r="F27" s="112">
        <f>SUM(F22:F26)</f>
        <v>4023695.0749669624</v>
      </c>
      <c r="G27" s="113">
        <f t="shared" si="5"/>
        <v>7.647066154796196</v>
      </c>
      <c r="H27" s="111">
        <f>SUM(H22:H26)</f>
        <v>39207.769371150316</v>
      </c>
      <c r="I27" s="112">
        <f>SUM(I22:I26)</f>
        <v>20916.185033037622</v>
      </c>
      <c r="J27" s="113">
        <f>D27-G27</f>
        <v>0.92983707078475497</v>
      </c>
      <c r="K27" s="114">
        <f>B27/E27-1</f>
        <v>0.12742429110264308</v>
      </c>
      <c r="L27" s="114">
        <f>C27/F27-1</f>
        <v>5.1982530095697754E-3</v>
      </c>
      <c r="M27" s="114">
        <f>D27/G27-1</f>
        <v>0.12159396191460514</v>
      </c>
      <c r="N27" s="59"/>
    </row>
    <row r="28" spans="1:14" hidden="1">
      <c r="A28" s="126" t="s">
        <v>184</v>
      </c>
      <c r="H28" s="60"/>
      <c r="I28" s="61"/>
    </row>
    <row r="29" spans="1:14" hidden="1">
      <c r="A29" s="126"/>
      <c r="H29" s="60"/>
      <c r="I29" s="61"/>
    </row>
    <row r="30" spans="1:14" ht="15.6" hidden="1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</row>
    <row r="41" spans="13:13">
      <c r="M41" s="53" t="s">
        <v>29</v>
      </c>
    </row>
  </sheetData>
  <phoneticPr fontId="24" type="noConversion"/>
  <conditionalFormatting sqref="K22:M27 K7:M12">
    <cfRule type="cellIs" dxfId="0" priority="3" stopIfTrue="1" operator="lessThan">
      <formula>0</formula>
    </cfRule>
  </conditionalFormatting>
  <pageMargins left="0.75" right="0.75" top="1" bottom="1" header="0.5" footer="0.5"/>
  <pageSetup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F44"/>
  <sheetViews>
    <sheetView topLeftCell="A16" zoomScaleNormal="100" workbookViewId="0">
      <selection activeCell="H27" sqref="H27"/>
    </sheetView>
  </sheetViews>
  <sheetFormatPr defaultRowHeight="15.6"/>
  <cols>
    <col min="1" max="1" width="25.5" bestFit="1" customWidth="1"/>
    <col min="3" max="6" width="12.69921875" bestFit="1" customWidth="1"/>
  </cols>
  <sheetData>
    <row r="8" spans="1:6">
      <c r="C8" s="413" t="s">
        <v>216</v>
      </c>
    </row>
    <row r="9" spans="1:6">
      <c r="C9" s="414">
        <v>43191</v>
      </c>
    </row>
    <row r="10" spans="1:6">
      <c r="C10" s="419" t="s">
        <v>437</v>
      </c>
      <c r="D10" s="419" t="s">
        <v>437</v>
      </c>
      <c r="E10" s="419" t="s">
        <v>437</v>
      </c>
    </row>
    <row r="11" spans="1:6">
      <c r="A11" s="416" t="s">
        <v>299</v>
      </c>
      <c r="B11" s="416" t="s">
        <v>300</v>
      </c>
      <c r="C11" s="415">
        <v>201804</v>
      </c>
      <c r="D11" s="415">
        <v>201805</v>
      </c>
      <c r="E11" s="415">
        <v>201806</v>
      </c>
      <c r="F11" s="415" t="s">
        <v>8</v>
      </c>
    </row>
    <row r="12" spans="1:6">
      <c r="A12" t="s">
        <v>426</v>
      </c>
      <c r="B12" s="412" t="s">
        <v>427</v>
      </c>
      <c r="C12" s="420">
        <v>0</v>
      </c>
      <c r="D12" s="420">
        <v>0</v>
      </c>
      <c r="E12" s="420">
        <v>0</v>
      </c>
      <c r="F12" s="421">
        <f>SUM(C12:E12)</f>
        <v>0</v>
      </c>
    </row>
    <row r="13" spans="1:6">
      <c r="A13" t="s">
        <v>426</v>
      </c>
      <c r="B13" s="412">
        <v>16</v>
      </c>
      <c r="C13" s="420">
        <v>-103510.42606597597</v>
      </c>
      <c r="D13" s="420">
        <v>-194731.77325451351</v>
      </c>
      <c r="E13" s="420">
        <v>-196606.9719043872</v>
      </c>
      <c r="F13" s="421">
        <f t="shared" ref="F13:F42" si="0">SUM(C13:E13)</f>
        <v>-494849.17122487666</v>
      </c>
    </row>
    <row r="14" spans="1:6">
      <c r="A14" t="s">
        <v>426</v>
      </c>
      <c r="B14" s="412">
        <v>17</v>
      </c>
      <c r="C14" s="420">
        <v>-4802.035147193159</v>
      </c>
      <c r="D14" s="420">
        <v>-9377.2299615918728</v>
      </c>
      <c r="E14" s="420">
        <v>-8086.2965378853987</v>
      </c>
      <c r="F14" s="421">
        <f t="shared" si="0"/>
        <v>-22265.56164667043</v>
      </c>
    </row>
    <row r="15" spans="1:6">
      <c r="A15" t="s">
        <v>426</v>
      </c>
      <c r="B15" s="412">
        <v>18</v>
      </c>
      <c r="C15" s="420">
        <v>-154.39039996101673</v>
      </c>
      <c r="D15" s="420">
        <v>-348.66017831151242</v>
      </c>
      <c r="E15" s="420">
        <v>-367.76804475201311</v>
      </c>
      <c r="F15" s="421">
        <f t="shared" si="0"/>
        <v>-870.81862302454226</v>
      </c>
    </row>
    <row r="16" spans="1:6">
      <c r="A16" t="s">
        <v>426</v>
      </c>
      <c r="B16" s="412">
        <v>24</v>
      </c>
      <c r="C16" s="420">
        <v>0</v>
      </c>
      <c r="D16" s="420">
        <v>0</v>
      </c>
      <c r="E16" s="420">
        <v>0</v>
      </c>
      <c r="F16" s="421">
        <f t="shared" si="0"/>
        <v>0</v>
      </c>
    </row>
    <row r="17" spans="1:6" ht="16.2" thickBot="1">
      <c r="A17" s="417" t="s">
        <v>426</v>
      </c>
      <c r="B17" s="418">
        <v>36</v>
      </c>
      <c r="C17" s="422">
        <v>0</v>
      </c>
      <c r="D17" s="422">
        <v>0</v>
      </c>
      <c r="E17" s="422">
        <v>0</v>
      </c>
      <c r="F17" s="423">
        <f t="shared" si="0"/>
        <v>0</v>
      </c>
    </row>
    <row r="18" spans="1:6" ht="16.2" thickTop="1">
      <c r="A18" t="s">
        <v>301</v>
      </c>
      <c r="B18" s="412"/>
      <c r="C18" s="420">
        <f>SUM(C12:C17)</f>
        <v>-108466.85161313016</v>
      </c>
      <c r="D18" s="420">
        <f t="shared" ref="D18:E18" si="1">SUM(D12:D17)</f>
        <v>-204457.66339441689</v>
      </c>
      <c r="E18" s="420">
        <f t="shared" si="1"/>
        <v>-205061.03648702463</v>
      </c>
      <c r="F18" s="421">
        <f t="shared" si="0"/>
        <v>-517985.55149457167</v>
      </c>
    </row>
    <row r="19" spans="1:6">
      <c r="B19" s="412"/>
      <c r="C19" s="420"/>
      <c r="D19" s="420"/>
      <c r="E19" s="420"/>
      <c r="F19" s="421">
        <f t="shared" si="0"/>
        <v>0</v>
      </c>
    </row>
    <row r="20" spans="1:6">
      <c r="A20" t="s">
        <v>428</v>
      </c>
      <c r="B20" s="412">
        <v>15</v>
      </c>
      <c r="C20" s="420">
        <v>0</v>
      </c>
      <c r="D20" s="420">
        <v>0</v>
      </c>
      <c r="E20" s="420">
        <v>0</v>
      </c>
      <c r="F20" s="421">
        <f t="shared" si="0"/>
        <v>0</v>
      </c>
    </row>
    <row r="21" spans="1:6">
      <c r="A21" t="s">
        <v>428</v>
      </c>
      <c r="B21" s="412">
        <v>24</v>
      </c>
      <c r="C21" s="420">
        <v>0</v>
      </c>
      <c r="D21" s="420">
        <v>0</v>
      </c>
      <c r="E21" s="420">
        <v>0</v>
      </c>
      <c r="F21" s="421">
        <f t="shared" si="0"/>
        <v>0</v>
      </c>
    </row>
    <row r="22" spans="1:6">
      <c r="A22" t="s">
        <v>428</v>
      </c>
      <c r="B22" s="412" t="s">
        <v>429</v>
      </c>
      <c r="C22" s="420">
        <v>0</v>
      </c>
      <c r="D22" s="420">
        <v>0</v>
      </c>
      <c r="E22" s="420">
        <v>0</v>
      </c>
      <c r="F22" s="421">
        <f t="shared" si="0"/>
        <v>0</v>
      </c>
    </row>
    <row r="23" spans="1:6">
      <c r="A23" t="s">
        <v>428</v>
      </c>
      <c r="B23" s="412" t="s">
        <v>67</v>
      </c>
      <c r="C23" s="420">
        <v>0</v>
      </c>
      <c r="D23" s="420">
        <v>0</v>
      </c>
      <c r="E23" s="420">
        <v>0</v>
      </c>
      <c r="F23" s="421">
        <f t="shared" si="0"/>
        <v>0</v>
      </c>
    </row>
    <row r="24" spans="1:6" ht="16.2" thickBot="1">
      <c r="A24" s="417" t="s">
        <v>428</v>
      </c>
      <c r="B24" s="418">
        <v>54</v>
      </c>
      <c r="C24" s="422">
        <v>0</v>
      </c>
      <c r="D24" s="422">
        <v>0</v>
      </c>
      <c r="E24" s="422">
        <v>0</v>
      </c>
      <c r="F24" s="423">
        <f t="shared" si="0"/>
        <v>0</v>
      </c>
    </row>
    <row r="25" spans="1:6" ht="16.2" thickTop="1">
      <c r="A25" t="s">
        <v>302</v>
      </c>
      <c r="B25" s="412"/>
      <c r="C25" s="420">
        <f>SUM(C20:C24)</f>
        <v>0</v>
      </c>
      <c r="D25" s="420">
        <f t="shared" ref="D25:E25" si="2">SUM(D20:D24)</f>
        <v>0</v>
      </c>
      <c r="E25" s="420">
        <f t="shared" si="2"/>
        <v>0</v>
      </c>
      <c r="F25" s="421">
        <f t="shared" si="0"/>
        <v>0</v>
      </c>
    </row>
    <row r="26" spans="1:6">
      <c r="B26" s="412"/>
      <c r="C26" s="420"/>
      <c r="D26" s="420"/>
      <c r="E26" s="420"/>
      <c r="F26" s="421"/>
    </row>
    <row r="27" spans="1:6">
      <c r="A27" t="s">
        <v>430</v>
      </c>
      <c r="B27" s="412">
        <v>15</v>
      </c>
      <c r="C27" s="420">
        <v>0</v>
      </c>
      <c r="D27" s="420">
        <v>0</v>
      </c>
      <c r="E27" s="420">
        <v>0</v>
      </c>
      <c r="F27" s="421">
        <f t="shared" si="0"/>
        <v>0</v>
      </c>
    </row>
    <row r="28" spans="1:6">
      <c r="A28" t="s">
        <v>430</v>
      </c>
      <c r="B28" s="412">
        <v>24</v>
      </c>
      <c r="C28" s="420">
        <v>0</v>
      </c>
      <c r="D28" s="420">
        <v>0</v>
      </c>
      <c r="E28" s="420">
        <v>0</v>
      </c>
      <c r="F28" s="421">
        <f t="shared" si="0"/>
        <v>0</v>
      </c>
    </row>
    <row r="29" spans="1:6">
      <c r="A29" t="s">
        <v>430</v>
      </c>
      <c r="B29" s="412" t="s">
        <v>429</v>
      </c>
      <c r="C29" s="420">
        <v>0</v>
      </c>
      <c r="D29" s="420">
        <v>0</v>
      </c>
      <c r="E29" s="420">
        <v>0</v>
      </c>
      <c r="F29" s="421">
        <f t="shared" si="0"/>
        <v>0</v>
      </c>
    </row>
    <row r="30" spans="1:6">
      <c r="A30" t="s">
        <v>430</v>
      </c>
      <c r="B30" s="412">
        <v>47</v>
      </c>
      <c r="C30" s="420">
        <v>0</v>
      </c>
      <c r="D30" s="420">
        <v>0</v>
      </c>
      <c r="E30" s="420">
        <v>0</v>
      </c>
      <c r="F30" s="421">
        <f t="shared" si="0"/>
        <v>0</v>
      </c>
    </row>
    <row r="31" spans="1:6">
      <c r="A31" t="s">
        <v>430</v>
      </c>
      <c r="B31" s="412" t="s">
        <v>67</v>
      </c>
      <c r="C31" s="420">
        <v>0</v>
      </c>
      <c r="D31" s="420">
        <v>0</v>
      </c>
      <c r="E31" s="420">
        <v>0</v>
      </c>
      <c r="F31" s="421">
        <f t="shared" si="0"/>
        <v>0</v>
      </c>
    </row>
    <row r="32" spans="1:6" ht="16.2" thickBot="1">
      <c r="A32" s="417" t="s">
        <v>430</v>
      </c>
      <c r="B32" s="418" t="s">
        <v>431</v>
      </c>
      <c r="C32" s="422">
        <v>0</v>
      </c>
      <c r="D32" s="422">
        <v>0</v>
      </c>
      <c r="E32" s="422">
        <v>0</v>
      </c>
      <c r="F32" s="423">
        <f t="shared" si="0"/>
        <v>0</v>
      </c>
    </row>
    <row r="33" spans="1:6" ht="16.2" thickTop="1">
      <c r="A33" t="s">
        <v>303</v>
      </c>
      <c r="B33" s="412"/>
      <c r="C33" s="420">
        <f>SUM(C27:C32)</f>
        <v>0</v>
      </c>
      <c r="D33" s="420">
        <f t="shared" ref="D33:E33" si="3">SUM(D27:D32)</f>
        <v>0</v>
      </c>
      <c r="E33" s="420">
        <f t="shared" si="3"/>
        <v>0</v>
      </c>
      <c r="F33" s="421">
        <f t="shared" si="0"/>
        <v>0</v>
      </c>
    </row>
    <row r="34" spans="1:6">
      <c r="B34" s="412"/>
      <c r="C34" s="420"/>
      <c r="D34" s="420"/>
      <c r="E34" s="420"/>
      <c r="F34" s="421"/>
    </row>
    <row r="35" spans="1:6" ht="16.2" thickBot="1">
      <c r="A35" s="417" t="s">
        <v>432</v>
      </c>
      <c r="B35" s="418">
        <v>40</v>
      </c>
      <c r="C35" s="422">
        <v>6027.9820179997469</v>
      </c>
      <c r="D35" s="422">
        <v>39190.910199011261</v>
      </c>
      <c r="E35" s="422">
        <v>81340.499708454721</v>
      </c>
      <c r="F35" s="423">
        <f t="shared" si="0"/>
        <v>126559.39192546572</v>
      </c>
    </row>
    <row r="36" spans="1:6" ht="16.2" thickTop="1">
      <c r="A36" t="s">
        <v>304</v>
      </c>
      <c r="B36" s="412"/>
      <c r="C36" s="420">
        <f>SUM(C35)</f>
        <v>6027.9820179997469</v>
      </c>
      <c r="D36" s="420">
        <f t="shared" ref="D36:E36" si="4">SUM(D35)</f>
        <v>39190.910199011261</v>
      </c>
      <c r="E36" s="420">
        <f t="shared" si="4"/>
        <v>81340.499708454721</v>
      </c>
      <c r="F36" s="421">
        <f t="shared" si="0"/>
        <v>126559.39192546572</v>
      </c>
    </row>
    <row r="37" spans="1:6">
      <c r="B37" s="412"/>
      <c r="C37" s="420"/>
      <c r="D37" s="420"/>
      <c r="E37" s="420"/>
      <c r="F37" s="421"/>
    </row>
    <row r="38" spans="1:6">
      <c r="A38" t="s">
        <v>433</v>
      </c>
      <c r="B38" s="412" t="s">
        <v>434</v>
      </c>
      <c r="C38" s="420">
        <v>0</v>
      </c>
      <c r="D38" s="420">
        <v>0</v>
      </c>
      <c r="E38" s="420">
        <v>0</v>
      </c>
      <c r="F38" s="421">
        <f t="shared" si="0"/>
        <v>0</v>
      </c>
    </row>
    <row r="39" spans="1:6">
      <c r="A39" t="s">
        <v>433</v>
      </c>
      <c r="B39" s="412" t="s">
        <v>435</v>
      </c>
      <c r="C39" s="420">
        <v>0</v>
      </c>
      <c r="D39" s="420">
        <v>0</v>
      </c>
      <c r="E39" s="420">
        <v>0</v>
      </c>
      <c r="F39" s="421">
        <f t="shared" si="0"/>
        <v>0</v>
      </c>
    </row>
    <row r="40" spans="1:6">
      <c r="A40" t="s">
        <v>433</v>
      </c>
      <c r="B40" s="412" t="s">
        <v>436</v>
      </c>
      <c r="C40" s="420">
        <v>0</v>
      </c>
      <c r="D40" s="420">
        <v>0</v>
      </c>
      <c r="E40" s="420">
        <v>0</v>
      </c>
      <c r="F40" s="421">
        <f t="shared" si="0"/>
        <v>0</v>
      </c>
    </row>
    <row r="41" spans="1:6" ht="16.2" thickBot="1">
      <c r="A41" s="417" t="s">
        <v>433</v>
      </c>
      <c r="B41" s="418">
        <v>57</v>
      </c>
      <c r="C41" s="422">
        <v>0</v>
      </c>
      <c r="D41" s="422">
        <v>0</v>
      </c>
      <c r="E41" s="422">
        <v>0</v>
      </c>
      <c r="F41" s="423">
        <f t="shared" si="0"/>
        <v>0</v>
      </c>
    </row>
    <row r="42" spans="1:6" ht="16.2" thickTop="1">
      <c r="A42" t="s">
        <v>305</v>
      </c>
      <c r="C42" s="420">
        <f>SUM(C38:C41)</f>
        <v>0</v>
      </c>
      <c r="D42" s="420">
        <f t="shared" ref="D42:E42" si="5">SUM(D38:D41)</f>
        <v>0</v>
      </c>
      <c r="E42" s="420">
        <f t="shared" si="5"/>
        <v>0</v>
      </c>
      <c r="F42" s="421">
        <f t="shared" si="0"/>
        <v>0</v>
      </c>
    </row>
    <row r="43" spans="1:6">
      <c r="C43" s="420"/>
      <c r="D43" s="420"/>
      <c r="E43" s="420"/>
      <c r="F43" s="421"/>
    </row>
    <row r="44" spans="1:6">
      <c r="A44" t="s">
        <v>8</v>
      </c>
      <c r="C44" s="420">
        <f>SUM(C18,C25,C33,C36,C42)</f>
        <v>-102438.86959513041</v>
      </c>
      <c r="D44" s="420">
        <f>SUM(D18,D25,D33,D36,D42)</f>
        <v>-165266.75319540562</v>
      </c>
      <c r="E44" s="420">
        <f>SUM(E18,E25,E33,E36,E42)</f>
        <v>-123720.53677856991</v>
      </c>
      <c r="F44" s="421">
        <f>SUM(C44:E44)</f>
        <v>-391426.15956910595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R99"/>
  <sheetViews>
    <sheetView workbookViewId="0"/>
  </sheetViews>
  <sheetFormatPr defaultColWidth="9" defaultRowHeight="15.6"/>
  <cols>
    <col min="1" max="1" width="9" style="31"/>
    <col min="2" max="2" width="40.3984375" style="1" customWidth="1"/>
    <col min="3" max="14" width="12" style="1" customWidth="1"/>
    <col min="15" max="15" width="14.59765625" style="1" customWidth="1"/>
    <col min="16" max="16" width="9" style="1"/>
    <col min="17" max="17" width="2.19921875" style="1" customWidth="1"/>
    <col min="18" max="18" width="10.5" style="1" bestFit="1" customWidth="1"/>
    <col min="19" max="16384" width="9" style="1"/>
  </cols>
  <sheetData>
    <row r="1" spans="1:18"/>
    <row r="2" spans="1:18">
      <c r="A2" s="49" t="e">
        <f>#REF!</f>
        <v>#REF!</v>
      </c>
      <c r="B2" s="49"/>
      <c r="C2" s="1" t="s">
        <v>161</v>
      </c>
    </row>
    <row r="3" spans="1:18">
      <c r="A3" s="49" t="e">
        <f>#REF!</f>
        <v>#REF!</v>
      </c>
      <c r="B3" s="49"/>
    </row>
    <row r="4" spans="1:18">
      <c r="A4" s="49" t="e">
        <f>#REF!</f>
        <v>#REF!</v>
      </c>
      <c r="B4" s="49"/>
    </row>
    <row r="5" spans="1:18">
      <c r="B5" s="34" t="s">
        <v>215</v>
      </c>
      <c r="C5" s="35"/>
      <c r="D5" s="35"/>
      <c r="E5" s="35"/>
      <c r="F5" s="35"/>
      <c r="G5" s="50"/>
      <c r="H5" s="35"/>
      <c r="I5" s="35"/>
      <c r="J5" s="35"/>
      <c r="K5" s="35"/>
      <c r="L5" s="35"/>
      <c r="M5" s="35"/>
      <c r="N5" s="35"/>
      <c r="O5" s="37"/>
      <c r="P5" s="36" t="s">
        <v>68</v>
      </c>
    </row>
    <row r="6" spans="1:18">
      <c r="B6" s="1" t="s">
        <v>94</v>
      </c>
      <c r="G6" s="36"/>
      <c r="O6" s="48"/>
      <c r="P6" s="36" t="s">
        <v>216</v>
      </c>
      <c r="R6" s="13" t="s">
        <v>9</v>
      </c>
    </row>
    <row r="7" spans="1:18">
      <c r="C7" s="1">
        <v>200707</v>
      </c>
      <c r="D7" s="1">
        <v>200708</v>
      </c>
      <c r="E7" s="1">
        <f>D7+1</f>
        <v>200709</v>
      </c>
      <c r="F7" s="1">
        <f>E7+1</f>
        <v>200710</v>
      </c>
      <c r="G7" s="1">
        <f>F7+1</f>
        <v>200711</v>
      </c>
      <c r="H7" s="1">
        <f>G7+1</f>
        <v>200712</v>
      </c>
      <c r="I7" s="1">
        <v>200801</v>
      </c>
      <c r="J7" s="1">
        <f>I7+1</f>
        <v>200802</v>
      </c>
      <c r="K7" s="1">
        <f>J7+1</f>
        <v>200803</v>
      </c>
      <c r="L7" s="1">
        <f>K7+1</f>
        <v>200804</v>
      </c>
      <c r="M7" s="1">
        <f>L7+1</f>
        <v>200805</v>
      </c>
      <c r="N7" s="1">
        <f>M7+1</f>
        <v>200806</v>
      </c>
      <c r="O7" s="48" t="s">
        <v>113</v>
      </c>
      <c r="P7" s="62">
        <v>39260</v>
      </c>
      <c r="R7" s="13" t="s">
        <v>1</v>
      </c>
    </row>
    <row r="8" spans="1:18">
      <c r="A8" s="31">
        <v>24</v>
      </c>
      <c r="B8" s="1" t="s">
        <v>189</v>
      </c>
      <c r="C8" s="1">
        <v>4169692</v>
      </c>
      <c r="D8" s="1">
        <v>3723998</v>
      </c>
      <c r="E8" s="1">
        <v>3198923</v>
      </c>
      <c r="F8" s="1">
        <v>2755668</v>
      </c>
      <c r="G8" s="40">
        <v>3046052</v>
      </c>
      <c r="H8" s="1">
        <v>3335761</v>
      </c>
      <c r="I8" s="39">
        <v>3808717</v>
      </c>
      <c r="J8" s="39">
        <v>3873681</v>
      </c>
      <c r="K8" s="39">
        <v>3604333</v>
      </c>
      <c r="L8" s="39">
        <v>3283809</v>
      </c>
      <c r="M8" s="39">
        <v>3142167</v>
      </c>
      <c r="N8" s="39">
        <v>3774631</v>
      </c>
      <c r="O8" s="40">
        <f t="shared" ref="O8:O31" si="0">SUM(C8:N8)</f>
        <v>41717432</v>
      </c>
      <c r="P8" s="44">
        <v>1.24E-3</v>
      </c>
      <c r="R8" s="51">
        <f t="shared" ref="R8:R15" si="1">P8*O8</f>
        <v>51729.615680000003</v>
      </c>
    </row>
    <row r="9" spans="1:18">
      <c r="A9" s="31" t="s">
        <v>137</v>
      </c>
      <c r="B9" s="1" t="s">
        <v>198</v>
      </c>
      <c r="C9" s="1">
        <v>21238</v>
      </c>
      <c r="D9" s="1">
        <v>21238</v>
      </c>
      <c r="E9" s="1">
        <v>20942</v>
      </c>
      <c r="F9" s="1">
        <v>18280</v>
      </c>
      <c r="G9" s="40">
        <v>31065</v>
      </c>
      <c r="H9" s="1">
        <v>18280</v>
      </c>
      <c r="I9" s="9">
        <v>18281</v>
      </c>
      <c r="J9" s="9">
        <v>5495</v>
      </c>
      <c r="K9" s="9">
        <v>18280</v>
      </c>
      <c r="L9" s="9">
        <v>18280</v>
      </c>
      <c r="M9" s="9">
        <v>18280</v>
      </c>
      <c r="N9" s="9">
        <v>18280</v>
      </c>
      <c r="O9" s="40">
        <f t="shared" si="0"/>
        <v>227939</v>
      </c>
      <c r="P9" s="44">
        <v>1.24E-3</v>
      </c>
      <c r="R9" s="51">
        <f t="shared" si="1"/>
        <v>282.64436000000001</v>
      </c>
    </row>
    <row r="10" spans="1:18">
      <c r="A10" s="31" t="s">
        <v>144</v>
      </c>
      <c r="B10" s="1" t="s">
        <v>190</v>
      </c>
      <c r="C10" s="1">
        <v>1590</v>
      </c>
      <c r="D10" s="1">
        <v>2919</v>
      </c>
      <c r="E10" s="1">
        <v>11084</v>
      </c>
      <c r="F10" s="1">
        <v>174819</v>
      </c>
      <c r="G10" s="40">
        <v>139933</v>
      </c>
      <c r="H10" s="1">
        <v>22495</v>
      </c>
      <c r="I10" s="9">
        <v>14785</v>
      </c>
      <c r="J10" s="9">
        <v>13030</v>
      </c>
      <c r="K10" s="9">
        <v>-3559</v>
      </c>
      <c r="L10" s="9">
        <v>11843</v>
      </c>
      <c r="M10" s="9">
        <v>31064</v>
      </c>
      <c r="N10" s="9">
        <v>-15272</v>
      </c>
      <c r="O10" s="40">
        <f t="shared" si="0"/>
        <v>404731</v>
      </c>
      <c r="P10" s="44">
        <v>1.24E-3</v>
      </c>
      <c r="R10" s="51">
        <f t="shared" si="1"/>
        <v>501.86644000000001</v>
      </c>
    </row>
    <row r="11" spans="1:18">
      <c r="A11" s="31">
        <v>24</v>
      </c>
      <c r="B11" s="1" t="s">
        <v>95</v>
      </c>
      <c r="C11" s="40">
        <v>42970072</v>
      </c>
      <c r="D11" s="40">
        <v>42492319</v>
      </c>
      <c r="E11" s="40">
        <v>36262938</v>
      </c>
      <c r="F11" s="40">
        <v>33230542</v>
      </c>
      <c r="G11" s="40">
        <v>34869575</v>
      </c>
      <c r="H11" s="40">
        <v>36341153</v>
      </c>
      <c r="I11" s="9">
        <v>40445704</v>
      </c>
      <c r="J11" s="9">
        <v>44523686</v>
      </c>
      <c r="K11" s="9">
        <v>39679186</v>
      </c>
      <c r="L11" s="9">
        <v>35221083</v>
      </c>
      <c r="M11" s="9">
        <v>35809463</v>
      </c>
      <c r="N11" s="9">
        <v>43110158</v>
      </c>
      <c r="O11" s="40">
        <f t="shared" si="0"/>
        <v>464955879</v>
      </c>
      <c r="P11" s="44">
        <v>1.24E-3</v>
      </c>
      <c r="R11" s="51">
        <f t="shared" si="1"/>
        <v>576545.28995999997</v>
      </c>
    </row>
    <row r="12" spans="1:18">
      <c r="A12" s="31" t="s">
        <v>137</v>
      </c>
      <c r="B12" s="1" t="s">
        <v>96</v>
      </c>
      <c r="C12" s="40">
        <v>101764</v>
      </c>
      <c r="D12" s="40">
        <v>100304</v>
      </c>
      <c r="E12" s="40">
        <v>101677</v>
      </c>
      <c r="F12" s="40">
        <v>100074</v>
      </c>
      <c r="G12" s="40">
        <v>101098</v>
      </c>
      <c r="H12" s="40">
        <v>101728</v>
      </c>
      <c r="I12" s="9">
        <v>100888</v>
      </c>
      <c r="J12" s="9">
        <v>100882</v>
      </c>
      <c r="K12" s="9">
        <v>100000</v>
      </c>
      <c r="L12" s="9">
        <v>100094</v>
      </c>
      <c r="M12" s="9">
        <v>101670</v>
      </c>
      <c r="N12" s="9">
        <v>100935</v>
      </c>
      <c r="O12" s="40">
        <f t="shared" si="0"/>
        <v>1211114</v>
      </c>
      <c r="P12" s="44">
        <v>1.24E-3</v>
      </c>
      <c r="R12" s="51">
        <f t="shared" si="1"/>
        <v>1501.7813599999999</v>
      </c>
    </row>
    <row r="13" spans="1:18">
      <c r="A13" s="31">
        <v>36</v>
      </c>
      <c r="B13" s="1" t="s">
        <v>199</v>
      </c>
      <c r="C13" s="1">
        <v>7139320</v>
      </c>
      <c r="D13" s="1">
        <v>6651020</v>
      </c>
      <c r="E13" s="1">
        <v>5949180</v>
      </c>
      <c r="F13" s="1">
        <v>5427928</v>
      </c>
      <c r="G13" s="40">
        <v>5820260</v>
      </c>
      <c r="H13" s="1">
        <v>10710241</v>
      </c>
      <c r="I13" s="9">
        <v>6874968</v>
      </c>
      <c r="J13" s="9">
        <v>6866625</v>
      </c>
      <c r="K13" s="9">
        <v>7519899</v>
      </c>
      <c r="L13" s="9">
        <v>8709680</v>
      </c>
      <c r="M13" s="9">
        <v>6276100</v>
      </c>
      <c r="N13" s="9">
        <v>8286800</v>
      </c>
      <c r="O13" s="40">
        <f t="shared" si="0"/>
        <v>86232021</v>
      </c>
      <c r="P13" s="44">
        <v>1.0200000000000001E-3</v>
      </c>
      <c r="R13" s="51">
        <f t="shared" si="1"/>
        <v>87956.661420000004</v>
      </c>
    </row>
    <row r="14" spans="1:18">
      <c r="A14" s="31">
        <v>36</v>
      </c>
      <c r="B14" s="1" t="s">
        <v>97</v>
      </c>
      <c r="C14" s="40">
        <v>59368941</v>
      </c>
      <c r="D14" s="40">
        <v>56815580</v>
      </c>
      <c r="E14" s="40">
        <v>52729103</v>
      </c>
      <c r="F14" s="40">
        <v>48314509</v>
      </c>
      <c r="G14" s="40">
        <v>49936076</v>
      </c>
      <c r="H14" s="40">
        <v>46891727</v>
      </c>
      <c r="I14" s="9">
        <v>55644603</v>
      </c>
      <c r="J14" s="9">
        <v>59342604</v>
      </c>
      <c r="K14" s="9">
        <v>59603339</v>
      </c>
      <c r="L14" s="9">
        <v>65055503</v>
      </c>
      <c r="M14" s="9">
        <v>59222854</v>
      </c>
      <c r="N14" s="9">
        <v>61989884</v>
      </c>
      <c r="O14" s="40">
        <f t="shared" si="0"/>
        <v>674914723</v>
      </c>
      <c r="P14" s="44">
        <v>1.0200000000000001E-3</v>
      </c>
      <c r="R14" s="51">
        <f t="shared" si="1"/>
        <v>688413.01746</v>
      </c>
    </row>
    <row r="15" spans="1:18">
      <c r="A15" s="31" t="s">
        <v>143</v>
      </c>
      <c r="B15" s="1" t="s">
        <v>98</v>
      </c>
      <c r="C15" s="40">
        <v>14031760</v>
      </c>
      <c r="D15" s="40">
        <v>12105060</v>
      </c>
      <c r="E15" s="40">
        <v>12596320</v>
      </c>
      <c r="F15" s="40">
        <v>11333660</v>
      </c>
      <c r="G15" s="40">
        <v>11389980</v>
      </c>
      <c r="H15" s="40">
        <v>11786660</v>
      </c>
      <c r="I15" s="9">
        <v>12614402</v>
      </c>
      <c r="J15" s="9">
        <v>13075400</v>
      </c>
      <c r="K15" s="9">
        <v>13838880</v>
      </c>
      <c r="L15" s="9">
        <v>14709860</v>
      </c>
      <c r="M15" s="9">
        <v>12447520</v>
      </c>
      <c r="N15" s="9">
        <v>13113320</v>
      </c>
      <c r="O15" s="40">
        <f t="shared" si="0"/>
        <v>153042822</v>
      </c>
      <c r="P15" s="44">
        <v>8.3000000000000001E-4</v>
      </c>
      <c r="R15" s="51">
        <f t="shared" si="1"/>
        <v>127025.54226</v>
      </c>
    </row>
    <row r="16" spans="1:18">
      <c r="B16" s="1" t="s">
        <v>99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40">
        <f t="shared" si="0"/>
        <v>0</v>
      </c>
    </row>
    <row r="17" spans="1:18">
      <c r="B17" s="1" t="s">
        <v>100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40">
        <f t="shared" si="0"/>
        <v>0</v>
      </c>
    </row>
    <row r="18" spans="1:18">
      <c r="B18" s="1" t="s">
        <v>101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40">
        <f t="shared" si="0"/>
        <v>0</v>
      </c>
    </row>
    <row r="19" spans="1:18">
      <c r="B19" s="1" t="s">
        <v>102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40">
        <f t="shared" si="0"/>
        <v>0</v>
      </c>
    </row>
    <row r="20" spans="1:18">
      <c r="B20" s="1" t="s">
        <v>103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40">
        <f t="shared" si="0"/>
        <v>0</v>
      </c>
    </row>
    <row r="21" spans="1:18">
      <c r="A21" s="31" t="s">
        <v>29</v>
      </c>
      <c r="B21" s="1" t="s">
        <v>104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40">
        <f t="shared" si="0"/>
        <v>0</v>
      </c>
    </row>
    <row r="22" spans="1:18">
      <c r="A22" s="31" t="s">
        <v>29</v>
      </c>
      <c r="B22" s="1" t="s">
        <v>170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40">
        <f t="shared" si="0"/>
        <v>0</v>
      </c>
    </row>
    <row r="23" spans="1:18">
      <c r="B23" s="32" t="s">
        <v>211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40">
        <f t="shared" si="0"/>
        <v>0</v>
      </c>
    </row>
    <row r="24" spans="1:18">
      <c r="A24" s="31">
        <v>135</v>
      </c>
      <c r="B24" s="1" t="s">
        <v>185</v>
      </c>
      <c r="C24" s="40">
        <v>2307</v>
      </c>
      <c r="D24" s="40">
        <v>1428</v>
      </c>
      <c r="E24" s="1">
        <v>140</v>
      </c>
      <c r="F24" s="1">
        <v>0</v>
      </c>
      <c r="G24" s="1">
        <v>0</v>
      </c>
      <c r="H24" s="1">
        <v>0</v>
      </c>
      <c r="I24" s="9">
        <v>0</v>
      </c>
      <c r="J24" s="9">
        <v>0</v>
      </c>
      <c r="K24" s="9">
        <v>0</v>
      </c>
      <c r="L24" s="9">
        <v>18</v>
      </c>
      <c r="M24" s="9">
        <v>0</v>
      </c>
      <c r="N24" s="9">
        <v>1232</v>
      </c>
      <c r="O24" s="40">
        <f t="shared" si="0"/>
        <v>5125</v>
      </c>
      <c r="P24" s="44">
        <v>1.24E-3</v>
      </c>
      <c r="R24" s="51">
        <f>P24*O24</f>
        <v>6.3550000000000004</v>
      </c>
    </row>
    <row r="25" spans="1:18">
      <c r="A25" s="31" t="s">
        <v>139</v>
      </c>
      <c r="B25" s="1" t="s">
        <v>105</v>
      </c>
      <c r="C25" s="40">
        <v>135621</v>
      </c>
      <c r="D25" s="40">
        <v>152479</v>
      </c>
      <c r="E25" s="40">
        <v>143101</v>
      </c>
      <c r="F25" s="40">
        <v>144390</v>
      </c>
      <c r="G25" s="40">
        <v>147368</v>
      </c>
      <c r="H25" s="40">
        <v>125859</v>
      </c>
      <c r="I25" s="9">
        <v>142775</v>
      </c>
      <c r="J25" s="9">
        <v>145842</v>
      </c>
      <c r="K25" s="9">
        <v>135813</v>
      </c>
      <c r="L25" s="9">
        <v>146542</v>
      </c>
      <c r="M25" s="9">
        <v>137092</v>
      </c>
      <c r="N25" s="9">
        <v>143598</v>
      </c>
      <c r="O25" s="40">
        <f t="shared" si="0"/>
        <v>1700480</v>
      </c>
      <c r="P25" s="44">
        <v>1.09E-3</v>
      </c>
      <c r="R25" s="51">
        <f>P25*O25</f>
        <v>1853.5232000000001</v>
      </c>
    </row>
    <row r="26" spans="1:18">
      <c r="A26" s="31" t="s">
        <v>139</v>
      </c>
      <c r="B26" s="1" t="s">
        <v>197</v>
      </c>
      <c r="C26" s="1">
        <v>56080</v>
      </c>
      <c r="D26" s="1">
        <v>54964</v>
      </c>
      <c r="E26" s="1">
        <v>55214</v>
      </c>
      <c r="F26" s="1">
        <v>54647</v>
      </c>
      <c r="G26" s="40">
        <v>54911</v>
      </c>
      <c r="H26" s="1">
        <v>55184</v>
      </c>
      <c r="I26" s="9">
        <v>53677</v>
      </c>
      <c r="J26" s="9">
        <v>53325</v>
      </c>
      <c r="K26" s="9">
        <v>52348</v>
      </c>
      <c r="L26" s="9">
        <v>55316</v>
      </c>
      <c r="M26" s="9">
        <v>51552</v>
      </c>
      <c r="N26" s="9">
        <v>52753</v>
      </c>
      <c r="O26" s="40">
        <f t="shared" si="0"/>
        <v>649971</v>
      </c>
      <c r="P26" s="44">
        <v>1.09E-3</v>
      </c>
      <c r="R26" s="51">
        <f>P26*O26</f>
        <v>708.46839</v>
      </c>
    </row>
    <row r="27" spans="1:18">
      <c r="A27" s="31">
        <v>54</v>
      </c>
      <c r="B27" s="1" t="s">
        <v>106</v>
      </c>
      <c r="C27" s="40">
        <v>13222</v>
      </c>
      <c r="D27" s="40">
        <v>2552</v>
      </c>
      <c r="E27" s="40">
        <v>15473</v>
      </c>
      <c r="F27" s="40">
        <v>20107</v>
      </c>
      <c r="G27" s="40">
        <v>16713</v>
      </c>
      <c r="H27" s="40">
        <v>13439</v>
      </c>
      <c r="I27" s="9">
        <v>23259</v>
      </c>
      <c r="J27" s="9">
        <v>16201</v>
      </c>
      <c r="K27" s="9">
        <v>14873</v>
      </c>
      <c r="L27" s="9">
        <v>38831</v>
      </c>
      <c r="M27" s="9">
        <v>31315</v>
      </c>
      <c r="N27" s="9">
        <v>21266</v>
      </c>
      <c r="O27" s="40">
        <f t="shared" si="0"/>
        <v>227251</v>
      </c>
      <c r="P27" s="44">
        <v>1.48E-3</v>
      </c>
      <c r="R27" s="51">
        <f>P27*O27</f>
        <v>336.33148</v>
      </c>
    </row>
    <row r="28" spans="1:18">
      <c r="B28" s="1" t="s">
        <v>107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40">
        <f t="shared" si="0"/>
        <v>0</v>
      </c>
    </row>
    <row r="29" spans="1:18">
      <c r="B29" s="1" t="s">
        <v>108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40">
        <f t="shared" si="0"/>
        <v>0</v>
      </c>
    </row>
    <row r="30" spans="1:18">
      <c r="B30" s="1" t="s">
        <v>191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40">
        <f t="shared" si="0"/>
        <v>0</v>
      </c>
    </row>
    <row r="31" spans="1:18">
      <c r="B31" s="1" t="s">
        <v>194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40">
        <f t="shared" si="0"/>
        <v>0</v>
      </c>
    </row>
    <row r="32" spans="1:18">
      <c r="A32" s="31" t="s">
        <v>29</v>
      </c>
      <c r="B32" s="1" t="s">
        <v>111</v>
      </c>
    </row>
    <row r="33" spans="1:18">
      <c r="A33" s="31" t="s">
        <v>29</v>
      </c>
      <c r="C33" s="40">
        <f t="shared" ref="C33:O33" si="2">SUM(C8:C31)</f>
        <v>128011607</v>
      </c>
      <c r="D33" s="40">
        <f t="shared" si="2"/>
        <v>122123861</v>
      </c>
      <c r="E33" s="40">
        <f t="shared" si="2"/>
        <v>111084095</v>
      </c>
      <c r="F33" s="40">
        <f t="shared" si="2"/>
        <v>101574624</v>
      </c>
      <c r="G33" s="40">
        <f t="shared" si="2"/>
        <v>105553031</v>
      </c>
      <c r="H33" s="40">
        <f t="shared" si="2"/>
        <v>109402527</v>
      </c>
      <c r="I33" s="40">
        <f t="shared" si="2"/>
        <v>119742059</v>
      </c>
      <c r="J33" s="40">
        <f t="shared" si="2"/>
        <v>128016771</v>
      </c>
      <c r="K33" s="40">
        <f t="shared" si="2"/>
        <v>124563392</v>
      </c>
      <c r="L33" s="40">
        <f t="shared" si="2"/>
        <v>127350859</v>
      </c>
      <c r="M33" s="40">
        <f t="shared" si="2"/>
        <v>117269077</v>
      </c>
      <c r="N33" s="40">
        <f t="shared" si="2"/>
        <v>130597585</v>
      </c>
      <c r="O33" s="40">
        <f t="shared" si="2"/>
        <v>1425289488</v>
      </c>
    </row>
    <row r="34" spans="1:18">
      <c r="A34" s="31" t="s">
        <v>29</v>
      </c>
      <c r="B34" s="1" t="s">
        <v>114</v>
      </c>
    </row>
    <row r="35" spans="1:18">
      <c r="A35" s="31" t="s">
        <v>29</v>
      </c>
      <c r="C35" s="1">
        <v>200707</v>
      </c>
      <c r="D35" s="1">
        <v>200708</v>
      </c>
      <c r="E35" s="1">
        <f>D35+1</f>
        <v>200709</v>
      </c>
      <c r="F35" s="1">
        <f>E35+1</f>
        <v>200710</v>
      </c>
      <c r="G35" s="1">
        <f>F35+1</f>
        <v>200711</v>
      </c>
      <c r="H35" s="1">
        <f>G35+1</f>
        <v>200712</v>
      </c>
      <c r="I35" s="1">
        <v>200801</v>
      </c>
      <c r="J35" s="1">
        <f>I35+1</f>
        <v>200802</v>
      </c>
      <c r="K35" s="1">
        <f>J35+1</f>
        <v>200803</v>
      </c>
      <c r="L35" s="1">
        <f>K35+1</f>
        <v>200804</v>
      </c>
      <c r="M35" s="1">
        <f>L35+1</f>
        <v>200805</v>
      </c>
      <c r="N35" s="1">
        <f>M35+1</f>
        <v>200806</v>
      </c>
      <c r="O35" s="1" t="s">
        <v>113</v>
      </c>
      <c r="P35" s="44"/>
    </row>
    <row r="36" spans="1:18">
      <c r="A36" s="31">
        <v>24</v>
      </c>
      <c r="B36" s="1" t="s">
        <v>189</v>
      </c>
      <c r="C36" s="42">
        <v>245856</v>
      </c>
      <c r="D36" s="39">
        <v>237043</v>
      </c>
      <c r="E36" s="39">
        <v>190545</v>
      </c>
      <c r="F36" s="39">
        <v>164203</v>
      </c>
      <c r="G36" s="39">
        <v>178325</v>
      </c>
      <c r="H36" s="39">
        <v>215598</v>
      </c>
      <c r="I36" s="39">
        <v>293514</v>
      </c>
      <c r="J36" s="39">
        <v>307172</v>
      </c>
      <c r="K36" s="39">
        <v>526995</v>
      </c>
      <c r="L36" s="39">
        <v>447110</v>
      </c>
      <c r="M36" s="39">
        <v>227293</v>
      </c>
      <c r="N36" s="39">
        <v>220660</v>
      </c>
      <c r="O36" s="40">
        <f t="shared" ref="O36:O48" si="3">SUM(C36:N36)</f>
        <v>3254314</v>
      </c>
      <c r="P36" s="44">
        <v>1.24E-3</v>
      </c>
      <c r="R36" s="51">
        <f t="shared" ref="R36:R44" si="4">P36*O36</f>
        <v>4035.3493600000002</v>
      </c>
    </row>
    <row r="37" spans="1:18">
      <c r="A37" s="31" t="s">
        <v>144</v>
      </c>
      <c r="B37" s="1" t="s">
        <v>190</v>
      </c>
      <c r="C37" s="43">
        <v>96</v>
      </c>
      <c r="D37" s="9">
        <v>-84</v>
      </c>
      <c r="E37" s="9">
        <v>545</v>
      </c>
      <c r="F37" s="9">
        <v>1302</v>
      </c>
      <c r="G37" s="9">
        <v>150</v>
      </c>
      <c r="H37" s="9">
        <v>557</v>
      </c>
      <c r="I37" s="9">
        <v>1396</v>
      </c>
      <c r="J37" s="9">
        <v>33</v>
      </c>
      <c r="K37" s="9">
        <v>1826</v>
      </c>
      <c r="L37" s="9">
        <v>1074</v>
      </c>
      <c r="M37" s="9">
        <v>0</v>
      </c>
      <c r="N37" s="9">
        <v>34</v>
      </c>
      <c r="O37" s="40">
        <f t="shared" si="3"/>
        <v>6929</v>
      </c>
      <c r="P37" s="44">
        <v>1.24E-3</v>
      </c>
      <c r="R37" s="51">
        <f t="shared" si="4"/>
        <v>8.5919600000000003</v>
      </c>
    </row>
    <row r="38" spans="1:18">
      <c r="A38" s="31">
        <v>24</v>
      </c>
      <c r="B38" s="1" t="s">
        <v>95</v>
      </c>
      <c r="C38" s="43">
        <v>1909641</v>
      </c>
      <c r="D38" s="9">
        <v>1806944</v>
      </c>
      <c r="E38" s="9">
        <v>1549411</v>
      </c>
      <c r="F38" s="9">
        <v>1277233</v>
      </c>
      <c r="G38" s="9">
        <v>1348630</v>
      </c>
      <c r="H38" s="9">
        <v>1329979</v>
      </c>
      <c r="I38" s="9">
        <v>1795617</v>
      </c>
      <c r="J38" s="9">
        <v>1427677</v>
      </c>
      <c r="K38" s="9">
        <v>1355114</v>
      </c>
      <c r="L38" s="9">
        <v>1254624</v>
      </c>
      <c r="M38" s="9">
        <v>1247407</v>
      </c>
      <c r="N38" s="9">
        <v>1703611</v>
      </c>
      <c r="O38" s="40">
        <f t="shared" si="3"/>
        <v>18005888</v>
      </c>
      <c r="P38" s="44">
        <v>1.24E-3</v>
      </c>
      <c r="R38" s="51">
        <f t="shared" si="4"/>
        <v>22327.30112</v>
      </c>
    </row>
    <row r="39" spans="1:18">
      <c r="A39" s="31" t="s">
        <v>137</v>
      </c>
      <c r="B39" s="1" t="s">
        <v>96</v>
      </c>
      <c r="C39" s="43">
        <v>2776</v>
      </c>
      <c r="D39" s="9">
        <v>2776</v>
      </c>
      <c r="E39" s="9">
        <v>2776</v>
      </c>
      <c r="F39" s="9">
        <v>2776</v>
      </c>
      <c r="G39" s="9">
        <v>2776</v>
      </c>
      <c r="H39" s="9">
        <v>2776</v>
      </c>
      <c r="I39" s="9">
        <v>2776</v>
      </c>
      <c r="J39" s="9">
        <v>2776</v>
      </c>
      <c r="K39" s="9">
        <v>2776</v>
      </c>
      <c r="L39" s="9">
        <v>2776</v>
      </c>
      <c r="M39" s="9">
        <v>2776</v>
      </c>
      <c r="N39" s="9">
        <v>2776</v>
      </c>
      <c r="O39" s="40">
        <f t="shared" si="3"/>
        <v>33312</v>
      </c>
      <c r="P39" s="44">
        <v>1.24E-3</v>
      </c>
      <c r="R39" s="51">
        <f t="shared" si="4"/>
        <v>41.30688</v>
      </c>
    </row>
    <row r="40" spans="1:18">
      <c r="A40" s="31">
        <v>36</v>
      </c>
      <c r="B40" s="1" t="s">
        <v>199</v>
      </c>
      <c r="C40" s="43">
        <v>100640</v>
      </c>
      <c r="D40" s="9">
        <v>95384</v>
      </c>
      <c r="E40" s="9">
        <v>73480</v>
      </c>
      <c r="F40" s="9">
        <v>80320</v>
      </c>
      <c r="G40" s="9">
        <v>87200</v>
      </c>
      <c r="H40" s="9">
        <v>113520</v>
      </c>
      <c r="I40" s="9">
        <v>168842</v>
      </c>
      <c r="J40" s="9">
        <v>199560</v>
      </c>
      <c r="K40" s="9">
        <v>987400</v>
      </c>
      <c r="L40" s="9">
        <v>1570360</v>
      </c>
      <c r="M40" s="9">
        <v>249680</v>
      </c>
      <c r="N40" s="9">
        <v>149720</v>
      </c>
      <c r="O40" s="40">
        <f t="shared" si="3"/>
        <v>3876106</v>
      </c>
      <c r="P40" s="44">
        <v>1.0200000000000001E-3</v>
      </c>
      <c r="R40" s="51">
        <f t="shared" si="4"/>
        <v>3953.6281200000003</v>
      </c>
    </row>
    <row r="41" spans="1:18">
      <c r="A41" s="31" t="s">
        <v>143</v>
      </c>
      <c r="B41" s="1" t="s">
        <v>186</v>
      </c>
      <c r="C41" s="43"/>
      <c r="D41" s="9"/>
      <c r="E41" s="9"/>
      <c r="F41" s="9">
        <v>54000</v>
      </c>
      <c r="G41" s="9">
        <v>-54000</v>
      </c>
      <c r="H41" s="9"/>
      <c r="I41" s="9"/>
      <c r="J41" s="9"/>
      <c r="K41" s="9"/>
      <c r="L41" s="9"/>
      <c r="M41" s="9"/>
      <c r="N41" s="9"/>
      <c r="O41" s="40">
        <f t="shared" si="3"/>
        <v>0</v>
      </c>
      <c r="P41" s="44">
        <v>8.3000000000000001E-4</v>
      </c>
      <c r="R41" s="51">
        <f t="shared" si="4"/>
        <v>0</v>
      </c>
    </row>
    <row r="42" spans="1:18">
      <c r="A42" s="31">
        <v>36</v>
      </c>
      <c r="B42" s="1" t="s">
        <v>97</v>
      </c>
      <c r="C42" s="43">
        <v>10318300</v>
      </c>
      <c r="D42" s="9">
        <v>12442180</v>
      </c>
      <c r="E42" s="9">
        <v>11211240</v>
      </c>
      <c r="F42" s="9">
        <v>9636920</v>
      </c>
      <c r="G42" s="9">
        <v>10839840</v>
      </c>
      <c r="H42" s="9">
        <v>9171000</v>
      </c>
      <c r="I42" s="9">
        <v>10177875</v>
      </c>
      <c r="J42" s="9">
        <v>10771855</v>
      </c>
      <c r="K42" s="9">
        <v>11930134</v>
      </c>
      <c r="L42" s="9">
        <v>13859241</v>
      </c>
      <c r="M42" s="9">
        <v>14520180</v>
      </c>
      <c r="N42" s="9">
        <v>11750660</v>
      </c>
      <c r="O42" s="40">
        <f t="shared" si="3"/>
        <v>136629425</v>
      </c>
      <c r="P42" s="44">
        <v>1.0200000000000001E-3</v>
      </c>
      <c r="R42" s="51">
        <f t="shared" si="4"/>
        <v>139362.0135</v>
      </c>
    </row>
    <row r="43" spans="1:18">
      <c r="A43" s="31" t="s">
        <v>142</v>
      </c>
      <c r="B43" s="1" t="s">
        <v>115</v>
      </c>
      <c r="C43" s="41">
        <v>2948000</v>
      </c>
      <c r="D43" s="9">
        <v>2612000</v>
      </c>
      <c r="E43" s="9">
        <v>2349000</v>
      </c>
      <c r="F43" s="9">
        <v>2241000</v>
      </c>
      <c r="G43" s="9">
        <v>1942000</v>
      </c>
      <c r="H43" s="9">
        <v>1761000</v>
      </c>
      <c r="I43" s="9">
        <v>2096000</v>
      </c>
      <c r="J43" s="9">
        <v>2221000</v>
      </c>
      <c r="K43" s="9">
        <v>1602000</v>
      </c>
      <c r="L43" s="9">
        <v>1544000</v>
      </c>
      <c r="M43" s="9">
        <v>1868000</v>
      </c>
      <c r="N43" s="9">
        <v>2647000</v>
      </c>
      <c r="O43" s="40">
        <f t="shared" si="3"/>
        <v>25831000</v>
      </c>
      <c r="P43" s="44">
        <v>8.3000000000000001E-4</v>
      </c>
      <c r="R43" s="51">
        <f t="shared" si="4"/>
        <v>21439.73</v>
      </c>
    </row>
    <row r="44" spans="1:18">
      <c r="A44" s="31" t="s">
        <v>67</v>
      </c>
      <c r="B44" s="1" t="s">
        <v>98</v>
      </c>
      <c r="C44" s="41">
        <v>49783800</v>
      </c>
      <c r="D44" s="9">
        <v>59340000</v>
      </c>
      <c r="E44" s="9">
        <v>57320600</v>
      </c>
      <c r="F44" s="9">
        <v>54656650</v>
      </c>
      <c r="G44" s="9">
        <v>55667450</v>
      </c>
      <c r="H44" s="9">
        <v>40957550</v>
      </c>
      <c r="I44" s="9">
        <v>56388555</v>
      </c>
      <c r="J44" s="9">
        <v>61600850</v>
      </c>
      <c r="K44" s="9">
        <v>60175601</v>
      </c>
      <c r="L44" s="9">
        <v>57164750</v>
      </c>
      <c r="M44" s="9">
        <v>58007500</v>
      </c>
      <c r="N44" s="9">
        <v>63661250</v>
      </c>
      <c r="O44" s="40">
        <f t="shared" si="3"/>
        <v>674724556</v>
      </c>
      <c r="P44" s="44">
        <v>8.3000000000000001E-4</v>
      </c>
      <c r="R44" s="51">
        <f t="shared" si="4"/>
        <v>560021.38147999998</v>
      </c>
    </row>
    <row r="45" spans="1:18">
      <c r="B45" s="1" t="s">
        <v>99</v>
      </c>
      <c r="C45" s="41"/>
      <c r="D45" s="9"/>
      <c r="E45" s="9"/>
      <c r="F45" s="9"/>
      <c r="G45" s="9"/>
      <c r="H45" s="9"/>
      <c r="I45" s="9">
        <v>0</v>
      </c>
      <c r="J45" s="9">
        <v>0</v>
      </c>
      <c r="K45" s="9">
        <v>0</v>
      </c>
      <c r="L45" s="9"/>
      <c r="M45" s="9"/>
      <c r="N45" s="9"/>
      <c r="O45" s="40">
        <f t="shared" si="3"/>
        <v>0</v>
      </c>
    </row>
    <row r="46" spans="1:18">
      <c r="A46" s="31" t="s">
        <v>139</v>
      </c>
      <c r="B46" s="1" t="s">
        <v>105</v>
      </c>
      <c r="C46" s="41">
        <v>10756</v>
      </c>
      <c r="D46" s="9">
        <v>11243</v>
      </c>
      <c r="E46" s="9">
        <v>11348</v>
      </c>
      <c r="F46" s="9">
        <v>10494</v>
      </c>
      <c r="G46" s="9">
        <v>10714</v>
      </c>
      <c r="H46" s="9">
        <v>10392</v>
      </c>
      <c r="I46" s="9">
        <v>10322</v>
      </c>
      <c r="J46" s="9">
        <v>10317</v>
      </c>
      <c r="K46" s="9">
        <v>9746</v>
      </c>
      <c r="L46" s="9">
        <v>10468</v>
      </c>
      <c r="M46" s="9">
        <v>10361</v>
      </c>
      <c r="N46" s="9">
        <v>10770</v>
      </c>
      <c r="O46" s="40">
        <f t="shared" si="3"/>
        <v>126931</v>
      </c>
      <c r="P46" s="44">
        <v>1.09E-3</v>
      </c>
      <c r="R46" s="51">
        <f>P46*O46</f>
        <v>138.35479000000001</v>
      </c>
    </row>
    <row r="47" spans="1:18">
      <c r="A47" s="31" t="s">
        <v>139</v>
      </c>
      <c r="B47" s="1" t="s">
        <v>197</v>
      </c>
      <c r="C47" s="41">
        <v>2684</v>
      </c>
      <c r="D47" s="9">
        <v>2684</v>
      </c>
      <c r="E47" s="9">
        <v>2684</v>
      </c>
      <c r="F47" s="9">
        <v>2684</v>
      </c>
      <c r="G47" s="9">
        <v>2608</v>
      </c>
      <c r="H47" s="9">
        <v>2760</v>
      </c>
      <c r="I47" s="9">
        <v>2686</v>
      </c>
      <c r="J47" s="9">
        <v>2685</v>
      </c>
      <c r="K47" s="9">
        <v>2684</v>
      </c>
      <c r="L47" s="9">
        <v>2684</v>
      </c>
      <c r="M47" s="9">
        <v>2684</v>
      </c>
      <c r="N47" s="9">
        <v>2684</v>
      </c>
      <c r="O47" s="40">
        <f t="shared" si="3"/>
        <v>32211</v>
      </c>
      <c r="P47" s="44">
        <v>1.09E-3</v>
      </c>
      <c r="R47" s="51">
        <f>P47*O47</f>
        <v>35.109990000000003</v>
      </c>
    </row>
    <row r="48" spans="1:18">
      <c r="A48" s="31">
        <v>47</v>
      </c>
      <c r="B48" s="1" t="s">
        <v>116</v>
      </c>
      <c r="C48" s="41">
        <v>0</v>
      </c>
      <c r="D48" s="9">
        <v>420000</v>
      </c>
      <c r="E48" s="9">
        <v>0</v>
      </c>
      <c r="F48" s="9">
        <v>140000</v>
      </c>
      <c r="G48" s="9">
        <v>0</v>
      </c>
      <c r="H48" s="9">
        <v>140000</v>
      </c>
      <c r="I48" s="9">
        <v>140000</v>
      </c>
      <c r="J48" s="9">
        <v>140000</v>
      </c>
      <c r="K48" s="9">
        <v>140000</v>
      </c>
      <c r="L48" s="9">
        <v>140000</v>
      </c>
      <c r="M48" s="9">
        <v>140000</v>
      </c>
      <c r="N48" s="9">
        <v>140000</v>
      </c>
      <c r="O48" s="40">
        <f t="shared" si="3"/>
        <v>1540000</v>
      </c>
      <c r="P48" s="44">
        <v>8.3000000000000001E-4</v>
      </c>
      <c r="R48" s="51">
        <f>P48*O48</f>
        <v>1278.2</v>
      </c>
    </row>
    <row r="49" spans="1:18">
      <c r="A49" s="31" t="s">
        <v>29</v>
      </c>
      <c r="B49" s="1" t="s">
        <v>107</v>
      </c>
      <c r="C49" s="41"/>
      <c r="D49" s="9"/>
      <c r="E49" s="9"/>
      <c r="F49" s="9"/>
      <c r="G49" s="9"/>
      <c r="H49" s="9">
        <v>0</v>
      </c>
      <c r="I49" s="9"/>
      <c r="J49" s="9">
        <v>0</v>
      </c>
      <c r="K49" s="9"/>
      <c r="L49" s="9">
        <v>0</v>
      </c>
      <c r="M49" s="9"/>
      <c r="N49" s="9"/>
      <c r="O49" s="1">
        <v>0</v>
      </c>
    </row>
    <row r="50" spans="1:18">
      <c r="B50" s="1" t="s">
        <v>108</v>
      </c>
      <c r="C50" s="41"/>
      <c r="D50" s="9"/>
      <c r="E50" s="9"/>
      <c r="F50" s="9"/>
      <c r="G50" s="9"/>
      <c r="H50" s="9">
        <v>0</v>
      </c>
      <c r="I50" s="9"/>
      <c r="J50" s="9">
        <v>0</v>
      </c>
      <c r="K50" s="9"/>
      <c r="L50" s="9"/>
      <c r="M50" s="9"/>
      <c r="N50" s="9"/>
      <c r="O50" s="1">
        <v>0</v>
      </c>
    </row>
    <row r="51" spans="1:18">
      <c r="B51" s="1" t="s">
        <v>191</v>
      </c>
      <c r="C51" s="41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/>
      <c r="J51" s="9"/>
      <c r="K51" s="9"/>
      <c r="L51" s="9"/>
      <c r="M51" s="9"/>
      <c r="N51" s="9"/>
      <c r="O51" s="1">
        <v>0</v>
      </c>
    </row>
    <row r="52" spans="1:18">
      <c r="B52" s="1" t="s">
        <v>194</v>
      </c>
      <c r="C52" s="41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  <c r="J52" s="9"/>
      <c r="K52" s="9"/>
      <c r="L52" s="9"/>
      <c r="M52" s="9"/>
      <c r="N52" s="9"/>
      <c r="O52" s="1">
        <v>0</v>
      </c>
    </row>
    <row r="53" spans="1:18">
      <c r="B53" s="1" t="s">
        <v>111</v>
      </c>
    </row>
    <row r="54" spans="1:18">
      <c r="C54" s="40">
        <f t="shared" ref="C54:O54" si="5">SUM(C36:C52)</f>
        <v>65322549</v>
      </c>
      <c r="D54" s="40">
        <f t="shared" si="5"/>
        <v>76970170</v>
      </c>
      <c r="E54" s="40">
        <f t="shared" si="5"/>
        <v>72711629</v>
      </c>
      <c r="F54" s="40">
        <f t="shared" si="5"/>
        <v>68267582</v>
      </c>
      <c r="G54" s="40">
        <f t="shared" si="5"/>
        <v>70025693</v>
      </c>
      <c r="H54" s="40">
        <f t="shared" si="5"/>
        <v>53705132</v>
      </c>
      <c r="I54" s="40">
        <f t="shared" si="5"/>
        <v>71077583</v>
      </c>
      <c r="J54" s="40">
        <f t="shared" si="5"/>
        <v>76683925</v>
      </c>
      <c r="K54" s="40">
        <f t="shared" si="5"/>
        <v>76734276</v>
      </c>
      <c r="L54" s="40">
        <f t="shared" si="5"/>
        <v>75997087</v>
      </c>
      <c r="M54" s="40">
        <f t="shared" si="5"/>
        <v>76275881</v>
      </c>
      <c r="N54" s="40">
        <f t="shared" si="5"/>
        <v>80289165</v>
      </c>
      <c r="O54" s="40">
        <f t="shared" si="5"/>
        <v>864060672</v>
      </c>
    </row>
    <row r="55" spans="1:18">
      <c r="B55" s="1" t="s">
        <v>117</v>
      </c>
    </row>
    <row r="56" spans="1:18">
      <c r="C56" s="1">
        <v>200707</v>
      </c>
      <c r="D56" s="1">
        <v>200708</v>
      </c>
      <c r="E56" s="1">
        <f>D56+1</f>
        <v>200709</v>
      </c>
      <c r="F56" s="1">
        <f>E56+1</f>
        <v>200710</v>
      </c>
      <c r="G56" s="1">
        <f>F56+1</f>
        <v>200711</v>
      </c>
      <c r="H56" s="1">
        <f>G56+1</f>
        <v>200712</v>
      </c>
      <c r="I56" s="1">
        <v>200801</v>
      </c>
      <c r="J56" s="1">
        <f>I56+1</f>
        <v>200802</v>
      </c>
      <c r="K56" s="1">
        <f>J56+1</f>
        <v>200803</v>
      </c>
      <c r="L56" s="1">
        <f>K56+1</f>
        <v>200804</v>
      </c>
      <c r="M56" s="1">
        <f>L56+1</f>
        <v>200805</v>
      </c>
      <c r="N56" s="1">
        <f>M56+1</f>
        <v>200806</v>
      </c>
      <c r="O56" s="1" t="s">
        <v>113</v>
      </c>
    </row>
    <row r="57" spans="1:18">
      <c r="A57" s="31">
        <v>40</v>
      </c>
      <c r="B57" s="1" t="s">
        <v>118</v>
      </c>
      <c r="C57" s="38">
        <v>124730</v>
      </c>
      <c r="D57" s="39">
        <v>162249</v>
      </c>
      <c r="E57" s="39">
        <v>1299080</v>
      </c>
      <c r="F57" s="39">
        <v>7016538</v>
      </c>
      <c r="G57" s="39">
        <v>14528558</v>
      </c>
      <c r="H57" s="39">
        <v>22434860</v>
      </c>
      <c r="I57" s="39">
        <v>27592080</v>
      </c>
      <c r="J57" s="39">
        <v>27861032</v>
      </c>
      <c r="K57" s="39">
        <v>22999788</v>
      </c>
      <c r="L57" s="39">
        <v>15185882</v>
      </c>
      <c r="M57" s="39">
        <v>4628381</v>
      </c>
      <c r="N57" s="39">
        <v>95256</v>
      </c>
      <c r="O57" s="40">
        <f t="shared" ref="O57:O68" si="6">SUM(C57:N57)</f>
        <v>143928434</v>
      </c>
      <c r="P57" s="44">
        <v>1.1299999999999999E-3</v>
      </c>
      <c r="R57" s="51">
        <f>P57*O57</f>
        <v>162639.13042</v>
      </c>
    </row>
    <row r="58" spans="1:18">
      <c r="A58" s="31" t="s">
        <v>145</v>
      </c>
      <c r="B58" s="1" t="s">
        <v>119</v>
      </c>
      <c r="C58" s="41">
        <v>102459</v>
      </c>
      <c r="D58" s="9">
        <v>42286</v>
      </c>
      <c r="E58" s="9">
        <v>64181</v>
      </c>
      <c r="F58" s="9">
        <v>1216993</v>
      </c>
      <c r="G58" s="9">
        <v>2153761</v>
      </c>
      <c r="H58" s="9">
        <v>2795376</v>
      </c>
      <c r="I58" s="9">
        <v>3573149</v>
      </c>
      <c r="J58" s="9">
        <v>4095509</v>
      </c>
      <c r="K58" s="9">
        <v>3017180</v>
      </c>
      <c r="L58" s="9">
        <v>2319141</v>
      </c>
      <c r="M58" s="9">
        <v>828689</v>
      </c>
      <c r="N58" s="9">
        <v>45789</v>
      </c>
      <c r="O58" s="40">
        <f t="shared" si="6"/>
        <v>20254513</v>
      </c>
      <c r="P58" s="44">
        <v>1.1299999999999999E-3</v>
      </c>
      <c r="R58" s="51">
        <f>P58*O58</f>
        <v>22887.599689999999</v>
      </c>
    </row>
    <row r="59" spans="1:18">
      <c r="B59" s="1" t="s">
        <v>99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40">
        <f t="shared" si="6"/>
        <v>0</v>
      </c>
    </row>
    <row r="60" spans="1:18">
      <c r="B60" s="1" t="s">
        <v>100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40">
        <f t="shared" si="6"/>
        <v>0</v>
      </c>
    </row>
    <row r="61" spans="1:18">
      <c r="A61" s="31" t="s">
        <v>29</v>
      </c>
      <c r="B61" s="1" t="s">
        <v>101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40">
        <f t="shared" si="6"/>
        <v>0</v>
      </c>
    </row>
    <row r="62" spans="1:18">
      <c r="A62" s="31" t="s">
        <v>29</v>
      </c>
      <c r="B62" s="1" t="s">
        <v>102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40">
        <f t="shared" si="6"/>
        <v>0</v>
      </c>
    </row>
    <row r="63" spans="1:18">
      <c r="A63" s="31" t="s">
        <v>29</v>
      </c>
      <c r="B63" s="1" t="s">
        <v>103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40">
        <f t="shared" si="6"/>
        <v>0</v>
      </c>
    </row>
    <row r="64" spans="1:18">
      <c r="B64" s="32" t="s">
        <v>212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40">
        <f t="shared" si="6"/>
        <v>0</v>
      </c>
    </row>
    <row r="65" spans="1:18">
      <c r="B65" s="32" t="s">
        <v>213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40">
        <f t="shared" si="6"/>
        <v>0</v>
      </c>
    </row>
    <row r="66" spans="1:18">
      <c r="A66" s="31" t="s">
        <v>29</v>
      </c>
      <c r="B66" s="1" t="s">
        <v>107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40">
        <f t="shared" si="6"/>
        <v>0</v>
      </c>
    </row>
    <row r="67" spans="1:18">
      <c r="A67" s="31" t="s">
        <v>29</v>
      </c>
      <c r="B67" s="1" t="s">
        <v>108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40">
        <f t="shared" si="6"/>
        <v>0</v>
      </c>
    </row>
    <row r="68" spans="1:18">
      <c r="A68" s="31" t="s">
        <v>29</v>
      </c>
      <c r="B68" s="1" t="s">
        <v>120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40">
        <f t="shared" si="6"/>
        <v>0</v>
      </c>
    </row>
    <row r="69" spans="1:18">
      <c r="C69" s="40">
        <f>SUM(C57:C68)</f>
        <v>227189</v>
      </c>
      <c r="D69" s="40">
        <v>197601</v>
      </c>
      <c r="E69" s="40">
        <v>775917</v>
      </c>
      <c r="F69" s="40">
        <v>9268537</v>
      </c>
      <c r="G69" s="40">
        <f>SUM(C69:F69)</f>
        <v>10469244</v>
      </c>
      <c r="H69" s="40">
        <v>13670831</v>
      </c>
      <c r="I69" s="40">
        <v>27350041</v>
      </c>
      <c r="J69" s="40">
        <v>33739633</v>
      </c>
      <c r="K69" s="40">
        <v>28176106</v>
      </c>
      <c r="L69" s="40">
        <v>17440142</v>
      </c>
      <c r="M69" s="40">
        <v>6008504</v>
      </c>
      <c r="N69" s="40">
        <v>295653</v>
      </c>
      <c r="O69" s="40">
        <f>SUM(O57:O68)</f>
        <v>164182947</v>
      </c>
    </row>
    <row r="70" spans="1:18">
      <c r="B70" s="1" t="s">
        <v>124</v>
      </c>
    </row>
    <row r="71" spans="1:18">
      <c r="C71" s="1">
        <v>200707</v>
      </c>
      <c r="D71" s="1">
        <v>200708</v>
      </c>
      <c r="E71" s="1">
        <f>D71+1</f>
        <v>200709</v>
      </c>
      <c r="F71" s="1">
        <f>E71+1</f>
        <v>200710</v>
      </c>
      <c r="G71" s="1">
        <f>F71+1</f>
        <v>200711</v>
      </c>
      <c r="H71" s="1">
        <f>G71+1</f>
        <v>200712</v>
      </c>
      <c r="I71" s="1">
        <v>200801</v>
      </c>
      <c r="J71" s="1">
        <f>I71+1</f>
        <v>200802</v>
      </c>
      <c r="K71" s="1">
        <f>J71+1</f>
        <v>200803</v>
      </c>
      <c r="L71" s="1">
        <f>K71+1</f>
        <v>200804</v>
      </c>
      <c r="M71" s="1">
        <f>L71+1</f>
        <v>200805</v>
      </c>
      <c r="N71" s="1">
        <f>M71+1</f>
        <v>200806</v>
      </c>
      <c r="O71" s="1" t="s">
        <v>113</v>
      </c>
    </row>
    <row r="72" spans="1:18">
      <c r="B72" s="1" t="s">
        <v>125</v>
      </c>
      <c r="C72" s="38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9">
        <f t="shared" ref="O72:O77" si="7">SUM(C72:N72)</f>
        <v>0</v>
      </c>
    </row>
    <row r="73" spans="1:18">
      <c r="A73" s="31">
        <v>52</v>
      </c>
      <c r="B73" s="1" t="s">
        <v>126</v>
      </c>
      <c r="C73" s="41">
        <v>39116</v>
      </c>
      <c r="D73" s="9">
        <v>39034</v>
      </c>
      <c r="E73" s="9">
        <v>37272</v>
      </c>
      <c r="F73" s="9">
        <v>37252</v>
      </c>
      <c r="G73" s="9">
        <v>37208</v>
      </c>
      <c r="H73" s="9">
        <v>37208</v>
      </c>
      <c r="I73" s="9">
        <v>37678</v>
      </c>
      <c r="J73" s="9">
        <v>37814</v>
      </c>
      <c r="K73" s="9">
        <v>37522</v>
      </c>
      <c r="L73" s="9">
        <v>37522</v>
      </c>
      <c r="M73" s="9">
        <v>37522</v>
      </c>
      <c r="N73" s="9">
        <v>37478</v>
      </c>
      <c r="O73" s="9">
        <f t="shared" si="7"/>
        <v>452626</v>
      </c>
      <c r="P73" s="44">
        <v>1.09E-3</v>
      </c>
      <c r="R73" s="51">
        <f>P73*O73</f>
        <v>493.36234000000002</v>
      </c>
    </row>
    <row r="74" spans="1:18">
      <c r="A74" s="31" t="s">
        <v>146</v>
      </c>
      <c r="B74" s="1" t="s">
        <v>127</v>
      </c>
      <c r="C74" s="41">
        <v>276471</v>
      </c>
      <c r="D74" s="9">
        <v>290547</v>
      </c>
      <c r="E74" s="9">
        <v>288752</v>
      </c>
      <c r="F74" s="9">
        <v>285340</v>
      </c>
      <c r="G74" s="9">
        <v>286822</v>
      </c>
      <c r="H74" s="9">
        <v>286785</v>
      </c>
      <c r="I74" s="9">
        <v>289392</v>
      </c>
      <c r="J74" s="9">
        <v>288158</v>
      </c>
      <c r="K74" s="9">
        <v>278871</v>
      </c>
      <c r="L74" s="9">
        <v>296043</v>
      </c>
      <c r="M74" s="9">
        <v>274250</v>
      </c>
      <c r="N74" s="9">
        <v>291719</v>
      </c>
      <c r="O74" s="9">
        <f t="shared" si="7"/>
        <v>3433150</v>
      </c>
      <c r="P74" s="44">
        <v>1.09E-3</v>
      </c>
      <c r="R74" s="51">
        <f>P74*O74</f>
        <v>3742.1334999999999</v>
      </c>
    </row>
    <row r="75" spans="1:18">
      <c r="A75" s="31" t="s">
        <v>147</v>
      </c>
      <c r="B75" s="1" t="s">
        <v>128</v>
      </c>
      <c r="C75" s="41">
        <v>107921</v>
      </c>
      <c r="D75" s="9">
        <v>113134</v>
      </c>
      <c r="E75" s="9">
        <v>93288</v>
      </c>
      <c r="F75" s="9">
        <v>78692</v>
      </c>
      <c r="G75" s="9">
        <v>73504</v>
      </c>
      <c r="H75" s="9">
        <v>67123</v>
      </c>
      <c r="I75" s="9">
        <v>59224</v>
      </c>
      <c r="J75" s="9">
        <v>66326</v>
      </c>
      <c r="K75" s="9">
        <v>68501</v>
      </c>
      <c r="L75" s="9">
        <v>91363</v>
      </c>
      <c r="M75" s="9">
        <v>83603</v>
      </c>
      <c r="N75" s="9">
        <v>115636</v>
      </c>
      <c r="O75" s="9">
        <f t="shared" si="7"/>
        <v>1018315</v>
      </c>
      <c r="P75" s="44">
        <v>1.09E-3</v>
      </c>
      <c r="R75" s="51">
        <f>P75*O75</f>
        <v>1109.96335</v>
      </c>
    </row>
    <row r="76" spans="1:18">
      <c r="A76" s="31">
        <v>51</v>
      </c>
      <c r="B76" s="1" t="s">
        <v>129</v>
      </c>
      <c r="C76" s="41">
        <v>261534</v>
      </c>
      <c r="D76" s="9">
        <v>236821</v>
      </c>
      <c r="E76" s="9">
        <v>217887</v>
      </c>
      <c r="F76" s="9">
        <v>244442</v>
      </c>
      <c r="G76" s="9">
        <v>270529</v>
      </c>
      <c r="H76" s="9">
        <v>244741</v>
      </c>
      <c r="I76" s="9">
        <v>245152</v>
      </c>
      <c r="J76" s="9">
        <v>248212</v>
      </c>
      <c r="K76" s="9">
        <v>221114</v>
      </c>
      <c r="L76" s="9">
        <v>247975</v>
      </c>
      <c r="M76" s="9">
        <v>246781</v>
      </c>
      <c r="N76" s="9">
        <v>248442</v>
      </c>
      <c r="O76" s="9">
        <f t="shared" si="7"/>
        <v>2933630</v>
      </c>
      <c r="P76" s="44">
        <v>1.09E-3</v>
      </c>
      <c r="R76" s="51">
        <f>P76*O76</f>
        <v>3197.6567</v>
      </c>
    </row>
    <row r="77" spans="1:18">
      <c r="A77" s="31">
        <v>57</v>
      </c>
      <c r="B77" s="1" t="s">
        <v>130</v>
      </c>
      <c r="C77" s="41">
        <v>177159</v>
      </c>
      <c r="D77" s="9">
        <v>174004</v>
      </c>
      <c r="E77" s="9">
        <v>171585</v>
      </c>
      <c r="F77" s="9">
        <v>171220</v>
      </c>
      <c r="G77" s="9">
        <v>172424</v>
      </c>
      <c r="H77" s="9">
        <v>170016</v>
      </c>
      <c r="I77" s="9">
        <v>173034</v>
      </c>
      <c r="J77" s="9">
        <v>170420</v>
      </c>
      <c r="K77" s="9">
        <v>168890</v>
      </c>
      <c r="L77" s="9">
        <v>170578</v>
      </c>
      <c r="M77" s="9">
        <v>169577</v>
      </c>
      <c r="N77" s="9">
        <v>170320</v>
      </c>
      <c r="O77" s="9">
        <f t="shared" si="7"/>
        <v>2059227</v>
      </c>
      <c r="P77" s="44">
        <v>1.09E-3</v>
      </c>
      <c r="R77" s="51">
        <f>P77*O77</f>
        <v>2244.5574300000003</v>
      </c>
    </row>
    <row r="78" spans="1:18">
      <c r="B78" s="1" t="s">
        <v>107</v>
      </c>
      <c r="C78" s="41"/>
      <c r="D78" s="9"/>
      <c r="E78" s="9"/>
      <c r="F78" s="9"/>
      <c r="G78" s="9"/>
      <c r="H78" s="9"/>
      <c r="I78" s="9"/>
      <c r="J78" s="9"/>
      <c r="K78" s="9"/>
      <c r="L78" s="9">
        <v>0</v>
      </c>
      <c r="M78" s="9"/>
      <c r="N78" s="9"/>
      <c r="O78" s="40"/>
      <c r="P78" s="44"/>
      <c r="R78" s="51"/>
    </row>
    <row r="79" spans="1:18">
      <c r="B79" s="1" t="s">
        <v>108</v>
      </c>
      <c r="C79" s="41"/>
      <c r="D79" s="9">
        <v>0</v>
      </c>
      <c r="E79" s="9"/>
      <c r="F79" s="9"/>
      <c r="G79" s="9"/>
      <c r="H79" s="9"/>
      <c r="I79" s="9"/>
      <c r="J79" s="9"/>
      <c r="K79" s="9"/>
      <c r="L79" s="9">
        <v>0</v>
      </c>
      <c r="M79" s="9"/>
      <c r="N79" s="9"/>
      <c r="O79" s="40"/>
      <c r="P79" s="44"/>
      <c r="R79" s="51"/>
    </row>
    <row r="80" spans="1:18">
      <c r="A80" s="31" t="s">
        <v>29</v>
      </c>
      <c r="B80" s="1" t="s">
        <v>111</v>
      </c>
      <c r="C80" s="41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8">
      <c r="A81" s="31" t="s">
        <v>29</v>
      </c>
      <c r="C81" s="40">
        <f t="shared" ref="C81:O81" si="8">SUM(C72:C80)</f>
        <v>862201</v>
      </c>
      <c r="D81" s="40">
        <f t="shared" si="8"/>
        <v>853540</v>
      </c>
      <c r="E81" s="40">
        <f t="shared" si="8"/>
        <v>808784</v>
      </c>
      <c r="F81" s="40">
        <f t="shared" si="8"/>
        <v>816946</v>
      </c>
      <c r="G81" s="40">
        <f t="shared" si="8"/>
        <v>840487</v>
      </c>
      <c r="H81" s="40">
        <f t="shared" si="8"/>
        <v>805873</v>
      </c>
      <c r="I81" s="40">
        <f t="shared" si="8"/>
        <v>804480</v>
      </c>
      <c r="J81" s="40">
        <f t="shared" si="8"/>
        <v>810930</v>
      </c>
      <c r="K81" s="40">
        <f t="shared" si="8"/>
        <v>774898</v>
      </c>
      <c r="L81" s="40">
        <f t="shared" si="8"/>
        <v>843481</v>
      </c>
      <c r="M81" s="40">
        <f t="shared" si="8"/>
        <v>811733</v>
      </c>
      <c r="N81" s="40">
        <f t="shared" si="8"/>
        <v>863595</v>
      </c>
      <c r="O81" s="40">
        <f t="shared" si="8"/>
        <v>9896948</v>
      </c>
    </row>
    <row r="82" spans="1:18">
      <c r="A82" s="31" t="s">
        <v>29</v>
      </c>
      <c r="B82" s="1" t="s">
        <v>131</v>
      </c>
    </row>
    <row r="83" spans="1:18">
      <c r="A83" s="31" t="s">
        <v>29</v>
      </c>
      <c r="C83" s="1">
        <v>200707</v>
      </c>
      <c r="D83" s="1">
        <v>200708</v>
      </c>
      <c r="E83" s="1">
        <f>D83+1</f>
        <v>200709</v>
      </c>
      <c r="F83" s="1">
        <f>E83+1</f>
        <v>200710</v>
      </c>
      <c r="G83" s="1">
        <f>F83+1</f>
        <v>200711</v>
      </c>
      <c r="H83" s="1">
        <f>G83+1</f>
        <v>200712</v>
      </c>
      <c r="I83" s="1">
        <v>200801</v>
      </c>
      <c r="J83" s="1">
        <f>I83+1</f>
        <v>200802</v>
      </c>
      <c r="K83" s="1">
        <f>J83+1</f>
        <v>200803</v>
      </c>
      <c r="L83" s="1">
        <f>K83+1</f>
        <v>200804</v>
      </c>
      <c r="M83" s="1">
        <f>L83+1</f>
        <v>200805</v>
      </c>
      <c r="N83" s="1">
        <f>M83+1</f>
        <v>200806</v>
      </c>
      <c r="O83" s="1" t="s">
        <v>113</v>
      </c>
    </row>
    <row r="84" spans="1:18">
      <c r="B84" s="52" t="s">
        <v>214</v>
      </c>
      <c r="C84" s="38"/>
      <c r="D84" s="39"/>
      <c r="E84" s="39"/>
      <c r="F84" s="39"/>
      <c r="G84" s="39"/>
      <c r="H84" s="39"/>
      <c r="I84" s="39"/>
      <c r="J84" s="39">
        <v>0</v>
      </c>
      <c r="K84" s="39"/>
      <c r="L84" s="39"/>
      <c r="M84" s="39">
        <v>0</v>
      </c>
      <c r="N84" s="39"/>
      <c r="O84" s="9">
        <f t="shared" ref="O84:O95" si="9">SUM(C84:N84)</f>
        <v>0</v>
      </c>
    </row>
    <row r="85" spans="1:18">
      <c r="A85" s="31" t="s">
        <v>29</v>
      </c>
      <c r="B85" s="1" t="s">
        <v>102</v>
      </c>
      <c r="C85" s="41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f t="shared" si="9"/>
        <v>0</v>
      </c>
    </row>
    <row r="86" spans="1:18">
      <c r="A86" s="31" t="s">
        <v>148</v>
      </c>
      <c r="B86" s="1" t="s">
        <v>200</v>
      </c>
      <c r="C86" s="41">
        <v>96033</v>
      </c>
      <c r="D86" s="9">
        <v>102581</v>
      </c>
      <c r="E86" s="9">
        <v>98161</v>
      </c>
      <c r="F86" s="9">
        <v>96801</v>
      </c>
      <c r="G86" s="9">
        <v>101713</v>
      </c>
      <c r="H86" s="9">
        <v>97522</v>
      </c>
      <c r="I86" s="9">
        <v>98076</v>
      </c>
      <c r="J86" s="9">
        <v>97431</v>
      </c>
      <c r="K86" s="9">
        <v>94196</v>
      </c>
      <c r="L86" s="9">
        <v>97685</v>
      </c>
      <c r="M86" s="9">
        <v>96036</v>
      </c>
      <c r="N86" s="9">
        <v>96187</v>
      </c>
      <c r="O86" s="9">
        <f t="shared" si="9"/>
        <v>1172422</v>
      </c>
      <c r="P86" s="44">
        <v>1.09E-3</v>
      </c>
      <c r="R86" s="51">
        <f>P86*O86</f>
        <v>1277.9399800000001</v>
      </c>
    </row>
    <row r="87" spans="1:18">
      <c r="A87" s="31">
        <v>16</v>
      </c>
      <c r="B87" s="1" t="s">
        <v>132</v>
      </c>
      <c r="C87" s="41">
        <v>208728854</v>
      </c>
      <c r="D87" s="9">
        <v>192294557</v>
      </c>
      <c r="E87" s="9">
        <v>139201527</v>
      </c>
      <c r="F87" s="9">
        <v>110523128</v>
      </c>
      <c r="G87" s="9">
        <v>97501475</v>
      </c>
      <c r="H87" s="9">
        <v>94591910</v>
      </c>
      <c r="I87" s="9">
        <v>114063547</v>
      </c>
      <c r="J87" s="9">
        <v>121993355</v>
      </c>
      <c r="K87" s="9">
        <v>102349329</v>
      </c>
      <c r="L87" s="9">
        <v>93719602</v>
      </c>
      <c r="M87" s="9">
        <v>122711460</v>
      </c>
      <c r="N87" s="9">
        <v>181663338</v>
      </c>
      <c r="O87" s="9">
        <f t="shared" si="9"/>
        <v>1579342082</v>
      </c>
      <c r="P87" s="44">
        <v>1.2199999999999999E-3</v>
      </c>
      <c r="R87" s="51">
        <f>P87*O87</f>
        <v>1926797.3400399999</v>
      </c>
    </row>
    <row r="88" spans="1:18">
      <c r="A88" s="31">
        <v>17</v>
      </c>
      <c r="B88" s="1" t="s">
        <v>133</v>
      </c>
      <c r="C88" s="41">
        <v>6943483</v>
      </c>
      <c r="D88" s="9">
        <v>6819158</v>
      </c>
      <c r="E88" s="9">
        <v>5017558</v>
      </c>
      <c r="F88" s="9">
        <v>3565575</v>
      </c>
      <c r="G88" s="9">
        <v>2801635</v>
      </c>
      <c r="H88" s="9">
        <v>2210918</v>
      </c>
      <c r="I88" s="9">
        <v>2418611</v>
      </c>
      <c r="J88" s="9">
        <v>2445134</v>
      </c>
      <c r="K88" s="9">
        <v>1554422</v>
      </c>
      <c r="L88" s="9">
        <v>1767989</v>
      </c>
      <c r="M88" s="9">
        <v>3674873</v>
      </c>
      <c r="N88" s="9">
        <v>6622568</v>
      </c>
      <c r="O88" s="9">
        <f t="shared" si="9"/>
        <v>45841924</v>
      </c>
      <c r="P88" s="44">
        <v>1.2199999999999999E-3</v>
      </c>
      <c r="R88" s="51">
        <f>P88*O88</f>
        <v>55927.147279999997</v>
      </c>
    </row>
    <row r="89" spans="1:18">
      <c r="A89" s="31">
        <v>18</v>
      </c>
      <c r="B89" s="1" t="s">
        <v>135</v>
      </c>
      <c r="C89" s="41">
        <v>277527</v>
      </c>
      <c r="D89" s="9">
        <v>282459</v>
      </c>
      <c r="E89" s="9">
        <v>220886</v>
      </c>
      <c r="F89" s="9">
        <v>205763</v>
      </c>
      <c r="G89" s="9">
        <v>191937</v>
      </c>
      <c r="H89" s="9">
        <v>205945</v>
      </c>
      <c r="I89" s="9">
        <v>247950</v>
      </c>
      <c r="J89" s="9">
        <v>250179</v>
      </c>
      <c r="K89" s="9">
        <v>213978</v>
      </c>
      <c r="L89" s="9">
        <v>188874</v>
      </c>
      <c r="M89" s="9">
        <v>201556</v>
      </c>
      <c r="N89" s="9">
        <v>257499</v>
      </c>
      <c r="O89" s="9">
        <f t="shared" si="9"/>
        <v>2744553</v>
      </c>
      <c r="P89" s="44">
        <v>1.2199999999999999E-3</v>
      </c>
      <c r="R89" s="51">
        <f>P89*O89</f>
        <v>3348.35466</v>
      </c>
    </row>
    <row r="90" spans="1:18">
      <c r="A90" s="31" t="s">
        <v>149</v>
      </c>
      <c r="B90" s="1" t="s">
        <v>136</v>
      </c>
      <c r="C90" s="41">
        <v>79539</v>
      </c>
      <c r="D90" s="9">
        <v>71861</v>
      </c>
      <c r="E90" s="9">
        <v>65956</v>
      </c>
      <c r="F90" s="9">
        <v>53835</v>
      </c>
      <c r="G90" s="9">
        <v>58265</v>
      </c>
      <c r="H90" s="9">
        <v>42371</v>
      </c>
      <c r="I90" s="9">
        <v>68542</v>
      </c>
      <c r="J90" s="9">
        <v>68348</v>
      </c>
      <c r="K90" s="9">
        <v>54179</v>
      </c>
      <c r="L90" s="9">
        <v>40639</v>
      </c>
      <c r="M90" s="9">
        <v>47570</v>
      </c>
      <c r="N90" s="9">
        <v>58886</v>
      </c>
      <c r="O90" s="9">
        <f t="shared" si="9"/>
        <v>709991</v>
      </c>
      <c r="P90" s="44">
        <v>1.2199999999999999E-3</v>
      </c>
      <c r="R90" s="51">
        <f>P90*O90</f>
        <v>866.18901999999991</v>
      </c>
    </row>
    <row r="91" spans="1:18">
      <c r="B91" s="1" t="s">
        <v>107</v>
      </c>
      <c r="C91" s="41">
        <v>0</v>
      </c>
      <c r="D91" s="9">
        <v>0</v>
      </c>
      <c r="E91" s="9">
        <v>0</v>
      </c>
      <c r="F91" s="9"/>
      <c r="G91" s="9"/>
      <c r="H91" s="9"/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f t="shared" si="9"/>
        <v>0</v>
      </c>
    </row>
    <row r="92" spans="1:18">
      <c r="B92" s="1" t="s">
        <v>108</v>
      </c>
      <c r="C92" s="41"/>
      <c r="D92" s="9"/>
      <c r="E92" s="9">
        <v>0</v>
      </c>
      <c r="F92" s="9">
        <v>0</v>
      </c>
      <c r="G92" s="9"/>
      <c r="H92" s="9"/>
      <c r="I92" s="9"/>
      <c r="J92" s="9"/>
      <c r="K92" s="9">
        <v>0</v>
      </c>
      <c r="L92" s="9">
        <v>0</v>
      </c>
      <c r="M92" s="9"/>
      <c r="N92" s="9"/>
      <c r="O92" s="9">
        <f t="shared" si="9"/>
        <v>0</v>
      </c>
    </row>
    <row r="93" spans="1:18">
      <c r="B93" s="1" t="s">
        <v>187</v>
      </c>
      <c r="C93" s="41">
        <v>0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f t="shared" si="9"/>
        <v>0</v>
      </c>
    </row>
    <row r="94" spans="1:18">
      <c r="B94" s="1" t="s">
        <v>191</v>
      </c>
      <c r="C94" s="41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/>
      <c r="J94" s="9"/>
      <c r="K94" s="9"/>
      <c r="L94" s="9"/>
      <c r="M94" s="9"/>
      <c r="N94" s="9"/>
      <c r="O94" s="9">
        <f t="shared" si="9"/>
        <v>0</v>
      </c>
    </row>
    <row r="95" spans="1:18">
      <c r="B95" s="1" t="s">
        <v>194</v>
      </c>
      <c r="C95" s="41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/>
      <c r="J95" s="9"/>
      <c r="K95" s="9"/>
      <c r="L95" s="9"/>
      <c r="M95" s="9"/>
      <c r="N95" s="9"/>
      <c r="O95" s="9">
        <f t="shared" si="9"/>
        <v>0</v>
      </c>
    </row>
    <row r="96" spans="1:18">
      <c r="B96" s="1" t="s">
        <v>111</v>
      </c>
    </row>
    <row r="97" spans="3:18">
      <c r="C97" s="40">
        <f t="shared" ref="C97:O97" si="10">SUM(C84:C95)</f>
        <v>216125436</v>
      </c>
      <c r="D97" s="40">
        <f t="shared" si="10"/>
        <v>199570616</v>
      </c>
      <c r="E97" s="40">
        <f t="shared" si="10"/>
        <v>144604088</v>
      </c>
      <c r="F97" s="40">
        <f t="shared" si="10"/>
        <v>114445102</v>
      </c>
      <c r="G97" s="40">
        <f t="shared" si="10"/>
        <v>100655025</v>
      </c>
      <c r="H97" s="40">
        <f t="shared" si="10"/>
        <v>97148666</v>
      </c>
      <c r="I97" s="40">
        <f t="shared" si="10"/>
        <v>116896726</v>
      </c>
      <c r="J97" s="40">
        <f t="shared" si="10"/>
        <v>124854447</v>
      </c>
      <c r="K97" s="40">
        <f t="shared" si="10"/>
        <v>104266104</v>
      </c>
      <c r="L97" s="40">
        <f t="shared" si="10"/>
        <v>95814789</v>
      </c>
      <c r="M97" s="40">
        <f t="shared" si="10"/>
        <v>126731495</v>
      </c>
      <c r="N97" s="40">
        <f t="shared" si="10"/>
        <v>188698478</v>
      </c>
      <c r="O97" s="40">
        <f t="shared" si="10"/>
        <v>1629810972</v>
      </c>
      <c r="R97" s="51">
        <f>SUM(R8:R96)</f>
        <v>4474033.4386200001</v>
      </c>
    </row>
    <row r="99" spans="3:18">
      <c r="O99" s="40">
        <f>O97+O81+O69+O54+O33</f>
        <v>4093241027</v>
      </c>
    </row>
  </sheetData>
  <phoneticPr fontId="22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54"/>
  <sheetViews>
    <sheetView zoomScale="85" zoomScaleNormal="85" workbookViewId="0">
      <selection activeCell="H9" sqref="H9"/>
    </sheetView>
  </sheetViews>
  <sheetFormatPr defaultColWidth="9" defaultRowHeight="15.6"/>
  <cols>
    <col min="1" max="1" width="9" style="68"/>
    <col min="2" max="2" width="40.3984375" style="2" customWidth="1"/>
    <col min="3" max="3" width="14.59765625" style="2" customWidth="1"/>
    <col min="4" max="4" width="10.5" style="2" bestFit="1" customWidth="1"/>
    <col min="5" max="5" width="2.19921875" style="2" customWidth="1"/>
    <col min="6" max="6" width="14.3984375" style="2" bestFit="1" customWidth="1"/>
    <col min="7" max="7" width="9" style="2"/>
    <col min="8" max="8" width="12.3984375" style="2" bestFit="1" customWidth="1"/>
    <col min="9" max="16384" width="9" style="2"/>
  </cols>
  <sheetData>
    <row r="2" spans="1:8">
      <c r="A2" s="49" t="e">
        <f>#REF!</f>
        <v>#REF!</v>
      </c>
      <c r="B2" s="49"/>
    </row>
    <row r="3" spans="1:8">
      <c r="A3" s="49" t="e">
        <f>#REF!</f>
        <v>#REF!</v>
      </c>
      <c r="B3" s="49"/>
    </row>
    <row r="4" spans="1:8">
      <c r="A4" s="49" t="e">
        <f>#REF!</f>
        <v>#REF!</v>
      </c>
      <c r="B4" s="49"/>
      <c r="F4" s="85"/>
    </row>
    <row r="5" spans="1:8">
      <c r="A5" s="220"/>
      <c r="B5" s="267"/>
      <c r="C5" s="4"/>
      <c r="D5" s="4"/>
    </row>
    <row r="6" spans="1:8">
      <c r="A6" s="220"/>
      <c r="B6" s="4" t="s">
        <v>94</v>
      </c>
      <c r="C6" s="4"/>
      <c r="D6" s="268"/>
      <c r="F6" s="197" t="s">
        <v>9</v>
      </c>
      <c r="H6" s="2" t="s">
        <v>283</v>
      </c>
    </row>
    <row r="7" spans="1:8">
      <c r="A7" s="220"/>
      <c r="B7" s="4"/>
      <c r="C7" s="4" t="s">
        <v>202</v>
      </c>
      <c r="D7" s="268" t="s">
        <v>262</v>
      </c>
      <c r="F7" s="197" t="s">
        <v>1</v>
      </c>
      <c r="H7" s="211" t="s">
        <v>216</v>
      </c>
    </row>
    <row r="8" spans="1:8">
      <c r="A8" s="220">
        <v>24</v>
      </c>
      <c r="B8" s="222" t="s">
        <v>48</v>
      </c>
      <c r="C8" s="17" t="e">
        <f>SUMIF(#REF!,'Hydro Deferral'!A8,#REF!)</f>
        <v>#REF!</v>
      </c>
      <c r="D8" s="269">
        <v>5.5000000000000003E-4</v>
      </c>
      <c r="F8" s="160" t="e">
        <f>C8*D8*$H$8/366</f>
        <v>#REF!</v>
      </c>
      <c r="H8" s="276">
        <v>351</v>
      </c>
    </row>
    <row r="9" spans="1:8">
      <c r="A9" s="220" t="s">
        <v>137</v>
      </c>
      <c r="B9" s="222" t="s">
        <v>49</v>
      </c>
      <c r="C9" s="17" t="e">
        <f>SUMIF(#REF!,'Hydro Deferral'!A9,#REF!)</f>
        <v>#REF!</v>
      </c>
      <c r="D9" s="269">
        <v>5.5000000000000003E-4</v>
      </c>
      <c r="F9" s="160" t="e">
        <f t="shared" ref="F9:F14" si="0">C9*D9*$H$8/366</f>
        <v>#REF!</v>
      </c>
      <c r="H9" s="221"/>
    </row>
    <row r="10" spans="1:8">
      <c r="A10" s="220" t="s">
        <v>144</v>
      </c>
      <c r="B10" s="222" t="s">
        <v>54</v>
      </c>
      <c r="C10" s="17" t="e">
        <f>SUMIF(#REF!,'Hydro Deferral'!A10,#REF!)</f>
        <v>#REF!</v>
      </c>
      <c r="D10" s="269">
        <v>5.5000000000000003E-4</v>
      </c>
      <c r="F10" s="160" t="e">
        <f t="shared" si="0"/>
        <v>#REF!</v>
      </c>
      <c r="H10" s="221"/>
    </row>
    <row r="11" spans="1:8">
      <c r="A11" s="220">
        <v>36</v>
      </c>
      <c r="B11" s="222" t="s">
        <v>50</v>
      </c>
      <c r="C11" s="17" t="e">
        <f>SUMIF(#REF!,'Hydro Deferral'!A11,#REF!)</f>
        <v>#REF!</v>
      </c>
      <c r="D11" s="269">
        <v>4.6000000000000001E-4</v>
      </c>
      <c r="F11" s="160" t="e">
        <f t="shared" si="0"/>
        <v>#REF!</v>
      </c>
      <c r="H11" s="221"/>
    </row>
    <row r="12" spans="1:8">
      <c r="A12" s="220" t="s">
        <v>143</v>
      </c>
      <c r="B12" s="222" t="s">
        <v>51</v>
      </c>
      <c r="C12" s="17" t="e">
        <f>SUMIF(#REF!,'Hydro Deferral'!A12,#REF!)</f>
        <v>#REF!</v>
      </c>
      <c r="D12" s="269">
        <v>3.8000000000000002E-4</v>
      </c>
      <c r="F12" s="160" t="e">
        <f t="shared" si="0"/>
        <v>#REF!</v>
      </c>
      <c r="H12" s="221"/>
    </row>
    <row r="13" spans="1:8">
      <c r="A13" s="220" t="s">
        <v>139</v>
      </c>
      <c r="B13" s="222" t="s">
        <v>52</v>
      </c>
      <c r="C13" s="17" t="e">
        <f>SUMIF(#REF!,'Hydro Deferral'!A13,#REF!)</f>
        <v>#REF!</v>
      </c>
      <c r="D13" s="269">
        <v>1.06E-3</v>
      </c>
      <c r="F13" s="160" t="e">
        <f t="shared" si="0"/>
        <v>#REF!</v>
      </c>
      <c r="H13" s="221"/>
    </row>
    <row r="14" spans="1:8">
      <c r="A14" s="220">
        <v>54</v>
      </c>
      <c r="B14" s="222" t="s">
        <v>53</v>
      </c>
      <c r="C14" s="17" t="e">
        <f>SUMIF(#REF!,'Hydro Deferral'!A14,#REF!)</f>
        <v>#REF!</v>
      </c>
      <c r="D14" s="269">
        <v>6.7000000000000002E-4</v>
      </c>
      <c r="F14" s="160" t="e">
        <f t="shared" si="0"/>
        <v>#REF!</v>
      </c>
      <c r="H14" s="221"/>
    </row>
    <row r="15" spans="1:8">
      <c r="A15" s="220" t="s">
        <v>29</v>
      </c>
      <c r="B15" s="4"/>
      <c r="C15" s="17" t="e">
        <f>SUM(C8:C14)</f>
        <v>#REF!</v>
      </c>
      <c r="D15" s="4"/>
    </row>
    <row r="16" spans="1:8">
      <c r="A16" s="220" t="s">
        <v>29</v>
      </c>
      <c r="B16" s="4" t="s">
        <v>114</v>
      </c>
      <c r="C16" s="4"/>
      <c r="D16" s="4"/>
    </row>
    <row r="17" spans="1:8">
      <c r="A17" s="220" t="s">
        <v>29</v>
      </c>
      <c r="B17" s="4"/>
      <c r="C17" s="4" t="s">
        <v>202</v>
      </c>
      <c r="D17" s="269"/>
      <c r="H17" s="221"/>
    </row>
    <row r="18" spans="1:8">
      <c r="A18" s="220">
        <v>24</v>
      </c>
      <c r="B18" s="222" t="s">
        <v>48</v>
      </c>
      <c r="C18" s="17" t="e">
        <f>SUMIF(#REF!,'Hydro Deferral'!A18,#REF!)</f>
        <v>#REF!</v>
      </c>
      <c r="D18" s="269">
        <v>5.5000000000000003E-4</v>
      </c>
      <c r="F18" s="160" t="e">
        <f t="shared" ref="F18:F25" si="1">C18*D18*$H$8/366</f>
        <v>#REF!</v>
      </c>
      <c r="H18" s="221"/>
    </row>
    <row r="19" spans="1:8">
      <c r="A19" s="220" t="s">
        <v>137</v>
      </c>
      <c r="B19" s="222" t="s">
        <v>49</v>
      </c>
      <c r="C19" s="17" t="e">
        <f>SUMIF(#REF!,'Hydro Deferral'!A19,#REF!)</f>
        <v>#REF!</v>
      </c>
      <c r="D19" s="269">
        <v>5.5000000000000003E-4</v>
      </c>
      <c r="F19" s="160" t="e">
        <f t="shared" si="1"/>
        <v>#REF!</v>
      </c>
      <c r="H19" s="221"/>
    </row>
    <row r="20" spans="1:8">
      <c r="A20" s="220" t="s">
        <v>144</v>
      </c>
      <c r="B20" s="222" t="s">
        <v>54</v>
      </c>
      <c r="C20" s="17" t="e">
        <f>SUMIF(#REF!,'Hydro Deferral'!A20,#REF!)</f>
        <v>#REF!</v>
      </c>
      <c r="D20" s="269">
        <v>5.5000000000000003E-4</v>
      </c>
      <c r="F20" s="160" t="e">
        <f t="shared" si="1"/>
        <v>#REF!</v>
      </c>
      <c r="H20" s="221"/>
    </row>
    <row r="21" spans="1:8">
      <c r="A21" s="220">
        <v>36</v>
      </c>
      <c r="B21" s="222" t="s">
        <v>50</v>
      </c>
      <c r="C21" s="17" t="e">
        <f>SUMIF(#REF!,'Hydro Deferral'!A21,#REF!)</f>
        <v>#REF!</v>
      </c>
      <c r="D21" s="269">
        <v>4.6000000000000001E-4</v>
      </c>
      <c r="F21" s="160" t="e">
        <f t="shared" si="1"/>
        <v>#REF!</v>
      </c>
      <c r="H21" s="221"/>
    </row>
    <row r="22" spans="1:8">
      <c r="A22" s="220">
        <v>47</v>
      </c>
      <c r="B22" s="222" t="s">
        <v>153</v>
      </c>
      <c r="C22" s="17" t="e">
        <f>SUMIF(#REF!,'Hydro Deferral'!A22,#REF!)</f>
        <v>#REF!</v>
      </c>
      <c r="D22" s="269">
        <v>3.8000000000000002E-4</v>
      </c>
      <c r="F22" s="160" t="e">
        <f t="shared" si="1"/>
        <v>#REF!</v>
      </c>
      <c r="H22" s="221"/>
    </row>
    <row r="23" spans="1:8">
      <c r="A23" s="220" t="s">
        <v>142</v>
      </c>
      <c r="B23" s="222" t="s">
        <v>57</v>
      </c>
      <c r="C23" s="17" t="e">
        <f>SUMIF(#REF!,'Hydro Deferral'!A23,#REF!)</f>
        <v>#REF!</v>
      </c>
      <c r="D23" s="269">
        <v>3.8000000000000002E-4</v>
      </c>
      <c r="F23" s="160" t="e">
        <f t="shared" si="1"/>
        <v>#REF!</v>
      </c>
      <c r="H23" s="221"/>
    </row>
    <row r="24" spans="1:8">
      <c r="A24" s="220" t="s">
        <v>143</v>
      </c>
      <c r="B24" s="222" t="s">
        <v>51</v>
      </c>
      <c r="C24" s="17" t="e">
        <f>SUMIF(#REF!,'Hydro Deferral'!A24,#REF!)</f>
        <v>#REF!</v>
      </c>
      <c r="D24" s="269">
        <v>3.8000000000000002E-4</v>
      </c>
      <c r="F24" s="160" t="e">
        <f t="shared" si="1"/>
        <v>#REF!</v>
      </c>
      <c r="H24" s="221"/>
    </row>
    <row r="25" spans="1:8">
      <c r="A25" s="220" t="s">
        <v>139</v>
      </c>
      <c r="B25" s="222" t="s">
        <v>52</v>
      </c>
      <c r="C25" s="17" t="e">
        <f>SUMIF(#REF!,'Hydro Deferral'!A25,#REF!)</f>
        <v>#REF!</v>
      </c>
      <c r="D25" s="269">
        <v>1.06E-3</v>
      </c>
      <c r="F25" s="160" t="e">
        <f t="shared" si="1"/>
        <v>#REF!</v>
      </c>
      <c r="H25" s="221"/>
    </row>
    <row r="26" spans="1:8">
      <c r="A26" s="220"/>
      <c r="B26" s="4"/>
      <c r="C26" s="17" t="e">
        <f>SUM(C18:C25)</f>
        <v>#REF!</v>
      </c>
      <c r="D26" s="4"/>
    </row>
    <row r="27" spans="1:8">
      <c r="A27" s="220"/>
      <c r="B27" s="4" t="s">
        <v>117</v>
      </c>
      <c r="C27" s="4"/>
      <c r="D27" s="4"/>
    </row>
    <row r="28" spans="1:8">
      <c r="A28" s="220"/>
      <c r="B28" s="4"/>
      <c r="C28" s="4" t="s">
        <v>202</v>
      </c>
      <c r="D28" s="4"/>
    </row>
    <row r="29" spans="1:8">
      <c r="A29" s="220">
        <v>40</v>
      </c>
      <c r="B29" s="222" t="s">
        <v>55</v>
      </c>
      <c r="C29" s="17" t="e">
        <f>SUMIF(#REF!,'Hydro Deferral'!A29,#REF!)</f>
        <v>#REF!</v>
      </c>
      <c r="D29" s="269">
        <v>5.1000000000000004E-4</v>
      </c>
      <c r="F29" s="160" t="e">
        <f>C29*D29*$H$8/366</f>
        <v>#REF!</v>
      </c>
      <c r="H29" s="221"/>
    </row>
    <row r="30" spans="1:8">
      <c r="A30" s="220" t="s">
        <v>145</v>
      </c>
      <c r="B30" s="222" t="s">
        <v>56</v>
      </c>
      <c r="C30" s="17" t="e">
        <f>SUMIF(#REF!,'Hydro Deferral'!A30,#REF!)</f>
        <v>#REF!</v>
      </c>
      <c r="D30" s="269">
        <v>5.1000000000000004E-4</v>
      </c>
      <c r="F30" s="160" t="e">
        <f>C30*D30*$H$8/366</f>
        <v>#REF!</v>
      </c>
      <c r="H30" s="221"/>
    </row>
    <row r="31" spans="1:8">
      <c r="A31" s="220"/>
      <c r="B31" s="4"/>
      <c r="C31" s="17" t="e">
        <f>SUM(C29:C30)</f>
        <v>#REF!</v>
      </c>
      <c r="D31" s="4"/>
    </row>
    <row r="32" spans="1:8">
      <c r="A32" s="220"/>
      <c r="B32" s="4" t="s">
        <v>124</v>
      </c>
      <c r="C32" s="4"/>
      <c r="D32" s="4"/>
    </row>
    <row r="33" spans="1:8">
      <c r="A33" s="220"/>
      <c r="B33" s="4"/>
      <c r="C33" s="4" t="s">
        <v>202</v>
      </c>
      <c r="D33" s="4"/>
    </row>
    <row r="34" spans="1:8">
      <c r="A34" s="220">
        <v>52</v>
      </c>
      <c r="B34" s="222" t="s">
        <v>58</v>
      </c>
      <c r="C34" s="17" t="e">
        <f>SUMIF(#REF!,'Hydro Deferral'!A34,#REF!)</f>
        <v>#REF!</v>
      </c>
      <c r="D34" s="269">
        <v>1.1000000000000001E-3</v>
      </c>
      <c r="F34" s="160" t="e">
        <f>C34*D34*$H$8/366</f>
        <v>#REF!</v>
      </c>
      <c r="H34" s="221"/>
    </row>
    <row r="35" spans="1:8">
      <c r="A35" s="220" t="s">
        <v>232</v>
      </c>
      <c r="B35" s="222" t="s">
        <v>59</v>
      </c>
      <c r="C35" s="17" t="e">
        <f>SUMIF(#REF!,'Hydro Deferral'!A35,#REF!)</f>
        <v>#REF!</v>
      </c>
      <c r="D35" s="269">
        <v>5.1999999999999995E-4</v>
      </c>
      <c r="F35" s="160" t="e">
        <f>C35*D35*$H$8/366</f>
        <v>#REF!</v>
      </c>
      <c r="H35" s="221"/>
    </row>
    <row r="36" spans="1:8">
      <c r="A36" s="220" t="s">
        <v>147</v>
      </c>
      <c r="B36" s="222" t="s">
        <v>60</v>
      </c>
      <c r="C36" s="17" t="e">
        <f>SUMIF(#REF!,'Hydro Deferral'!A36,#REF!)</f>
        <v>#REF!</v>
      </c>
      <c r="D36" s="269">
        <v>5.1999999999999995E-4</v>
      </c>
      <c r="F36" s="160" t="e">
        <f>C36*D36*$H$8/366</f>
        <v>#REF!</v>
      </c>
      <c r="H36" s="221"/>
    </row>
    <row r="37" spans="1:8">
      <c r="A37" s="220">
        <v>51</v>
      </c>
      <c r="B37" s="222" t="s">
        <v>61</v>
      </c>
      <c r="C37" s="17" t="e">
        <f>SUMIF(#REF!,'Hydro Deferral'!A37,#REF!)</f>
        <v>#REF!</v>
      </c>
      <c r="D37" s="269">
        <v>1.5100000000000001E-3</v>
      </c>
      <c r="F37" s="160" t="e">
        <f>C37*D37*$H$8/366</f>
        <v>#REF!</v>
      </c>
      <c r="H37" s="221"/>
    </row>
    <row r="38" spans="1:8">
      <c r="A38" s="220">
        <v>57</v>
      </c>
      <c r="B38" s="222" t="s">
        <v>62</v>
      </c>
      <c r="C38" s="17" t="e">
        <f>SUMIF(#REF!,'Hydro Deferral'!A38,#REF!)</f>
        <v>#REF!</v>
      </c>
      <c r="D38" s="269">
        <v>9.1E-4</v>
      </c>
      <c r="F38" s="160" t="e">
        <f>C38*D38*$H$8/366</f>
        <v>#REF!</v>
      </c>
      <c r="H38" s="221"/>
    </row>
    <row r="39" spans="1:8">
      <c r="A39" s="220"/>
      <c r="B39" s="222" t="s">
        <v>238</v>
      </c>
      <c r="C39" s="17" t="e">
        <f>SUMIF(#REF!,'Hydro Deferral'!A39,#REF!)</f>
        <v>#REF!</v>
      </c>
      <c r="D39" s="269"/>
      <c r="F39" s="160"/>
      <c r="H39" s="221"/>
    </row>
    <row r="40" spans="1:8">
      <c r="A40" s="220" t="s">
        <v>29</v>
      </c>
      <c r="B40" s="4"/>
      <c r="C40" s="17" t="e">
        <f>SUM(C34:C38)</f>
        <v>#REF!</v>
      </c>
      <c r="D40" s="4"/>
    </row>
    <row r="41" spans="1:8">
      <c r="A41" s="220" t="s">
        <v>29</v>
      </c>
      <c r="B41" s="4" t="s">
        <v>131</v>
      </c>
      <c r="C41" s="4"/>
      <c r="D41" s="4"/>
    </row>
    <row r="42" spans="1:8">
      <c r="A42" s="220" t="s">
        <v>29</v>
      </c>
      <c r="B42" s="4"/>
      <c r="C42" s="4" t="s">
        <v>202</v>
      </c>
      <c r="D42" s="4"/>
    </row>
    <row r="43" spans="1:8">
      <c r="A43" s="220" t="s">
        <v>148</v>
      </c>
      <c r="B43" s="4" t="s">
        <v>47</v>
      </c>
      <c r="C43" s="17" t="e">
        <f>SUMIF(#REF!,'Hydro Deferral'!A43,#REF!)</f>
        <v>#REF!</v>
      </c>
      <c r="D43" s="269">
        <v>1.06E-3</v>
      </c>
      <c r="F43" s="160" t="e">
        <f t="shared" ref="F43:F49" si="2">C43*D43*$H$8/366</f>
        <v>#REF!</v>
      </c>
      <c r="H43" s="221"/>
    </row>
    <row r="44" spans="1:8">
      <c r="A44" s="220">
        <v>16</v>
      </c>
      <c r="B44" s="4" t="s">
        <v>45</v>
      </c>
      <c r="C44" s="17" t="e">
        <f>SUMIF(#REF!,'Hydro Deferral'!A44,#REF!)</f>
        <v>#REF!</v>
      </c>
      <c r="D44" s="269">
        <v>5.5000000000000003E-4</v>
      </c>
      <c r="F44" s="160" t="e">
        <f t="shared" si="2"/>
        <v>#REF!</v>
      </c>
      <c r="H44" s="221"/>
    </row>
    <row r="45" spans="1:8">
      <c r="A45" s="220">
        <v>17</v>
      </c>
      <c r="B45" s="4" t="s">
        <v>86</v>
      </c>
      <c r="C45" s="17" t="e">
        <f>SUMIF(#REF!,'Hydro Deferral'!A45,#REF!)</f>
        <v>#REF!</v>
      </c>
      <c r="D45" s="269">
        <v>5.5000000000000003E-4</v>
      </c>
      <c r="F45" s="160" t="e">
        <f t="shared" si="2"/>
        <v>#REF!</v>
      </c>
      <c r="H45" s="221"/>
    </row>
    <row r="46" spans="1:8">
      <c r="A46" s="220">
        <v>18</v>
      </c>
      <c r="B46" s="4" t="s">
        <v>46</v>
      </c>
      <c r="C46" s="17" t="e">
        <f>SUMIF(#REF!,'Hydro Deferral'!A46,#REF!)</f>
        <v>#REF!</v>
      </c>
      <c r="D46" s="269">
        <v>5.5000000000000003E-4</v>
      </c>
      <c r="F46" s="160" t="e">
        <f t="shared" si="2"/>
        <v>#REF!</v>
      </c>
      <c r="H46" s="221"/>
    </row>
    <row r="47" spans="1:8">
      <c r="A47" s="220" t="s">
        <v>149</v>
      </c>
      <c r="B47" s="4" t="s">
        <v>150</v>
      </c>
      <c r="C47" s="17" t="e">
        <f>SUMIF(#REF!,'Hydro Deferral'!A47,#REF!)</f>
        <v>#REF!</v>
      </c>
      <c r="D47" s="269">
        <v>5.5000000000000003E-4</v>
      </c>
      <c r="F47" s="160" t="e">
        <f t="shared" si="2"/>
        <v>#REF!</v>
      </c>
      <c r="H47" s="221"/>
    </row>
    <row r="48" spans="1:8">
      <c r="A48" s="220">
        <v>135</v>
      </c>
      <c r="B48" s="4" t="s">
        <v>218</v>
      </c>
      <c r="C48" s="17" t="e">
        <f>SUMIF(#REF!,'Hydro Deferral'!A48,#REF!)</f>
        <v>#REF!</v>
      </c>
      <c r="D48" s="269">
        <v>5.5000000000000003E-4</v>
      </c>
      <c r="F48" s="160" t="e">
        <f t="shared" si="2"/>
        <v>#REF!</v>
      </c>
      <c r="H48" s="221"/>
    </row>
    <row r="49" spans="1:8">
      <c r="A49" s="68">
        <v>24</v>
      </c>
      <c r="B49" s="4" t="s">
        <v>282</v>
      </c>
      <c r="C49" s="17" t="e">
        <f>SUMIF(#REF!,#REF!,#REF!)</f>
        <v>#REF!</v>
      </c>
      <c r="D49" s="269">
        <v>5.5000000000000003E-4</v>
      </c>
      <c r="F49" s="160" t="e">
        <f t="shared" si="2"/>
        <v>#REF!</v>
      </c>
      <c r="H49" s="221"/>
    </row>
    <row r="50" spans="1:8">
      <c r="A50" s="220"/>
      <c r="B50" s="4"/>
      <c r="C50" s="17" t="e">
        <f>SUM(C43:C49)</f>
        <v>#REF!</v>
      </c>
      <c r="D50" s="4"/>
    </row>
    <row r="51" spans="1:8">
      <c r="A51" s="220"/>
      <c r="B51" s="4"/>
      <c r="C51" s="4"/>
      <c r="D51" s="4"/>
    </row>
    <row r="52" spans="1:8">
      <c r="A52" s="220"/>
      <c r="B52" s="4"/>
      <c r="C52" s="17" t="e">
        <f>C50+C40+C31+C26+C15</f>
        <v>#REF!</v>
      </c>
      <c r="D52" s="4"/>
      <c r="F52" s="223" t="e">
        <f>SUM(F8:F49)</f>
        <v>#REF!</v>
      </c>
    </row>
    <row r="53" spans="1:8">
      <c r="A53" s="220"/>
      <c r="B53" s="4"/>
      <c r="C53" s="4"/>
      <c r="D53" s="4"/>
    </row>
    <row r="54" spans="1:8">
      <c r="B54" s="2" t="s">
        <v>219</v>
      </c>
      <c r="C54" s="85" t="e">
        <f>'Table 2'!F140-'Table 2'!F34-'Table 2'!F63-'Table 2'!F94-'Table 2'!F115-'Table 2'!F135-'Table 2'!F111-C52</f>
        <v>#REF!</v>
      </c>
      <c r="F54" s="160" t="e">
        <f>'Table 3'!#REF!+F52</f>
        <v>#REF!</v>
      </c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9">
    <pageSetUpPr fitToPage="1"/>
  </sheetPr>
  <dimension ref="A3:AI122"/>
  <sheetViews>
    <sheetView topLeftCell="A41" zoomScale="70" zoomScaleNormal="70" workbookViewId="0">
      <selection activeCell="H55" sqref="H55"/>
    </sheetView>
  </sheetViews>
  <sheetFormatPr defaultColWidth="9.59765625" defaultRowHeight="15.6"/>
  <cols>
    <col min="1" max="1" width="17.19921875" style="2" bestFit="1" customWidth="1"/>
    <col min="2" max="9" width="16.3984375" style="2" customWidth="1"/>
    <col min="10" max="10" width="13.19921875" style="2" bestFit="1" customWidth="1"/>
    <col min="11" max="11" width="18" style="2" bestFit="1" customWidth="1"/>
    <col min="12" max="12" width="14.5" style="2" bestFit="1" customWidth="1"/>
    <col min="13" max="13" width="9.59765625" style="2" customWidth="1"/>
    <col min="14" max="14" width="13.09765625" style="2" bestFit="1" customWidth="1"/>
    <col min="15" max="15" width="14.59765625" style="2" bestFit="1" customWidth="1"/>
    <col min="16" max="16" width="12" style="2" bestFit="1" customWidth="1"/>
    <col min="17" max="17" width="14.8984375" style="2" bestFit="1" customWidth="1"/>
    <col min="18" max="18" width="12.3984375" style="2" bestFit="1" customWidth="1"/>
    <col min="19" max="19" width="12" style="2" bestFit="1" customWidth="1"/>
    <col min="20" max="20" width="14.8984375" style="2" bestFit="1" customWidth="1"/>
    <col min="21" max="21" width="12.8984375" style="2" bestFit="1" customWidth="1"/>
    <col min="22" max="22" width="19.59765625" style="2" bestFit="1" customWidth="1"/>
    <col min="23" max="23" width="12.8984375" style="2" bestFit="1" customWidth="1"/>
    <col min="24" max="24" width="19.59765625" style="2" bestFit="1" customWidth="1"/>
    <col min="25" max="25" width="13.19921875" style="2" bestFit="1" customWidth="1"/>
    <col min="26" max="16384" width="9.59765625" style="2"/>
  </cols>
  <sheetData>
    <row r="3" spans="1:27" ht="17.399999999999999">
      <c r="A3" s="230" t="s">
        <v>43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57"/>
      <c r="V3" s="157"/>
      <c r="W3" s="157"/>
      <c r="X3" s="157"/>
      <c r="Y3" s="157"/>
      <c r="Z3" s="157"/>
      <c r="AA3" s="157"/>
    </row>
    <row r="4" spans="1:27" ht="17.399999999999999">
      <c r="A4" s="230" t="str">
        <f>'Table 1-Revenues'!A6</f>
        <v>12 Months Ended June 2018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57"/>
      <c r="V4" s="157"/>
      <c r="W4" s="157"/>
      <c r="X4" s="157"/>
      <c r="Y4" s="157"/>
      <c r="Z4" s="157"/>
      <c r="AA4" s="157"/>
    </row>
    <row r="7" spans="1:27">
      <c r="A7" s="131" t="s">
        <v>63</v>
      </c>
      <c r="B7" s="77" t="s">
        <v>11</v>
      </c>
      <c r="C7" s="231" t="s">
        <v>172</v>
      </c>
      <c r="D7" s="77" t="s">
        <v>172</v>
      </c>
      <c r="E7" s="231"/>
      <c r="F7" s="77"/>
      <c r="G7" s="231" t="s">
        <v>1</v>
      </c>
      <c r="H7" s="69"/>
      <c r="I7" s="69"/>
      <c r="J7" s="79"/>
      <c r="K7" s="232"/>
      <c r="L7" s="232"/>
      <c r="M7" s="232"/>
      <c r="N7" s="232"/>
      <c r="O7" s="79"/>
      <c r="P7" s="69"/>
      <c r="Q7" s="69"/>
      <c r="R7" s="69"/>
      <c r="S7" s="69"/>
    </row>
    <row r="8" spans="1:27">
      <c r="A8" s="2" t="s">
        <v>15</v>
      </c>
      <c r="B8" s="77" t="s">
        <v>14</v>
      </c>
      <c r="C8" s="231" t="s">
        <v>173</v>
      </c>
      <c r="D8" s="77" t="s">
        <v>174</v>
      </c>
      <c r="E8" s="231" t="s">
        <v>173</v>
      </c>
      <c r="F8" s="77" t="s">
        <v>174</v>
      </c>
      <c r="G8" s="231" t="s">
        <v>24</v>
      </c>
      <c r="H8" s="79"/>
      <c r="K8" s="338" t="s">
        <v>175</v>
      </c>
      <c r="L8" s="338"/>
      <c r="M8" s="233"/>
      <c r="N8" s="233"/>
      <c r="O8" s="233"/>
      <c r="P8" s="71"/>
      <c r="Q8" s="79"/>
      <c r="R8" s="79"/>
      <c r="S8" s="79"/>
      <c r="T8" s="79"/>
      <c r="U8" s="79"/>
    </row>
    <row r="9" spans="1:27">
      <c r="A9" s="77" t="s">
        <v>22</v>
      </c>
      <c r="B9" s="234" t="s">
        <v>21</v>
      </c>
      <c r="C9" s="235" t="s">
        <v>21</v>
      </c>
      <c r="D9" s="234" t="s">
        <v>21</v>
      </c>
      <c r="E9" s="235" t="s">
        <v>36</v>
      </c>
      <c r="F9" s="234" t="s">
        <v>36</v>
      </c>
      <c r="G9" s="236" t="s">
        <v>168</v>
      </c>
      <c r="H9" s="79"/>
      <c r="K9" s="339" t="s">
        <v>418</v>
      </c>
      <c r="L9" s="339"/>
      <c r="M9" s="79"/>
      <c r="N9" s="79"/>
      <c r="O9" s="79"/>
      <c r="P9" s="79"/>
      <c r="Q9" s="79"/>
    </row>
    <row r="10" spans="1:27">
      <c r="A10" s="237">
        <v>42917</v>
      </c>
      <c r="B10" s="226">
        <f>TempAdjustmnts!C5</f>
        <v>-12958.215037520986</v>
      </c>
      <c r="C10" s="225">
        <f>$B10*$L$10/$L$12</f>
        <v>-5429.9372331886707</v>
      </c>
      <c r="D10" s="226">
        <f t="shared" ref="D10:D21" si="0">$B10*$L$11/$L$12</f>
        <v>-7528.2778043323151</v>
      </c>
      <c r="E10" s="340">
        <v>6.5479999999999997E-2</v>
      </c>
      <c r="F10" s="341">
        <v>0.10349999999999999</v>
      </c>
      <c r="G10" s="238">
        <f>ROUND((C10*E10+D10*F10)*1000,2)/1000</f>
        <v>-1134.7290399999999</v>
      </c>
      <c r="H10" s="79"/>
      <c r="I10" s="239"/>
      <c r="K10" s="342" t="s">
        <v>176</v>
      </c>
      <c r="L10" s="343">
        <v>668204899</v>
      </c>
      <c r="M10" s="79"/>
      <c r="N10" s="79"/>
      <c r="O10" s="169"/>
      <c r="P10" s="79"/>
      <c r="Q10" s="79"/>
    </row>
    <row r="11" spans="1:27">
      <c r="A11" s="237">
        <v>42948</v>
      </c>
      <c r="B11" s="226">
        <f>TempAdjustmnts!C6</f>
        <v>-13789.047466288563</v>
      </c>
      <c r="C11" s="225">
        <f t="shared" ref="C11:C21" si="1">$B11*$L$10/$L$12</f>
        <v>-5778.0845610762544</v>
      </c>
      <c r="D11" s="226">
        <f t="shared" si="0"/>
        <v>-8010.9629052123073</v>
      </c>
      <c r="E11" s="344">
        <v>6.5479999999999997E-2</v>
      </c>
      <c r="F11" s="345">
        <v>0.10349999999999999</v>
      </c>
      <c r="G11" s="238">
        <f t="shared" ref="G11:G21" si="2">ROUND((C11*E11+D11*F11)*1000,2)/1000</f>
        <v>-1207.4836399999999</v>
      </c>
      <c r="H11" s="79"/>
      <c r="I11" s="239"/>
      <c r="K11" s="346" t="s">
        <v>177</v>
      </c>
      <c r="L11" s="347">
        <v>926425462</v>
      </c>
      <c r="M11" s="79"/>
      <c r="N11" s="79"/>
      <c r="O11" s="169"/>
      <c r="P11" s="79"/>
      <c r="Q11" s="79"/>
    </row>
    <row r="12" spans="1:27">
      <c r="A12" s="237">
        <v>42979</v>
      </c>
      <c r="B12" s="226">
        <f>TempAdjustmnts!C7</f>
        <v>-5000.8253636520431</v>
      </c>
      <c r="C12" s="225">
        <f>$B12*$L$10/$L$12</f>
        <v>-2095.5176125834164</v>
      </c>
      <c r="D12" s="226">
        <f t="shared" si="0"/>
        <v>-2905.3077510686267</v>
      </c>
      <c r="E12" s="344">
        <f>ROUND((E11+E13)/2,5)</f>
        <v>6.633E-2</v>
      </c>
      <c r="F12" s="345">
        <f>ROUND((F11+F13)/2,5)</f>
        <v>0.10482</v>
      </c>
      <c r="G12" s="238">
        <f t="shared" si="2"/>
        <v>-443.53003999999999</v>
      </c>
      <c r="H12" s="79"/>
      <c r="I12" s="239"/>
      <c r="K12" s="349" t="s">
        <v>8</v>
      </c>
      <c r="L12" s="350">
        <v>1594630361</v>
      </c>
      <c r="M12" s="79"/>
      <c r="N12" s="79"/>
      <c r="O12" s="169"/>
      <c r="P12" s="79"/>
      <c r="Q12" s="79"/>
    </row>
    <row r="13" spans="1:27">
      <c r="A13" s="237">
        <v>43009</v>
      </c>
      <c r="B13" s="226">
        <f>TempAdjustmnts!C8</f>
        <v>2642.7124922984776</v>
      </c>
      <c r="C13" s="225">
        <f t="shared" si="1"/>
        <v>1107.3873150734162</v>
      </c>
      <c r="D13" s="226">
        <f t="shared" si="0"/>
        <v>1535.3251772250615</v>
      </c>
      <c r="E13" s="344">
        <v>6.7169999999999994E-2</v>
      </c>
      <c r="F13" s="345">
        <v>0.10613</v>
      </c>
      <c r="G13" s="238">
        <f t="shared" si="2"/>
        <v>237.32727</v>
      </c>
      <c r="H13" s="79"/>
      <c r="I13" s="242"/>
      <c r="J13" s="226"/>
      <c r="K13" s="233"/>
      <c r="L13" s="226"/>
      <c r="M13" s="79"/>
      <c r="N13" s="79"/>
      <c r="O13" s="169"/>
      <c r="P13" s="79"/>
      <c r="Q13" s="79"/>
    </row>
    <row r="14" spans="1:27">
      <c r="A14" s="237">
        <v>43040</v>
      </c>
      <c r="B14" s="226">
        <f>TempAdjustmnts!C9</f>
        <v>14391.674556805474</v>
      </c>
      <c r="C14" s="225">
        <f t="shared" si="1"/>
        <v>6030.6060130703054</v>
      </c>
      <c r="D14" s="226">
        <f t="shared" si="0"/>
        <v>8361.0685437351694</v>
      </c>
      <c r="E14" s="344">
        <v>6.7169999999999994E-2</v>
      </c>
      <c r="F14" s="345">
        <v>0.10613</v>
      </c>
      <c r="G14" s="238">
        <f t="shared" si="2"/>
        <v>1292.4360099999999</v>
      </c>
      <c r="H14" s="79"/>
      <c r="I14" s="237"/>
      <c r="J14" s="226"/>
      <c r="K14" s="233"/>
      <c r="L14" s="226"/>
      <c r="M14" s="79"/>
      <c r="N14" s="79"/>
      <c r="O14" s="169"/>
      <c r="P14" s="79"/>
      <c r="Q14" s="79"/>
    </row>
    <row r="15" spans="1:27">
      <c r="A15" s="237">
        <v>43070</v>
      </c>
      <c r="B15" s="226">
        <f>TempAdjustmnts!C10</f>
        <v>7699.9140247196547</v>
      </c>
      <c r="C15" s="225">
        <f t="shared" si="1"/>
        <v>3226.5284789698549</v>
      </c>
      <c r="D15" s="226">
        <f t="shared" si="0"/>
        <v>4473.3855457498003</v>
      </c>
      <c r="E15" s="344">
        <v>6.7169999999999994E-2</v>
      </c>
      <c r="F15" s="345">
        <v>0.10613</v>
      </c>
      <c r="G15" s="243">
        <f>ROUND((C15*E15+D15*F15)*1000,2)/1000</f>
        <v>691.48632999999995</v>
      </c>
      <c r="H15" s="79"/>
      <c r="I15" s="237"/>
      <c r="J15" s="226"/>
      <c r="K15" s="233"/>
      <c r="L15" s="226"/>
      <c r="M15" s="79"/>
      <c r="N15" s="79"/>
      <c r="O15" s="169"/>
      <c r="P15" s="79"/>
      <c r="Q15" s="79"/>
    </row>
    <row r="16" spans="1:27">
      <c r="A16" s="237">
        <v>43101</v>
      </c>
      <c r="B16" s="226">
        <f>TempAdjustmnts!C11</f>
        <v>29766.260262000327</v>
      </c>
      <c r="C16" s="225">
        <f t="shared" si="1"/>
        <v>12473.085561662425</v>
      </c>
      <c r="D16" s="226">
        <f t="shared" si="0"/>
        <v>17293.174700337902</v>
      </c>
      <c r="E16" s="344">
        <v>6.7169999999999994E-2</v>
      </c>
      <c r="F16" s="345">
        <v>0.10613</v>
      </c>
      <c r="G16" s="238">
        <f>ROUND((C16*E16+D16*F16)*1000,2)/1000</f>
        <v>2673.1417900000001</v>
      </c>
      <c r="H16" s="237"/>
      <c r="I16" s="237"/>
      <c r="J16" s="226"/>
      <c r="K16" s="233"/>
      <c r="L16" s="233"/>
      <c r="M16" s="79"/>
      <c r="N16" s="79"/>
      <c r="O16" s="169"/>
      <c r="P16" s="79"/>
      <c r="Q16" s="79"/>
    </row>
    <row r="17" spans="1:22">
      <c r="A17" s="237">
        <v>43132</v>
      </c>
      <c r="B17" s="226">
        <f>TempAdjustmnts!C12</f>
        <v>4151.099009021309</v>
      </c>
      <c r="C17" s="225">
        <f t="shared" si="1"/>
        <v>1739.4530807268907</v>
      </c>
      <c r="D17" s="226">
        <f t="shared" si="0"/>
        <v>2411.6459282944184</v>
      </c>
      <c r="E17" s="344">
        <v>6.7169999999999994E-2</v>
      </c>
      <c r="F17" s="345">
        <v>0.10613</v>
      </c>
      <c r="G17" s="238">
        <f t="shared" si="2"/>
        <v>372.78704999999997</v>
      </c>
      <c r="H17" s="79"/>
      <c r="I17" s="237"/>
      <c r="J17" s="226"/>
      <c r="K17" s="233"/>
      <c r="L17" s="233"/>
      <c r="M17" s="79"/>
      <c r="N17" s="79"/>
      <c r="O17" s="169"/>
      <c r="P17" s="79"/>
      <c r="Q17" s="79"/>
    </row>
    <row r="18" spans="1:22">
      <c r="A18" s="237">
        <v>43160</v>
      </c>
      <c r="B18" s="226">
        <f>TempAdjustmnts!C13</f>
        <v>3770.2251085040039</v>
      </c>
      <c r="C18" s="225">
        <f t="shared" si="1"/>
        <v>1579.8538328690345</v>
      </c>
      <c r="D18" s="226">
        <f t="shared" si="0"/>
        <v>2190.3712756349696</v>
      </c>
      <c r="E18" s="344">
        <v>6.7169999999999994E-2</v>
      </c>
      <c r="F18" s="345">
        <v>0.10613</v>
      </c>
      <c r="G18" s="238">
        <f t="shared" si="2"/>
        <v>338.58289000000002</v>
      </c>
      <c r="H18" s="79"/>
      <c r="I18" s="237"/>
      <c r="J18" s="226"/>
      <c r="K18" s="233"/>
      <c r="L18" s="233"/>
      <c r="M18" s="79"/>
      <c r="N18" s="79"/>
      <c r="O18" s="169"/>
      <c r="P18" s="79"/>
      <c r="Q18" s="79"/>
    </row>
    <row r="19" spans="1:22">
      <c r="A19" s="237">
        <v>43191</v>
      </c>
      <c r="B19" s="226">
        <f>TempAdjustmnts!C14</f>
        <v>7027.7218008777254</v>
      </c>
      <c r="C19" s="225">
        <f t="shared" si="1"/>
        <v>2944.8568464548371</v>
      </c>
      <c r="D19" s="226">
        <f t="shared" si="0"/>
        <v>4082.8649544228883</v>
      </c>
      <c r="E19" s="344">
        <v>6.7169999999999994E-2</v>
      </c>
      <c r="F19" s="345">
        <v>0.10613</v>
      </c>
      <c r="G19" s="238">
        <f t="shared" si="2"/>
        <v>631.12049000000002</v>
      </c>
      <c r="H19" s="237"/>
      <c r="I19" s="237"/>
      <c r="J19" s="226"/>
      <c r="K19" s="233"/>
      <c r="L19" s="233"/>
      <c r="M19" s="79"/>
      <c r="N19" s="79"/>
      <c r="O19" s="169"/>
      <c r="P19" s="79"/>
      <c r="Q19" s="79"/>
    </row>
    <row r="20" spans="1:22">
      <c r="A20" s="237">
        <v>43221</v>
      </c>
      <c r="B20" s="226">
        <f>TempAdjustmnts!C15</f>
        <v>-1670.5346577333471</v>
      </c>
      <c r="C20" s="225">
        <f t="shared" si="1"/>
        <v>-700.01140674801854</v>
      </c>
      <c r="D20" s="226">
        <f t="shared" si="0"/>
        <v>-970.52325098532845</v>
      </c>
      <c r="E20" s="344">
        <v>6.7169999999999994E-2</v>
      </c>
      <c r="F20" s="345">
        <v>0.10613</v>
      </c>
      <c r="G20" s="238">
        <f t="shared" si="2"/>
        <v>-150.0214</v>
      </c>
      <c r="H20" s="237"/>
      <c r="I20" s="239"/>
      <c r="J20" s="226"/>
      <c r="K20" s="233"/>
      <c r="L20" s="233"/>
      <c r="M20" s="79"/>
      <c r="N20" s="79"/>
      <c r="O20" s="169"/>
      <c r="P20" s="79"/>
      <c r="Q20" s="79"/>
    </row>
    <row r="21" spans="1:22">
      <c r="A21" s="237">
        <v>43252</v>
      </c>
      <c r="B21" s="279">
        <f>TempAdjustmnts!C16</f>
        <v>2304.163170822394</v>
      </c>
      <c r="C21" s="227">
        <f t="shared" si="1"/>
        <v>965.52351974119813</v>
      </c>
      <c r="D21" s="228">
        <f t="shared" si="0"/>
        <v>1338.6396510811958</v>
      </c>
      <c r="E21" s="344">
        <v>6.7169999999999994E-2</v>
      </c>
      <c r="F21" s="345">
        <v>0.10613</v>
      </c>
      <c r="G21" s="244">
        <f t="shared" si="2"/>
        <v>206.92404000000002</v>
      </c>
      <c r="H21" s="79"/>
      <c r="I21" s="239"/>
      <c r="J21" s="226"/>
      <c r="K21" s="233"/>
      <c r="L21" s="233"/>
      <c r="M21" s="79"/>
      <c r="N21" s="79"/>
      <c r="O21" s="79"/>
      <c r="P21" s="79"/>
      <c r="Q21" s="79"/>
    </row>
    <row r="22" spans="1:22">
      <c r="A22" s="79" t="s">
        <v>8</v>
      </c>
      <c r="B22" s="169">
        <f>SUM(B10:B21)</f>
        <v>38335.147899854426</v>
      </c>
      <c r="C22" s="225">
        <f>SUM(C10:C21)</f>
        <v>16063.743834971601</v>
      </c>
      <c r="D22" s="169">
        <f>SUM(D10:D21)</f>
        <v>22271.404064882834</v>
      </c>
      <c r="E22" s="245" t="s">
        <v>29</v>
      </c>
      <c r="F22" s="2" t="s">
        <v>29</v>
      </c>
      <c r="G22" s="246">
        <f>SUM(G10:G21)</f>
        <v>3508.0417499999999</v>
      </c>
      <c r="H22" s="243"/>
      <c r="I22" s="233"/>
      <c r="J22" s="226"/>
      <c r="K22" s="233"/>
      <c r="L22" s="247"/>
      <c r="M22" s="79"/>
      <c r="N22" s="79"/>
      <c r="O22" s="169"/>
      <c r="P22" s="79"/>
      <c r="Q22" s="154"/>
    </row>
    <row r="23" spans="1:22">
      <c r="A23" s="79"/>
      <c r="B23" s="169"/>
      <c r="C23" s="169"/>
      <c r="D23" s="169"/>
      <c r="E23" s="169"/>
      <c r="F23" s="169"/>
      <c r="G23" s="169"/>
      <c r="H23" s="169"/>
      <c r="I23" s="169"/>
      <c r="J23" s="169"/>
      <c r="L23" s="248"/>
      <c r="M23" s="79"/>
      <c r="N23" s="233"/>
      <c r="O23" s="226"/>
      <c r="P23" s="233"/>
      <c r="Q23" s="247"/>
      <c r="R23" s="79"/>
      <c r="S23" s="79"/>
      <c r="T23" s="169"/>
      <c r="U23" s="79"/>
      <c r="V23" s="154"/>
    </row>
    <row r="25" spans="1:22">
      <c r="A25" s="131" t="s">
        <v>250</v>
      </c>
      <c r="B25" s="77" t="s">
        <v>11</v>
      </c>
      <c r="C25" s="231" t="s">
        <v>172</v>
      </c>
      <c r="D25" s="77" t="s">
        <v>172</v>
      </c>
      <c r="E25" s="231"/>
      <c r="F25" s="77"/>
      <c r="G25" s="231" t="s">
        <v>1</v>
      </c>
      <c r="H25" s="69"/>
      <c r="I25" s="69"/>
      <c r="J25" s="79"/>
      <c r="K25" s="232"/>
      <c r="L25" s="232"/>
      <c r="M25" s="232"/>
      <c r="N25" s="232"/>
      <c r="O25" s="79"/>
      <c r="P25" s="69"/>
      <c r="Q25" s="69"/>
      <c r="R25" s="69"/>
      <c r="S25" s="69"/>
    </row>
    <row r="26" spans="1:22">
      <c r="A26" s="2" t="s">
        <v>15</v>
      </c>
      <c r="B26" s="77" t="s">
        <v>14</v>
      </c>
      <c r="C26" s="231" t="s">
        <v>173</v>
      </c>
      <c r="D26" s="77" t="s">
        <v>174</v>
      </c>
      <c r="E26" s="231" t="s">
        <v>173</v>
      </c>
      <c r="F26" s="77" t="s">
        <v>174</v>
      </c>
      <c r="G26" s="231" t="s">
        <v>24</v>
      </c>
      <c r="H26" s="79"/>
      <c r="K26" s="338" t="s">
        <v>175</v>
      </c>
      <c r="L26" s="338"/>
      <c r="M26" s="233"/>
      <c r="N26" s="233"/>
      <c r="O26" s="233"/>
      <c r="P26" s="71"/>
      <c r="Q26" s="79"/>
      <c r="R26" s="79"/>
      <c r="S26" s="79"/>
      <c r="T26" s="79"/>
      <c r="U26" s="79"/>
    </row>
    <row r="27" spans="1:22">
      <c r="A27" s="77" t="s">
        <v>22</v>
      </c>
      <c r="B27" s="234" t="s">
        <v>21</v>
      </c>
      <c r="C27" s="235" t="s">
        <v>21</v>
      </c>
      <c r="D27" s="234" t="s">
        <v>21</v>
      </c>
      <c r="E27" s="235" t="s">
        <v>36</v>
      </c>
      <c r="F27" s="234" t="s">
        <v>36</v>
      </c>
      <c r="G27" s="236" t="s">
        <v>168</v>
      </c>
      <c r="H27" s="79"/>
      <c r="K27" s="339" t="s">
        <v>418</v>
      </c>
      <c r="L27" s="339"/>
      <c r="M27" s="79"/>
      <c r="N27" s="79"/>
      <c r="O27" s="79"/>
      <c r="P27" s="79"/>
      <c r="Q27" s="79"/>
    </row>
    <row r="28" spans="1:22">
      <c r="A28" s="237">
        <v>42917</v>
      </c>
      <c r="B28" s="226">
        <f>TempAdjustmnts!D5</f>
        <v>-563.97974703055161</v>
      </c>
      <c r="C28" s="225">
        <f>$B28*$L$28/$L$30</f>
        <v>-243.63995468044277</v>
      </c>
      <c r="D28" s="226">
        <f>$B28*$L$29/$L$30</f>
        <v>-320.33979235010884</v>
      </c>
      <c r="E28" s="351">
        <f t="shared" ref="E28:E39" si="3">E10</f>
        <v>6.5479999999999997E-2</v>
      </c>
      <c r="F28" s="351">
        <f t="shared" ref="F28:F39" si="4">F10</f>
        <v>0.10349999999999999</v>
      </c>
      <c r="G28" s="238">
        <f t="shared" ref="G28:G34" si="5">ROUND((C28*E28+D28*F28)*1000,2)/1000</f>
        <v>-49.108710000000002</v>
      </c>
      <c r="H28" s="79"/>
      <c r="I28" s="239"/>
      <c r="K28" s="342" t="s">
        <v>176</v>
      </c>
      <c r="L28" s="343">
        <v>34421478</v>
      </c>
      <c r="M28" s="79"/>
      <c r="N28" s="79"/>
      <c r="O28" s="169"/>
      <c r="P28" s="79"/>
      <c r="Q28" s="79"/>
    </row>
    <row r="29" spans="1:22">
      <c r="A29" s="237">
        <v>42948</v>
      </c>
      <c r="B29" s="226">
        <f>TempAdjustmnts!D6</f>
        <v>-612.60277917528902</v>
      </c>
      <c r="C29" s="225">
        <f t="shared" ref="C29:C39" si="6">$B29*$L$28/$L$30</f>
        <v>-264.64516525855919</v>
      </c>
      <c r="D29" s="226">
        <f t="shared" ref="D29:D39" si="7">$B29*$L$29/$L$30</f>
        <v>-347.95761391672988</v>
      </c>
      <c r="E29" s="351">
        <f t="shared" si="3"/>
        <v>6.5479999999999997E-2</v>
      </c>
      <c r="F29" s="351">
        <f t="shared" si="4"/>
        <v>0.10349999999999999</v>
      </c>
      <c r="G29" s="238">
        <f t="shared" si="5"/>
        <v>-53.342580000000005</v>
      </c>
      <c r="H29" s="79"/>
      <c r="I29" s="239"/>
      <c r="K29" s="346" t="s">
        <v>177</v>
      </c>
      <c r="L29" s="347">
        <v>45257639</v>
      </c>
      <c r="M29" s="79"/>
      <c r="N29" s="79"/>
      <c r="O29" s="169"/>
      <c r="P29" s="79"/>
      <c r="Q29" s="79"/>
    </row>
    <row r="30" spans="1:22">
      <c r="A30" s="237">
        <v>42979</v>
      </c>
      <c r="B30" s="226">
        <f>TempAdjustmnts!D7</f>
        <v>-221.58121855401396</v>
      </c>
      <c r="C30" s="225">
        <f t="shared" si="6"/>
        <v>-95.723362994474243</v>
      </c>
      <c r="D30" s="226">
        <f t="shared" si="7"/>
        <v>-125.85785555953971</v>
      </c>
      <c r="E30" s="351">
        <f t="shared" si="3"/>
        <v>6.633E-2</v>
      </c>
      <c r="F30" s="351">
        <f t="shared" si="4"/>
        <v>0.10482</v>
      </c>
      <c r="G30" s="238">
        <f t="shared" si="5"/>
        <v>-19.54175</v>
      </c>
      <c r="H30" s="79"/>
      <c r="I30" s="239"/>
      <c r="K30" s="349" t="s">
        <v>8</v>
      </c>
      <c r="L30" s="350">
        <v>79679117</v>
      </c>
      <c r="M30" s="79"/>
      <c r="N30" s="79"/>
      <c r="O30" s="169"/>
      <c r="P30" s="79"/>
      <c r="Q30" s="79"/>
    </row>
    <row r="31" spans="1:22">
      <c r="A31" s="237">
        <v>43009</v>
      </c>
      <c r="B31" s="226">
        <f>TempAdjustmnts!D8</f>
        <v>131.98510548544709</v>
      </c>
      <c r="C31" s="225">
        <f t="shared" si="6"/>
        <v>57.017730314393368</v>
      </c>
      <c r="D31" s="226">
        <f t="shared" si="7"/>
        <v>74.967375171053718</v>
      </c>
      <c r="E31" s="351">
        <f t="shared" si="3"/>
        <v>6.7169999999999994E-2</v>
      </c>
      <c r="F31" s="351">
        <f t="shared" si="4"/>
        <v>0.10613</v>
      </c>
      <c r="G31" s="238">
        <f t="shared" si="5"/>
        <v>11.78617</v>
      </c>
      <c r="H31" s="79"/>
      <c r="I31" s="242"/>
      <c r="J31" s="226"/>
      <c r="K31" s="233"/>
      <c r="L31" s="226"/>
      <c r="M31" s="79"/>
      <c r="N31" s="79"/>
      <c r="O31" s="169"/>
      <c r="P31" s="79"/>
      <c r="Q31" s="79"/>
    </row>
    <row r="32" spans="1:22">
      <c r="A32" s="237">
        <v>43040</v>
      </c>
      <c r="B32" s="226">
        <f>TempAdjustmnts!D9</f>
        <v>761.86957171554479</v>
      </c>
      <c r="C32" s="225">
        <f t="shared" si="6"/>
        <v>329.12860595174578</v>
      </c>
      <c r="D32" s="226">
        <f t="shared" si="7"/>
        <v>432.74096576379901</v>
      </c>
      <c r="E32" s="351">
        <f t="shared" si="3"/>
        <v>6.7169999999999994E-2</v>
      </c>
      <c r="F32" s="351">
        <f t="shared" si="4"/>
        <v>0.10613</v>
      </c>
      <c r="G32" s="238">
        <f t="shared" si="5"/>
        <v>68.034369999999996</v>
      </c>
      <c r="H32" s="79"/>
      <c r="I32" s="239"/>
      <c r="J32" s="226"/>
      <c r="K32" s="233"/>
      <c r="L32" s="226"/>
      <c r="M32" s="79"/>
      <c r="N32" s="79"/>
      <c r="O32" s="169"/>
      <c r="P32" s="79"/>
      <c r="Q32" s="79"/>
    </row>
    <row r="33" spans="1:21">
      <c r="A33" s="237">
        <v>43070</v>
      </c>
      <c r="B33" s="226">
        <f>TempAdjustmnts!D10</f>
        <v>408.34788356935195</v>
      </c>
      <c r="C33" s="225">
        <f t="shared" si="6"/>
        <v>176.40679540448482</v>
      </c>
      <c r="D33" s="226">
        <f t="shared" si="7"/>
        <v>231.94108816486712</v>
      </c>
      <c r="E33" s="351">
        <f t="shared" si="3"/>
        <v>6.7169999999999994E-2</v>
      </c>
      <c r="F33" s="351">
        <f t="shared" si="4"/>
        <v>0.10613</v>
      </c>
      <c r="G33" s="250">
        <f t="shared" si="5"/>
        <v>36.465150000000001</v>
      </c>
      <c r="H33" s="79"/>
      <c r="I33" s="239"/>
      <c r="J33" s="226"/>
      <c r="K33" s="233"/>
      <c r="L33" s="226"/>
      <c r="M33" s="79"/>
      <c r="N33" s="79"/>
      <c r="O33" s="169"/>
      <c r="P33" s="79"/>
      <c r="Q33" s="79"/>
    </row>
    <row r="34" spans="1:21">
      <c r="A34" s="237">
        <v>43101</v>
      </c>
      <c r="B34" s="226">
        <f>TempAdjustmnts!D11</f>
        <v>1607.7539259285697</v>
      </c>
      <c r="C34" s="225">
        <f t="shared" si="6"/>
        <v>694.55170281020924</v>
      </c>
      <c r="D34" s="226">
        <f t="shared" si="7"/>
        <v>913.20222311836051</v>
      </c>
      <c r="E34" s="351">
        <f t="shared" si="3"/>
        <v>6.7169999999999994E-2</v>
      </c>
      <c r="F34" s="351">
        <f t="shared" si="4"/>
        <v>0.10613</v>
      </c>
      <c r="G34" s="238">
        <f t="shared" si="5"/>
        <v>143.57119</v>
      </c>
      <c r="H34" s="237"/>
      <c r="I34" s="239"/>
      <c r="J34" s="226"/>
      <c r="K34" s="233"/>
      <c r="L34" s="233"/>
      <c r="M34" s="79"/>
      <c r="N34" s="79"/>
      <c r="O34" s="169"/>
      <c r="P34" s="79"/>
      <c r="Q34" s="79"/>
    </row>
    <row r="35" spans="1:21">
      <c r="A35" s="237">
        <v>43132</v>
      </c>
      <c r="B35" s="226">
        <f>TempAdjustmnts!D12</f>
        <v>236.58155047347611</v>
      </c>
      <c r="C35" s="225">
        <f t="shared" si="6"/>
        <v>102.20352510719525</v>
      </c>
      <c r="D35" s="226">
        <f t="shared" si="7"/>
        <v>134.37802536628087</v>
      </c>
      <c r="E35" s="351">
        <f t="shared" si="3"/>
        <v>6.7169999999999994E-2</v>
      </c>
      <c r="F35" s="351">
        <f t="shared" si="4"/>
        <v>0.10613</v>
      </c>
      <c r="G35" s="238">
        <f>ROUND((C35*E35+D35*F35)*1000,2)/1000</f>
        <v>21.126549999999998</v>
      </c>
      <c r="H35" s="79"/>
      <c r="I35" s="239"/>
      <c r="J35" s="226"/>
      <c r="K35" s="233"/>
      <c r="L35" s="233"/>
      <c r="M35" s="79"/>
      <c r="N35" s="79"/>
      <c r="O35" s="169"/>
      <c r="P35" s="79"/>
      <c r="Q35" s="79"/>
    </row>
    <row r="36" spans="1:21">
      <c r="A36" s="237">
        <v>43160</v>
      </c>
      <c r="B36" s="226">
        <f>TempAdjustmnts!D13</f>
        <v>221.04569478619928</v>
      </c>
      <c r="C36" s="225">
        <f t="shared" si="6"/>
        <v>95.492016058334002</v>
      </c>
      <c r="D36" s="226">
        <f t="shared" si="7"/>
        <v>125.55367872786529</v>
      </c>
      <c r="E36" s="351">
        <f t="shared" si="3"/>
        <v>6.7169999999999994E-2</v>
      </c>
      <c r="F36" s="351">
        <f t="shared" si="4"/>
        <v>0.10613</v>
      </c>
      <c r="G36" s="238">
        <f>ROUND((C36*E36+D36*F36)*1000,2)/1000</f>
        <v>19.73921</v>
      </c>
      <c r="H36" s="79"/>
      <c r="I36" s="239"/>
      <c r="J36" s="226"/>
      <c r="K36" s="233"/>
      <c r="L36" s="233"/>
      <c r="M36" s="79"/>
      <c r="N36" s="79"/>
      <c r="O36" s="169"/>
      <c r="P36" s="79"/>
      <c r="Q36" s="79"/>
    </row>
    <row r="37" spans="1:21">
      <c r="A37" s="237">
        <v>43191</v>
      </c>
      <c r="B37" s="226">
        <f>TempAdjustmnts!D14</f>
        <v>369.27978465764744</v>
      </c>
      <c r="C37" s="225">
        <f t="shared" si="6"/>
        <v>159.52932790956945</v>
      </c>
      <c r="D37" s="226">
        <f t="shared" si="7"/>
        <v>209.75045674807799</v>
      </c>
      <c r="E37" s="351">
        <f t="shared" si="3"/>
        <v>6.7169999999999994E-2</v>
      </c>
      <c r="F37" s="351">
        <f t="shared" si="4"/>
        <v>0.10613</v>
      </c>
      <c r="G37" s="238">
        <f>ROUND((C37*E37+D37*F37)*1000,2)/1000</f>
        <v>32.976399999999998</v>
      </c>
      <c r="H37" s="237"/>
      <c r="I37" s="239"/>
      <c r="J37" s="226"/>
      <c r="K37" s="233"/>
      <c r="L37" s="233"/>
      <c r="M37" s="79"/>
      <c r="N37" s="79"/>
      <c r="O37" s="169"/>
      <c r="P37" s="79"/>
      <c r="Q37" s="79"/>
    </row>
    <row r="38" spans="1:21">
      <c r="A38" s="237">
        <v>43221</v>
      </c>
      <c r="B38" s="226">
        <f>TempAdjustmnts!D15</f>
        <v>-80.45234401288198</v>
      </c>
      <c r="C38" s="225">
        <f t="shared" si="6"/>
        <v>-34.755513034712081</v>
      </c>
      <c r="D38" s="226">
        <f t="shared" si="7"/>
        <v>-45.696830978169899</v>
      </c>
      <c r="E38" s="351">
        <f t="shared" si="3"/>
        <v>6.7169999999999994E-2</v>
      </c>
      <c r="F38" s="351">
        <f t="shared" si="4"/>
        <v>0.10613</v>
      </c>
      <c r="G38" s="238">
        <f>ROUND((C38*E38+D38*F38)*1000,2)/1000</f>
        <v>-7.1843300000000001</v>
      </c>
      <c r="H38" s="237"/>
      <c r="I38" s="239"/>
      <c r="J38" s="226"/>
      <c r="K38" s="233"/>
      <c r="L38" s="233"/>
      <c r="M38" s="79"/>
      <c r="N38" s="79"/>
      <c r="O38" s="169"/>
      <c r="P38" s="79"/>
      <c r="Q38" s="79"/>
    </row>
    <row r="39" spans="1:21">
      <c r="A39" s="237">
        <v>43252</v>
      </c>
      <c r="B39" s="279">
        <f>TempAdjustmnts!D16</f>
        <v>94.248929306825531</v>
      </c>
      <c r="C39" s="227">
        <f t="shared" si="6"/>
        <v>40.715655102684558</v>
      </c>
      <c r="D39" s="168">
        <f t="shared" si="7"/>
        <v>53.533274204140966</v>
      </c>
      <c r="E39" s="352">
        <f t="shared" si="3"/>
        <v>6.7169999999999994E-2</v>
      </c>
      <c r="F39" s="353">
        <f t="shared" si="4"/>
        <v>0.10613</v>
      </c>
      <c r="G39" s="244">
        <f>ROUND((C39*E39+D39*F39)*1000,2)/1000</f>
        <v>8.416360000000001</v>
      </c>
      <c r="H39" s="79"/>
      <c r="I39" s="239"/>
      <c r="J39" s="226"/>
      <c r="K39" s="233"/>
      <c r="L39" s="233"/>
      <c r="M39" s="79"/>
      <c r="N39" s="79"/>
      <c r="O39" s="79"/>
      <c r="P39" s="79"/>
      <c r="Q39" s="79"/>
    </row>
    <row r="40" spans="1:21">
      <c r="A40" s="79" t="s">
        <v>8</v>
      </c>
      <c r="B40" s="169">
        <f>SUM(B28:B39)</f>
        <v>2352.4963571503254</v>
      </c>
      <c r="C40" s="225">
        <f>SUM(C28:C39)</f>
        <v>1016.2813626904282</v>
      </c>
      <c r="D40" s="169">
        <f>SUM(D28:D39)</f>
        <v>1336.2149944598973</v>
      </c>
      <c r="E40" s="245" t="s">
        <v>29</v>
      </c>
      <c r="F40" s="2" t="s">
        <v>29</v>
      </c>
      <c r="G40" s="246">
        <f>SUM(G28:G39)</f>
        <v>212.93803000000003</v>
      </c>
      <c r="H40" s="243"/>
      <c r="I40" s="233"/>
      <c r="J40" s="226"/>
      <c r="K40" s="233"/>
      <c r="L40" s="247"/>
      <c r="M40" s="79"/>
      <c r="N40" s="79"/>
      <c r="O40" s="169"/>
      <c r="P40" s="79"/>
      <c r="Q40" s="154"/>
    </row>
    <row r="41" spans="1:21">
      <c r="A41" s="79"/>
      <c r="B41" s="169"/>
      <c r="C41" s="225"/>
      <c r="D41" s="169"/>
      <c r="E41" s="245"/>
      <c r="G41" s="246"/>
      <c r="H41" s="243"/>
      <c r="I41" s="233"/>
      <c r="J41" s="226"/>
      <c r="K41" s="233"/>
      <c r="L41" s="247"/>
      <c r="M41" s="79"/>
      <c r="N41" s="79"/>
      <c r="O41" s="169"/>
      <c r="P41" s="79"/>
      <c r="Q41" s="154"/>
    </row>
    <row r="42" spans="1:21">
      <c r="A42" s="79"/>
      <c r="B42" s="169"/>
      <c r="C42" s="225"/>
      <c r="D42" s="169"/>
      <c r="E42" s="245"/>
      <c r="G42" s="246"/>
      <c r="H42" s="243"/>
      <c r="I42" s="233"/>
      <c r="J42" s="226"/>
      <c r="K42" s="233"/>
      <c r="L42" s="247"/>
      <c r="M42" s="79"/>
      <c r="N42" s="79"/>
      <c r="O42" s="169"/>
      <c r="P42" s="79"/>
      <c r="Q42" s="154"/>
    </row>
    <row r="43" spans="1:21">
      <c r="A43" s="131" t="s">
        <v>210</v>
      </c>
      <c r="B43" s="77" t="s">
        <v>11</v>
      </c>
      <c r="C43" s="231" t="s">
        <v>172</v>
      </c>
      <c r="D43" s="77" t="s">
        <v>172</v>
      </c>
      <c r="E43" s="231"/>
      <c r="F43" s="77"/>
      <c r="G43" s="231" t="s">
        <v>1</v>
      </c>
      <c r="H43" s="69"/>
      <c r="I43" s="69"/>
      <c r="J43" s="79"/>
      <c r="K43" s="232"/>
      <c r="L43" s="232"/>
      <c r="M43" s="232"/>
      <c r="N43" s="232"/>
      <c r="O43" s="79"/>
      <c r="P43" s="69"/>
      <c r="Q43" s="69"/>
      <c r="R43" s="69"/>
      <c r="S43" s="69"/>
    </row>
    <row r="44" spans="1:21">
      <c r="A44" s="2" t="s">
        <v>15</v>
      </c>
      <c r="B44" s="77" t="s">
        <v>14</v>
      </c>
      <c r="C44" s="231" t="s">
        <v>173</v>
      </c>
      <c r="D44" s="77" t="s">
        <v>174</v>
      </c>
      <c r="E44" s="231" t="s">
        <v>173</v>
      </c>
      <c r="F44" s="77" t="s">
        <v>174</v>
      </c>
      <c r="G44" s="231" t="s">
        <v>24</v>
      </c>
      <c r="H44" s="79"/>
      <c r="K44" s="338" t="s">
        <v>175</v>
      </c>
      <c r="L44" s="338"/>
      <c r="M44" s="233"/>
      <c r="N44" s="233"/>
      <c r="O44" s="233"/>
      <c r="P44" s="71"/>
      <c r="Q44" s="79"/>
      <c r="R44" s="79"/>
      <c r="S44" s="79"/>
      <c r="T44" s="79"/>
      <c r="U44" s="79"/>
    </row>
    <row r="45" spans="1:21">
      <c r="A45" s="77" t="s">
        <v>22</v>
      </c>
      <c r="B45" s="234" t="s">
        <v>21</v>
      </c>
      <c r="C45" s="235" t="s">
        <v>21</v>
      </c>
      <c r="D45" s="234" t="s">
        <v>21</v>
      </c>
      <c r="E45" s="235" t="s">
        <v>36</v>
      </c>
      <c r="F45" s="234" t="s">
        <v>36</v>
      </c>
      <c r="G45" s="236" t="s">
        <v>168</v>
      </c>
      <c r="H45" s="79"/>
      <c r="K45" s="339" t="s">
        <v>418</v>
      </c>
      <c r="L45" s="339"/>
      <c r="M45" s="79"/>
      <c r="N45" s="79"/>
      <c r="O45" s="79"/>
      <c r="P45" s="79"/>
      <c r="Q45" s="79"/>
    </row>
    <row r="46" spans="1:21">
      <c r="A46" s="237">
        <v>42917</v>
      </c>
      <c r="B46" s="226">
        <f>TempAdjustmnts!E5</f>
        <v>-24.344369548462279</v>
      </c>
      <c r="C46" s="225">
        <f>$B46*$L$46/$L$48</f>
        <v>-5.8494658644112905</v>
      </c>
      <c r="D46" s="169">
        <f>$B46*$L$47/$L$48</f>
        <v>-18.494903684050989</v>
      </c>
      <c r="E46" s="351">
        <f t="shared" ref="E46:E57" si="8">E28</f>
        <v>6.5479999999999997E-2</v>
      </c>
      <c r="F46" s="351">
        <f t="shared" ref="F46:F57" si="9">F28</f>
        <v>0.10349999999999999</v>
      </c>
      <c r="G46" s="238">
        <f>ROUND((C46*E46+D46*F46)*1000,2)/1000</f>
        <v>-2.29725</v>
      </c>
      <c r="H46" s="79"/>
      <c r="K46" s="342" t="s">
        <v>176</v>
      </c>
      <c r="L46" s="343">
        <v>554574</v>
      </c>
      <c r="M46" s="79"/>
      <c r="N46" s="79"/>
      <c r="O46" s="169"/>
      <c r="P46" s="79"/>
      <c r="Q46" s="79"/>
    </row>
    <row r="47" spans="1:21">
      <c r="A47" s="237">
        <v>42948</v>
      </c>
      <c r="B47" s="226">
        <f>TempAdjustmnts!E6</f>
        <v>-26.9808132361498</v>
      </c>
      <c r="C47" s="225">
        <f t="shared" ref="C47:C57" si="10">$B47*$L$46/$L$48</f>
        <v>-6.4829506348371853</v>
      </c>
      <c r="D47" s="169">
        <f t="shared" ref="D47:D57" si="11">$B47*$L$47/$L$48</f>
        <v>-20.497862601312615</v>
      </c>
      <c r="E47" s="351">
        <f t="shared" si="8"/>
        <v>6.5479999999999997E-2</v>
      </c>
      <c r="F47" s="351">
        <f t="shared" si="9"/>
        <v>0.10349999999999999</v>
      </c>
      <c r="G47" s="238">
        <f t="shared" ref="G47:G57" si="12">ROUND((C47*E47+D47*F47)*1000,2)/1000</f>
        <v>-2.54603</v>
      </c>
      <c r="H47" s="79"/>
      <c r="K47" s="346" t="s">
        <v>177</v>
      </c>
      <c r="L47" s="347">
        <v>1753458</v>
      </c>
      <c r="M47" s="79"/>
      <c r="N47" s="79"/>
      <c r="O47" s="169"/>
      <c r="P47" s="79"/>
      <c r="Q47" s="79"/>
    </row>
    <row r="48" spans="1:21">
      <c r="A48" s="237">
        <v>42979</v>
      </c>
      <c r="B48" s="226">
        <f>TempAdjustmnts!E7</f>
        <v>-10.192370293943535</v>
      </c>
      <c r="C48" s="225">
        <f t="shared" si="10"/>
        <v>-2.4490230479445008</v>
      </c>
      <c r="D48" s="169">
        <f t="shared" si="11"/>
        <v>-7.7433472459990336</v>
      </c>
      <c r="E48" s="351">
        <f t="shared" si="8"/>
        <v>6.633E-2</v>
      </c>
      <c r="F48" s="351">
        <f t="shared" si="9"/>
        <v>0.10482</v>
      </c>
      <c r="G48" s="238">
        <f t="shared" si="12"/>
        <v>-0.97410000000000008</v>
      </c>
      <c r="H48" s="79"/>
      <c r="K48" s="349" t="s">
        <v>8</v>
      </c>
      <c r="L48" s="350">
        <v>2308032</v>
      </c>
      <c r="M48" s="79"/>
      <c r="N48" s="79"/>
      <c r="O48" s="169"/>
      <c r="P48" s="79"/>
      <c r="Q48" s="79"/>
    </row>
    <row r="49" spans="1:35">
      <c r="A49" s="237">
        <v>43009</v>
      </c>
      <c r="B49" s="226">
        <f>TempAdjustmnts!E8</f>
        <v>5.1984810160754451</v>
      </c>
      <c r="C49" s="225">
        <f t="shared" si="10"/>
        <v>1.2490911785490946</v>
      </c>
      <c r="D49" s="169">
        <f t="shared" si="11"/>
        <v>3.9493898375263505</v>
      </c>
      <c r="E49" s="351">
        <f t="shared" si="8"/>
        <v>6.7169999999999994E-2</v>
      </c>
      <c r="F49" s="351">
        <f t="shared" si="9"/>
        <v>0.10613</v>
      </c>
      <c r="G49" s="238">
        <f t="shared" si="12"/>
        <v>0.50305</v>
      </c>
      <c r="H49" s="79"/>
      <c r="I49" s="241"/>
      <c r="J49" s="226"/>
      <c r="K49" s="233"/>
      <c r="L49" s="233"/>
      <c r="M49" s="79"/>
      <c r="N49" s="79"/>
      <c r="O49" s="169"/>
      <c r="P49" s="79"/>
      <c r="Q49" s="79"/>
    </row>
    <row r="50" spans="1:35">
      <c r="A50" s="237">
        <v>43040</v>
      </c>
      <c r="B50" s="226">
        <f>TempAdjustmnts!E9</f>
        <v>23.059789078980646</v>
      </c>
      <c r="C50" s="225">
        <f t="shared" si="10"/>
        <v>5.5408068296655388</v>
      </c>
      <c r="D50" s="169">
        <f t="shared" si="11"/>
        <v>17.518982249315108</v>
      </c>
      <c r="E50" s="351">
        <f t="shared" si="8"/>
        <v>6.7169999999999994E-2</v>
      </c>
      <c r="F50" s="351">
        <f t="shared" si="9"/>
        <v>0.10613</v>
      </c>
      <c r="G50" s="238">
        <f t="shared" si="12"/>
        <v>2.2314699999999998</v>
      </c>
      <c r="H50" s="79"/>
      <c r="I50" s="241"/>
      <c r="J50" s="226"/>
      <c r="K50" s="233"/>
      <c r="L50" s="226"/>
      <c r="M50" s="79"/>
      <c r="N50" s="79"/>
      <c r="O50" s="169"/>
      <c r="P50" s="79"/>
      <c r="Q50" s="79"/>
    </row>
    <row r="51" spans="1:35">
      <c r="A51" s="237">
        <v>43070</v>
      </c>
      <c r="B51" s="226">
        <f>TempAdjustmnts!E10</f>
        <v>10.974316610992656</v>
      </c>
      <c r="C51" s="225">
        <f t="shared" si="10"/>
        <v>2.6369091330729559</v>
      </c>
      <c r="D51" s="169">
        <f t="shared" si="11"/>
        <v>8.3374074779196992</v>
      </c>
      <c r="E51" s="351">
        <f t="shared" si="8"/>
        <v>6.7169999999999994E-2</v>
      </c>
      <c r="F51" s="351">
        <f t="shared" si="9"/>
        <v>0.10613</v>
      </c>
      <c r="G51" s="238">
        <f t="shared" si="12"/>
        <v>1.0619700000000001</v>
      </c>
      <c r="H51" s="79"/>
      <c r="I51" s="241"/>
      <c r="J51" s="226"/>
      <c r="K51" s="233"/>
      <c r="L51" s="226"/>
      <c r="M51" s="79"/>
      <c r="N51" s="79"/>
      <c r="O51" s="169"/>
      <c r="P51" s="79"/>
      <c r="Q51" s="79"/>
    </row>
    <row r="52" spans="1:35">
      <c r="A52" s="237">
        <v>43101</v>
      </c>
      <c r="B52" s="226">
        <f>TempAdjustmnts!E11</f>
        <v>43.640501271105357</v>
      </c>
      <c r="C52" s="225">
        <f t="shared" si="10"/>
        <v>10.485940988652663</v>
      </c>
      <c r="D52" s="169">
        <f t="shared" si="11"/>
        <v>33.154560282452692</v>
      </c>
      <c r="E52" s="351">
        <f t="shared" si="8"/>
        <v>6.7169999999999994E-2</v>
      </c>
      <c r="F52" s="351">
        <f t="shared" si="9"/>
        <v>0.10613</v>
      </c>
      <c r="G52" s="238">
        <f t="shared" si="12"/>
        <v>4.2230299999999996</v>
      </c>
      <c r="H52" s="79"/>
      <c r="I52" s="241"/>
      <c r="J52" s="226"/>
      <c r="K52" s="233"/>
      <c r="L52" s="233"/>
      <c r="M52" s="79"/>
      <c r="N52" s="79"/>
      <c r="O52" s="169"/>
      <c r="P52" s="79"/>
      <c r="Q52" s="79"/>
    </row>
    <row r="53" spans="1:35">
      <c r="A53" s="237">
        <v>43132</v>
      </c>
      <c r="B53" s="226">
        <f>TempAdjustmnts!E12</f>
        <v>6.2873956052145124</v>
      </c>
      <c r="C53" s="225">
        <f t="shared" si="10"/>
        <v>1.5107356095436428</v>
      </c>
      <c r="D53" s="169">
        <f t="shared" si="11"/>
        <v>4.7766599956708697</v>
      </c>
      <c r="E53" s="351">
        <f t="shared" si="8"/>
        <v>6.7169999999999994E-2</v>
      </c>
      <c r="F53" s="351">
        <f t="shared" si="9"/>
        <v>0.10613</v>
      </c>
      <c r="G53" s="238">
        <f t="shared" si="12"/>
        <v>0.60841999999999996</v>
      </c>
      <c r="H53" s="79"/>
      <c r="I53" s="241"/>
      <c r="J53" s="226"/>
      <c r="K53" s="233"/>
      <c r="L53" s="233"/>
      <c r="M53" s="79"/>
      <c r="N53" s="79"/>
      <c r="O53" s="169"/>
      <c r="P53" s="79"/>
      <c r="Q53" s="79"/>
    </row>
    <row r="54" spans="1:35">
      <c r="A54" s="237">
        <v>43160</v>
      </c>
      <c r="B54" s="226">
        <f>TempAdjustmnts!E13</f>
        <v>5.8368134097971858</v>
      </c>
      <c r="C54" s="225">
        <f t="shared" si="10"/>
        <v>1.4024697057600868</v>
      </c>
      <c r="D54" s="169">
        <f t="shared" si="11"/>
        <v>4.434343704037099</v>
      </c>
      <c r="E54" s="351">
        <f t="shared" si="8"/>
        <v>6.7169999999999994E-2</v>
      </c>
      <c r="F54" s="351">
        <f t="shared" si="9"/>
        <v>0.10613</v>
      </c>
      <c r="G54" s="238">
        <f t="shared" si="12"/>
        <v>0.5648200000000001</v>
      </c>
      <c r="H54" s="79"/>
      <c r="I54" s="241"/>
      <c r="J54" s="226"/>
      <c r="K54" s="233"/>
      <c r="L54" s="233"/>
      <c r="M54" s="79"/>
      <c r="N54" s="79"/>
      <c r="O54" s="169"/>
      <c r="P54" s="79"/>
      <c r="Q54" s="79"/>
    </row>
    <row r="55" spans="1:35">
      <c r="A55" s="237">
        <v>43191</v>
      </c>
      <c r="B55" s="226">
        <f>TempAdjustmnts!E14</f>
        <v>11.949591764626824</v>
      </c>
      <c r="C55" s="225">
        <f t="shared" si="10"/>
        <v>2.8712482770066257</v>
      </c>
      <c r="D55" s="169">
        <f t="shared" si="11"/>
        <v>9.0783434876201987</v>
      </c>
      <c r="E55" s="351">
        <f t="shared" si="8"/>
        <v>6.7169999999999994E-2</v>
      </c>
      <c r="F55" s="351">
        <f t="shared" si="9"/>
        <v>0.10613</v>
      </c>
      <c r="G55" s="238">
        <f t="shared" si="12"/>
        <v>1.15635</v>
      </c>
      <c r="H55" s="79"/>
      <c r="I55" s="241"/>
      <c r="J55" s="226"/>
      <c r="K55" s="233"/>
      <c r="L55" s="233"/>
      <c r="M55" s="79"/>
      <c r="N55" s="79"/>
      <c r="O55" s="169"/>
      <c r="P55" s="79"/>
      <c r="Q55" s="79"/>
    </row>
    <row r="56" spans="1:35">
      <c r="A56" s="237">
        <v>43221</v>
      </c>
      <c r="B56" s="226">
        <f>TempAdjustmnts!E15</f>
        <v>-3.026598953770872</v>
      </c>
      <c r="C56" s="225">
        <f t="shared" si="10"/>
        <v>-0.72723128976917462</v>
      </c>
      <c r="D56" s="169">
        <f t="shared" si="11"/>
        <v>-2.2993676640016973</v>
      </c>
      <c r="E56" s="351">
        <f t="shared" si="8"/>
        <v>6.7169999999999994E-2</v>
      </c>
      <c r="F56" s="351">
        <f t="shared" si="9"/>
        <v>0.10613</v>
      </c>
      <c r="G56" s="238">
        <f t="shared" si="12"/>
        <v>-0.29287999999999997</v>
      </c>
      <c r="H56" s="79"/>
      <c r="I56" s="241"/>
      <c r="J56" s="226"/>
      <c r="K56" s="233"/>
      <c r="L56" s="233"/>
      <c r="M56" s="79"/>
      <c r="N56" s="79"/>
      <c r="O56" s="169"/>
      <c r="P56" s="79"/>
      <c r="Q56" s="79"/>
    </row>
    <row r="57" spans="1:35">
      <c r="A57" s="237">
        <v>43252</v>
      </c>
      <c r="B57" s="279">
        <f>TempAdjustmnts!E16</f>
        <v>4.3092332707804957</v>
      </c>
      <c r="C57" s="227">
        <f t="shared" si="10"/>
        <v>1.0354227029390506</v>
      </c>
      <c r="D57" s="168">
        <f t="shared" si="11"/>
        <v>3.2738105678414451</v>
      </c>
      <c r="E57" s="352">
        <f t="shared" si="8"/>
        <v>6.7169999999999994E-2</v>
      </c>
      <c r="F57" s="353">
        <f t="shared" si="9"/>
        <v>0.10613</v>
      </c>
      <c r="G57" s="249">
        <f t="shared" si="12"/>
        <v>0.41699999999999998</v>
      </c>
      <c r="H57" s="79"/>
      <c r="I57" s="241"/>
      <c r="J57" s="226"/>
      <c r="K57" s="233"/>
      <c r="L57" s="233"/>
      <c r="M57" s="79"/>
      <c r="N57" s="79"/>
      <c r="O57" s="79"/>
      <c r="P57" s="79"/>
      <c r="Q57" s="79"/>
    </row>
    <row r="58" spans="1:35">
      <c r="A58" s="79" t="s">
        <v>8</v>
      </c>
      <c r="B58" s="169">
        <f>SUM(B46:B57)</f>
        <v>46.711969995246641</v>
      </c>
      <c r="C58" s="225">
        <f>SUM(C46:C57)</f>
        <v>11.223953588227509</v>
      </c>
      <c r="D58" s="169">
        <f>SUM(D46:D57)</f>
        <v>35.488016407019131</v>
      </c>
      <c r="E58" s="245" t="s">
        <v>29</v>
      </c>
      <c r="F58" s="2" t="s">
        <v>29</v>
      </c>
      <c r="G58" s="246">
        <f>SUM(G46:G57)</f>
        <v>4.6558499999999992</v>
      </c>
      <c r="H58" s="243"/>
      <c r="I58" s="233"/>
      <c r="J58" s="226"/>
      <c r="K58" s="233"/>
      <c r="L58" s="247"/>
      <c r="M58" s="79"/>
      <c r="N58" s="79"/>
      <c r="O58" s="169"/>
      <c r="P58" s="79"/>
      <c r="Q58" s="154"/>
    </row>
    <row r="59" spans="1:35">
      <c r="A59" s="79"/>
      <c r="B59" s="169"/>
      <c r="C59" s="169"/>
      <c r="D59" s="169"/>
      <c r="E59" s="169"/>
      <c r="F59" s="169"/>
      <c r="G59" s="169"/>
      <c r="H59" s="169"/>
      <c r="I59" s="169"/>
      <c r="J59" s="169"/>
      <c r="L59" s="248"/>
      <c r="M59" s="79"/>
      <c r="N59" s="233"/>
      <c r="O59" s="226"/>
      <c r="P59" s="233"/>
      <c r="Q59" s="247"/>
      <c r="R59" s="79"/>
      <c r="S59" s="79"/>
      <c r="T59" s="169"/>
      <c r="U59" s="79"/>
      <c r="V59" s="154"/>
    </row>
    <row r="60" spans="1:35">
      <c r="A60" s="131" t="s">
        <v>64</v>
      </c>
      <c r="B60" s="77" t="s">
        <v>11</v>
      </c>
      <c r="C60" s="210" t="s">
        <v>172</v>
      </c>
      <c r="D60" s="77" t="s">
        <v>172</v>
      </c>
      <c r="E60" s="77" t="s">
        <v>172</v>
      </c>
      <c r="F60" s="210"/>
      <c r="G60" s="77"/>
      <c r="H60" s="77"/>
      <c r="I60" s="231" t="s">
        <v>1</v>
      </c>
      <c r="J60" s="169"/>
      <c r="L60" s="248"/>
      <c r="M60" s="248"/>
      <c r="N60" s="131" t="s">
        <v>64</v>
      </c>
      <c r="O60" s="77" t="s">
        <v>11</v>
      </c>
      <c r="P60" s="210" t="s">
        <v>172</v>
      </c>
      <c r="Q60" s="77" t="s">
        <v>172</v>
      </c>
      <c r="R60" s="77" t="s">
        <v>172</v>
      </c>
      <c r="S60" s="210"/>
      <c r="T60" s="77"/>
      <c r="U60" s="77"/>
      <c r="V60" s="231" t="s">
        <v>1</v>
      </c>
      <c r="W60" s="169"/>
      <c r="Y60" s="248"/>
      <c r="Z60" s="79"/>
      <c r="AA60" s="233"/>
      <c r="AB60" s="226"/>
      <c r="AC60" s="233"/>
      <c r="AD60" s="247"/>
      <c r="AE60" s="79"/>
      <c r="AF60" s="79"/>
      <c r="AG60" s="169"/>
      <c r="AH60" s="79"/>
      <c r="AI60" s="154"/>
    </row>
    <row r="61" spans="1:35">
      <c r="A61" s="2" t="s">
        <v>16</v>
      </c>
      <c r="B61" s="77" t="s">
        <v>14</v>
      </c>
      <c r="C61" s="210" t="s">
        <v>173</v>
      </c>
      <c r="D61" s="77" t="s">
        <v>174</v>
      </c>
      <c r="E61" s="77" t="s">
        <v>178</v>
      </c>
      <c r="F61" s="210" t="s">
        <v>173</v>
      </c>
      <c r="G61" s="77" t="s">
        <v>174</v>
      </c>
      <c r="H61" s="77" t="s">
        <v>178</v>
      </c>
      <c r="I61" s="231" t="s">
        <v>24</v>
      </c>
      <c r="J61" s="169"/>
      <c r="K61" s="338" t="s">
        <v>175</v>
      </c>
      <c r="L61" s="338"/>
      <c r="M61" s="69"/>
      <c r="N61" s="2" t="s">
        <v>15</v>
      </c>
      <c r="O61" s="77" t="s">
        <v>14</v>
      </c>
      <c r="P61" s="210" t="s">
        <v>173</v>
      </c>
      <c r="Q61" s="77" t="s">
        <v>174</v>
      </c>
      <c r="R61" s="77" t="s">
        <v>178</v>
      </c>
      <c r="S61" s="210" t="s">
        <v>173</v>
      </c>
      <c r="T61" s="77" t="s">
        <v>174</v>
      </c>
      <c r="U61" s="77" t="s">
        <v>178</v>
      </c>
      <c r="V61" s="231" t="s">
        <v>24</v>
      </c>
      <c r="W61" s="169"/>
      <c r="X61" s="338" t="s">
        <v>175</v>
      </c>
      <c r="Y61" s="338"/>
      <c r="Z61" s="79"/>
      <c r="AA61" s="233"/>
      <c r="AB61" s="226"/>
      <c r="AC61" s="233"/>
      <c r="AD61" s="247"/>
      <c r="AE61" s="79"/>
      <c r="AF61" s="79"/>
      <c r="AG61" s="169"/>
      <c r="AH61" s="79"/>
      <c r="AI61" s="154"/>
    </row>
    <row r="62" spans="1:35">
      <c r="A62" s="77" t="s">
        <v>22</v>
      </c>
      <c r="B62" s="307" t="s">
        <v>21</v>
      </c>
      <c r="C62" s="208" t="s">
        <v>21</v>
      </c>
      <c r="D62" s="307" t="s">
        <v>21</v>
      </c>
      <c r="E62" s="307" t="s">
        <v>21</v>
      </c>
      <c r="F62" s="208" t="s">
        <v>36</v>
      </c>
      <c r="G62" s="307" t="s">
        <v>36</v>
      </c>
      <c r="H62" s="307" t="s">
        <v>36</v>
      </c>
      <c r="I62" s="236" t="s">
        <v>168</v>
      </c>
      <c r="J62" s="169"/>
      <c r="K62" s="339" t="s">
        <v>418</v>
      </c>
      <c r="L62" s="339"/>
      <c r="M62" s="232"/>
      <c r="N62" s="77" t="s">
        <v>22</v>
      </c>
      <c r="O62" s="307" t="s">
        <v>21</v>
      </c>
      <c r="P62" s="208" t="s">
        <v>21</v>
      </c>
      <c r="Q62" s="307" t="s">
        <v>21</v>
      </c>
      <c r="R62" s="307" t="s">
        <v>21</v>
      </c>
      <c r="S62" s="208" t="s">
        <v>36</v>
      </c>
      <c r="T62" s="307" t="s">
        <v>36</v>
      </c>
      <c r="U62" s="307" t="s">
        <v>36</v>
      </c>
      <c r="V62" s="236" t="s">
        <v>168</v>
      </c>
      <c r="W62" s="169"/>
      <c r="X62" s="339" t="s">
        <v>418</v>
      </c>
      <c r="Y62" s="339"/>
      <c r="Z62" s="79"/>
      <c r="AA62" s="233"/>
      <c r="AB62" s="226"/>
      <c r="AC62" s="233"/>
      <c r="AD62" s="247"/>
      <c r="AE62" s="79"/>
      <c r="AF62" s="79"/>
      <c r="AG62" s="169"/>
      <c r="AH62" s="79"/>
      <c r="AI62" s="154"/>
    </row>
    <row r="63" spans="1:35">
      <c r="A63" s="237">
        <v>42917</v>
      </c>
      <c r="B63" s="169">
        <f>TempAdjustmnts!F5*(Temperature!$L$66/(Temperature!$L$66+Temperature!$Y$66))</f>
        <v>-1973.4366729593803</v>
      </c>
      <c r="C63" s="229">
        <f>$B63*$L$63/$L$66</f>
        <v>-455.2302053170381</v>
      </c>
      <c r="D63" s="169">
        <f>$B63*$L$64/$L$66</f>
        <v>-1059.9818611181524</v>
      </c>
      <c r="E63" s="169">
        <f>$B63*$L$65/$L$66</f>
        <v>-458.22460652418994</v>
      </c>
      <c r="F63" s="354">
        <v>0.10628</v>
      </c>
      <c r="G63" s="355">
        <v>7.3410000000000003E-2</v>
      </c>
      <c r="H63" s="348">
        <v>6.3240000000000005E-2</v>
      </c>
      <c r="I63" s="250">
        <f>ROUND((C63*F63+D63*G63+E63*H63)*1000,2)/1000</f>
        <v>-155.17326</v>
      </c>
      <c r="J63" s="169"/>
      <c r="K63" s="342" t="s">
        <v>176</v>
      </c>
      <c r="L63" s="343">
        <v>119678793</v>
      </c>
      <c r="M63" s="226"/>
      <c r="N63" s="237">
        <v>42917</v>
      </c>
      <c r="O63" s="169">
        <f>TempAdjustmnts!F5*(Temperature!$Y$66/(Temperature!$L$66+Temperature!$Y$66))</f>
        <v>-84.719648270078125</v>
      </c>
      <c r="P63" s="229">
        <f t="shared" ref="P63:P74" si="13">$O63*$Y$63/$Y$66</f>
        <v>-50.677400919217526</v>
      </c>
      <c r="Q63" s="169">
        <f t="shared" ref="Q63:Q74" si="14">$O63*$Y$64/$Y$66</f>
        <v>-29.453337580882067</v>
      </c>
      <c r="R63" s="169">
        <f>$O63*$Y$65/$Y$66</f>
        <v>-4.5889097699785344</v>
      </c>
      <c r="S63" s="351">
        <f>F63</f>
        <v>0.10628</v>
      </c>
      <c r="T63" s="356">
        <f t="shared" ref="T63:T74" si="15">G63</f>
        <v>7.3410000000000003E-2</v>
      </c>
      <c r="U63" s="357">
        <f t="shared" ref="U63:U74" si="16">H63</f>
        <v>6.3240000000000005E-2</v>
      </c>
      <c r="V63" s="250">
        <f>ROUND((P63*S63+Q63*T63+R63*U63)*1000,2)/1000</f>
        <v>-7.8383700000000003</v>
      </c>
      <c r="W63" s="169"/>
      <c r="X63" s="342" t="s">
        <v>176</v>
      </c>
      <c r="Y63" s="343">
        <v>13322952</v>
      </c>
      <c r="Z63" s="79"/>
      <c r="AA63" s="233"/>
      <c r="AB63" s="226"/>
      <c r="AC63" s="233"/>
      <c r="AD63" s="247"/>
      <c r="AE63" s="79"/>
      <c r="AF63" s="79"/>
      <c r="AG63" s="169"/>
      <c r="AH63" s="79"/>
      <c r="AI63" s="154"/>
    </row>
    <row r="64" spans="1:35">
      <c r="A64" s="237">
        <v>42948</v>
      </c>
      <c r="B64" s="169">
        <f>TempAdjustmnts!F6*(Temperature!$L$66/(Temperature!$L$66+Temperature!$Y$66))</f>
        <v>-2203.8898791299284</v>
      </c>
      <c r="C64" s="229">
        <f t="shared" ref="C64:C74" si="17">$B64*$L$63/$L$66</f>
        <v>-508.39089792931509</v>
      </c>
      <c r="D64" s="169">
        <f t="shared" ref="D64:D74" si="18">$B64*$L$64/$L$66</f>
        <v>-1183.7640030659779</v>
      </c>
      <c r="E64" s="169">
        <f t="shared" ref="E64:E74" si="19">$B64*$L$65/$L$66</f>
        <v>-511.7349781346353</v>
      </c>
      <c r="F64" s="354">
        <v>0.10628</v>
      </c>
      <c r="G64" s="355">
        <v>7.3410000000000003E-2</v>
      </c>
      <c r="H64" s="348">
        <v>6.3240000000000005E-2</v>
      </c>
      <c r="I64" s="250">
        <f t="shared" ref="I64:I74" si="20">ROUND((C64*F64+D64*G64+E64*H64)*1000,2)/1000</f>
        <v>-173.29401999999999</v>
      </c>
      <c r="J64" s="169"/>
      <c r="K64" s="342" t="s">
        <v>177</v>
      </c>
      <c r="L64" s="350">
        <v>278666372</v>
      </c>
      <c r="M64" s="226"/>
      <c r="N64" s="237">
        <v>42948</v>
      </c>
      <c r="O64" s="169">
        <f>TempAdjustmnts!F6*(Temperature!$Y$66/(Temperature!$L$66+Temperature!$Y$66))</f>
        <v>-94.613005800625274</v>
      </c>
      <c r="P64" s="229">
        <f t="shared" si="13"/>
        <v>-56.595386371829171</v>
      </c>
      <c r="Q64" s="169">
        <f t="shared" si="14"/>
        <v>-32.89282777124069</v>
      </c>
      <c r="R64" s="169">
        <f t="shared" ref="R64:R74" si="21">$O64*$Y$65/$Y$66</f>
        <v>-5.1247916575554102</v>
      </c>
      <c r="S64" s="351">
        <f t="shared" ref="S64:S74" si="22">F64</f>
        <v>0.10628</v>
      </c>
      <c r="T64" s="356">
        <f t="shared" si="15"/>
        <v>7.3410000000000003E-2</v>
      </c>
      <c r="U64" s="357">
        <f t="shared" si="16"/>
        <v>6.3240000000000005E-2</v>
      </c>
      <c r="V64" s="250">
        <f t="shared" ref="V64:V74" si="23">ROUND((P64*S64+Q64*T64+R64*U64)*1000,2)/1000</f>
        <v>-8.7537099999999999</v>
      </c>
      <c r="W64" s="169"/>
      <c r="X64" s="342" t="s">
        <v>177</v>
      </c>
      <c r="Y64" s="350">
        <v>7743203</v>
      </c>
      <c r="Z64" s="79"/>
      <c r="AA64" s="233"/>
      <c r="AB64" s="226"/>
      <c r="AC64" s="233"/>
      <c r="AD64" s="247"/>
      <c r="AE64" s="79"/>
      <c r="AF64" s="79"/>
      <c r="AG64" s="169"/>
      <c r="AH64" s="79"/>
      <c r="AI64" s="154"/>
    </row>
    <row r="65" spans="1:35">
      <c r="A65" s="237">
        <v>42979</v>
      </c>
      <c r="B65" s="169">
        <f>TempAdjustmnts!F7*(Temperature!$L$66/(Temperature!$L$66+Temperature!$Y$66))</f>
        <v>-1019.3807802492164</v>
      </c>
      <c r="C65" s="229">
        <f t="shared" si="17"/>
        <v>-235.14963933106401</v>
      </c>
      <c r="D65" s="169">
        <f t="shared" si="18"/>
        <v>-547.53474050741897</v>
      </c>
      <c r="E65" s="169">
        <f t="shared" si="19"/>
        <v>-236.69640041073333</v>
      </c>
      <c r="F65" s="344">
        <f>ROUND((F64+F66)/2,5)</f>
        <v>0.10753</v>
      </c>
      <c r="G65" s="355">
        <f t="shared" ref="G65:H65" si="24">ROUND((G64+G66)/2,5)</f>
        <v>7.4279999999999999E-2</v>
      </c>
      <c r="H65" s="355">
        <f t="shared" si="24"/>
        <v>6.3979999999999995E-2</v>
      </c>
      <c r="I65" s="250">
        <f t="shared" si="20"/>
        <v>-81.100359999999995</v>
      </c>
      <c r="J65" s="169"/>
      <c r="K65" s="358" t="s">
        <v>179</v>
      </c>
      <c r="L65" s="347">
        <v>120466013</v>
      </c>
      <c r="M65" s="226"/>
      <c r="N65" s="237">
        <v>42979</v>
      </c>
      <c r="O65" s="169">
        <f>TempAdjustmnts!F7*(Temperature!$Y$66/(Temperature!$L$66+Temperature!$Y$66))</f>
        <v>-43.762023043021159</v>
      </c>
      <c r="P65" s="229">
        <f t="shared" si="13"/>
        <v>-26.17746452059454</v>
      </c>
      <c r="Q65" s="169">
        <f t="shared" si="14"/>
        <v>-15.214152374658502</v>
      </c>
      <c r="R65" s="169">
        <f t="shared" si="21"/>
        <v>-2.3704061477681151</v>
      </c>
      <c r="S65" s="351">
        <f t="shared" si="22"/>
        <v>0.10753</v>
      </c>
      <c r="T65" s="356">
        <f t="shared" si="15"/>
        <v>7.4279999999999999E-2</v>
      </c>
      <c r="U65" s="357">
        <f t="shared" si="16"/>
        <v>6.3979999999999995E-2</v>
      </c>
      <c r="V65" s="250">
        <f t="shared" si="23"/>
        <v>-4.0966300000000002</v>
      </c>
      <c r="W65" s="169"/>
      <c r="X65" s="358" t="s">
        <v>179</v>
      </c>
      <c r="Y65" s="347">
        <v>1206412</v>
      </c>
      <c r="Z65" s="79"/>
      <c r="AA65" s="233"/>
      <c r="AB65" s="226"/>
      <c r="AC65" s="233"/>
      <c r="AD65" s="247"/>
      <c r="AE65" s="79"/>
      <c r="AF65" s="79"/>
      <c r="AG65" s="169"/>
      <c r="AH65" s="79"/>
      <c r="AI65" s="154"/>
    </row>
    <row r="66" spans="1:35">
      <c r="A66" s="237">
        <v>43009</v>
      </c>
      <c r="B66" s="169">
        <f>TempAdjustmnts!F8*(Temperature!$L$66/(Temperature!$L$66+Temperature!$Y$66))</f>
        <v>248.38139778487215</v>
      </c>
      <c r="C66" s="229">
        <f t="shared" si="17"/>
        <v>57.296348172641672</v>
      </c>
      <c r="D66" s="169">
        <f t="shared" si="18"/>
        <v>133.41181903563219</v>
      </c>
      <c r="E66" s="169">
        <f t="shared" si="19"/>
        <v>57.673230576598293</v>
      </c>
      <c r="F66" s="354">
        <v>0.10878</v>
      </c>
      <c r="G66" s="355">
        <v>7.5139999999999998E-2</v>
      </c>
      <c r="H66" s="348">
        <v>6.472E-2</v>
      </c>
      <c r="I66" s="250">
        <f t="shared" si="20"/>
        <v>19.98987</v>
      </c>
      <c r="J66" s="169"/>
      <c r="K66" s="349" t="s">
        <v>8</v>
      </c>
      <c r="L66" s="350">
        <v>518811178</v>
      </c>
      <c r="M66" s="226"/>
      <c r="N66" s="237">
        <v>43009</v>
      </c>
      <c r="O66" s="169">
        <f>TempAdjustmnts!F8*(Temperature!$Y$66/(Temperature!$L$66+Temperature!$Y$66))</f>
        <v>10.663014904658082</v>
      </c>
      <c r="P66" s="229">
        <f t="shared" si="13"/>
        <v>6.3783772993047547</v>
      </c>
      <c r="Q66" s="169">
        <f t="shared" si="14"/>
        <v>3.7070665899800939</v>
      </c>
      <c r="R66" s="169">
        <f t="shared" si="21"/>
        <v>0.57757101537323319</v>
      </c>
      <c r="S66" s="354">
        <f t="shared" si="22"/>
        <v>0.10878</v>
      </c>
      <c r="T66" s="355">
        <f t="shared" si="15"/>
        <v>7.5139999999999998E-2</v>
      </c>
      <c r="U66" s="348">
        <f t="shared" si="16"/>
        <v>6.472E-2</v>
      </c>
      <c r="V66" s="250">
        <f t="shared" si="23"/>
        <v>1.0097700000000001</v>
      </c>
      <c r="W66" s="169"/>
      <c r="X66" s="349" t="s">
        <v>8</v>
      </c>
      <c r="Y66" s="350">
        <v>22272567</v>
      </c>
      <c r="Z66" s="79"/>
      <c r="AA66" s="233"/>
      <c r="AB66" s="226"/>
      <c r="AC66" s="233"/>
      <c r="AD66" s="247"/>
      <c r="AE66" s="79"/>
      <c r="AF66" s="79"/>
      <c r="AG66" s="169"/>
      <c r="AH66" s="79"/>
      <c r="AI66" s="154"/>
    </row>
    <row r="67" spans="1:35">
      <c r="A67" s="237">
        <v>43040</v>
      </c>
      <c r="B67" s="169">
        <f>TempAdjustmnts!F9*(Temperature!$L$66/(Temperature!$L$66+Temperature!$Y$66))</f>
        <v>753.86378776480376</v>
      </c>
      <c r="C67" s="229">
        <f t="shared" si="17"/>
        <v>173.9004709842622</v>
      </c>
      <c r="D67" s="169">
        <f t="shared" si="18"/>
        <v>404.91896787658624</v>
      </c>
      <c r="E67" s="169">
        <f t="shared" si="19"/>
        <v>175.04434890395538</v>
      </c>
      <c r="F67" s="354">
        <v>0.10878</v>
      </c>
      <c r="G67" s="355">
        <v>7.5139999999999998E-2</v>
      </c>
      <c r="H67" s="348">
        <v>6.472E-2</v>
      </c>
      <c r="I67" s="250">
        <f t="shared" si="20"/>
        <v>60.671370000000003</v>
      </c>
      <c r="J67" s="169"/>
      <c r="L67" s="248"/>
      <c r="M67" s="248"/>
      <c r="N67" s="237">
        <v>43040</v>
      </c>
      <c r="O67" s="169">
        <f>TempAdjustmnts!F9*(Temperature!$Y$66/(Temperature!$L$66+Temperature!$Y$66))</f>
        <v>32.363376954583224</v>
      </c>
      <c r="P67" s="229">
        <f t="shared" si="13"/>
        <v>19.359049081491975</v>
      </c>
      <c r="Q67" s="169">
        <f t="shared" si="14"/>
        <v>11.251338811770538</v>
      </c>
      <c r="R67" s="169">
        <f t="shared" si="21"/>
        <v>1.7529890613207113</v>
      </c>
      <c r="S67" s="354">
        <f t="shared" si="22"/>
        <v>0.10878</v>
      </c>
      <c r="T67" s="355">
        <f t="shared" si="15"/>
        <v>7.5139999999999998E-2</v>
      </c>
      <c r="U67" s="348">
        <f t="shared" si="16"/>
        <v>6.472E-2</v>
      </c>
      <c r="V67" s="250">
        <f t="shared" si="23"/>
        <v>3.0647600000000002</v>
      </c>
      <c r="W67" s="169"/>
      <c r="Y67" s="248"/>
      <c r="Z67" s="79"/>
      <c r="AA67" s="233"/>
      <c r="AB67" s="226"/>
      <c r="AC67" s="233"/>
      <c r="AD67" s="247"/>
      <c r="AE67" s="79"/>
      <c r="AF67" s="79"/>
      <c r="AG67" s="169"/>
      <c r="AH67" s="79"/>
      <c r="AI67" s="154"/>
    </row>
    <row r="68" spans="1:35">
      <c r="A68" s="237">
        <v>43070</v>
      </c>
      <c r="B68" s="169">
        <f>TempAdjustmnts!F10*(Temperature!$L$66/(Temperature!$L$66+Temperature!$Y$66))</f>
        <v>503.15875886927938</v>
      </c>
      <c r="C68" s="229">
        <f t="shared" si="17"/>
        <v>116.06811013785328</v>
      </c>
      <c r="D68" s="169">
        <f t="shared" si="18"/>
        <v>270.2590688478283</v>
      </c>
      <c r="E68" s="169">
        <f t="shared" si="19"/>
        <v>116.8315798835978</v>
      </c>
      <c r="F68" s="354">
        <v>0.10878</v>
      </c>
      <c r="G68" s="355">
        <v>7.5139999999999998E-2</v>
      </c>
      <c r="H68" s="348">
        <v>6.472E-2</v>
      </c>
      <c r="I68" s="243">
        <f t="shared" si="20"/>
        <v>40.494500000000002</v>
      </c>
      <c r="J68" s="169"/>
      <c r="K68" s="233"/>
      <c r="L68" s="226"/>
      <c r="M68" s="226"/>
      <c r="N68" s="237">
        <v>43070</v>
      </c>
      <c r="O68" s="169">
        <f>TempAdjustmnts!F10*(Temperature!$Y$66/(Temperature!$L$66+Temperature!$Y$66))</f>
        <v>21.600608552333217</v>
      </c>
      <c r="P68" s="229">
        <f t="shared" si="13"/>
        <v>12.921001468466788</v>
      </c>
      <c r="Q68" s="169">
        <f t="shared" si="14"/>
        <v>7.5095922685630363</v>
      </c>
      <c r="R68" s="169">
        <f t="shared" si="21"/>
        <v>1.1700148153033918</v>
      </c>
      <c r="S68" s="354">
        <f t="shared" si="22"/>
        <v>0.10878</v>
      </c>
      <c r="T68" s="355">
        <f t="shared" si="15"/>
        <v>7.5139999999999998E-2</v>
      </c>
      <c r="U68" s="348">
        <f t="shared" si="16"/>
        <v>6.472E-2</v>
      </c>
      <c r="V68" s="243">
        <f t="shared" si="23"/>
        <v>2.0455399999999999</v>
      </c>
      <c r="W68" s="169"/>
      <c r="X68" s="233"/>
      <c r="Y68" s="226"/>
      <c r="Z68" s="79"/>
      <c r="AA68" s="233"/>
      <c r="AB68" s="226"/>
      <c r="AC68" s="233"/>
      <c r="AD68" s="247"/>
      <c r="AE68" s="79"/>
      <c r="AF68" s="79"/>
      <c r="AG68" s="169"/>
      <c r="AH68" s="79"/>
      <c r="AI68" s="154"/>
    </row>
    <row r="69" spans="1:35">
      <c r="A69" s="237">
        <v>43101</v>
      </c>
      <c r="B69" s="169">
        <f>TempAdjustmnts!F11*(Temperature!$L$66/(Temperature!$L$66+Temperature!$Y$66))</f>
        <v>1841.285009342768</v>
      </c>
      <c r="C69" s="229">
        <f t="shared" si="17"/>
        <v>424.74560462753988</v>
      </c>
      <c r="D69" s="169">
        <f t="shared" si="18"/>
        <v>988.99991968086567</v>
      </c>
      <c r="E69" s="169">
        <f t="shared" si="19"/>
        <v>427.53948503436254</v>
      </c>
      <c r="F69" s="354">
        <v>0.10878</v>
      </c>
      <c r="G69" s="355">
        <v>7.5139999999999998E-2</v>
      </c>
      <c r="H69" s="348">
        <v>6.472E-2</v>
      </c>
      <c r="I69" s="250">
        <f t="shared" si="20"/>
        <v>148.18764000000002</v>
      </c>
      <c r="J69" s="169"/>
      <c r="K69" s="233"/>
      <c r="L69" s="226"/>
      <c r="M69" s="226"/>
      <c r="N69" s="237">
        <v>43101</v>
      </c>
      <c r="O69" s="169">
        <f>TempAdjustmnts!F11*(Temperature!$Y$66/(Temperature!$L$66+Temperature!$Y$66))</f>
        <v>79.046376554135136</v>
      </c>
      <c r="P69" s="229">
        <f t="shared" si="13"/>
        <v>47.283776522242263</v>
      </c>
      <c r="Q69" s="169">
        <f t="shared" si="14"/>
        <v>27.48098771341035</v>
      </c>
      <c r="R69" s="169">
        <f t="shared" si="21"/>
        <v>4.2816123184825203</v>
      </c>
      <c r="S69" s="354">
        <f t="shared" si="22"/>
        <v>0.10878</v>
      </c>
      <c r="T69" s="355">
        <f t="shared" si="15"/>
        <v>7.5139999999999998E-2</v>
      </c>
      <c r="U69" s="348">
        <f t="shared" si="16"/>
        <v>6.472E-2</v>
      </c>
      <c r="V69" s="250">
        <f t="shared" si="23"/>
        <v>7.4855600000000004</v>
      </c>
      <c r="W69" s="169"/>
      <c r="X69" s="233"/>
      <c r="Y69" s="226"/>
      <c r="Z69" s="79"/>
      <c r="AA69" s="233"/>
      <c r="AB69" s="226"/>
      <c r="AC69" s="233"/>
      <c r="AD69" s="247"/>
      <c r="AE69" s="79"/>
      <c r="AF69" s="79"/>
      <c r="AG69" s="169"/>
      <c r="AH69" s="79"/>
      <c r="AI69" s="154"/>
    </row>
    <row r="70" spans="1:35">
      <c r="A70" s="237">
        <v>43132</v>
      </c>
      <c r="B70" s="169">
        <f>TempAdjustmnts!F12*(Temperature!$L$66/(Temperature!$L$66+Temperature!$Y$66))</f>
        <v>-45.697437944810076</v>
      </c>
      <c r="C70" s="229">
        <f t="shared" si="17"/>
        <v>-10.541434819330879</v>
      </c>
      <c r="D70" s="169">
        <f t="shared" si="18"/>
        <v>-24.545229134934637</v>
      </c>
      <c r="E70" s="169">
        <f t="shared" si="19"/>
        <v>-10.61077399054456</v>
      </c>
      <c r="F70" s="354">
        <v>0.10878</v>
      </c>
      <c r="G70" s="355">
        <v>7.5139999999999998E-2</v>
      </c>
      <c r="H70" s="348">
        <v>6.472E-2</v>
      </c>
      <c r="I70" s="250">
        <f t="shared" si="20"/>
        <v>-3.6777600000000001</v>
      </c>
      <c r="J70" s="169"/>
      <c r="L70" s="248"/>
      <c r="M70" s="248"/>
      <c r="N70" s="237">
        <v>43132</v>
      </c>
      <c r="O70" s="169">
        <f>TempAdjustmnts!F12*(Temperature!$Y$66/(Temperature!$L$66+Temperature!$Y$66))</f>
        <v>-1.9617912865287666</v>
      </c>
      <c r="P70" s="229">
        <f t="shared" si="13"/>
        <v>-1.1734997202810526</v>
      </c>
      <c r="Q70" s="169">
        <f t="shared" si="14"/>
        <v>-0.68202951977755433</v>
      </c>
      <c r="R70" s="169">
        <f t="shared" si="21"/>
        <v>-0.10626204647015956</v>
      </c>
      <c r="S70" s="354">
        <f t="shared" si="22"/>
        <v>0.10878</v>
      </c>
      <c r="T70" s="355">
        <f t="shared" si="15"/>
        <v>7.5139999999999998E-2</v>
      </c>
      <c r="U70" s="348">
        <f t="shared" si="16"/>
        <v>6.472E-2</v>
      </c>
      <c r="V70" s="250">
        <f t="shared" si="23"/>
        <v>-0.18578</v>
      </c>
      <c r="W70" s="169"/>
      <c r="Y70" s="248"/>
      <c r="Z70" s="79"/>
      <c r="AA70" s="233"/>
      <c r="AB70" s="226"/>
      <c r="AC70" s="233"/>
      <c r="AD70" s="247"/>
      <c r="AE70" s="79"/>
      <c r="AF70" s="79"/>
      <c r="AG70" s="169"/>
      <c r="AH70" s="79"/>
      <c r="AI70" s="154"/>
    </row>
    <row r="71" spans="1:35">
      <c r="A71" s="237">
        <v>43160</v>
      </c>
      <c r="B71" s="169">
        <f>TempAdjustmnts!F13*(Temperature!$L$66/(Temperature!$L$66+Temperature!$Y$66))</f>
        <v>193.04738089523917</v>
      </c>
      <c r="C71" s="229">
        <f t="shared" si="17"/>
        <v>44.531957901172063</v>
      </c>
      <c r="D71" s="169">
        <f t="shared" si="18"/>
        <v>103.69054395774489</v>
      </c>
      <c r="E71" s="169">
        <f t="shared" si="19"/>
        <v>44.824879036322216</v>
      </c>
      <c r="F71" s="354">
        <v>0.10878</v>
      </c>
      <c r="G71" s="355">
        <v>7.5139999999999998E-2</v>
      </c>
      <c r="H71" s="348">
        <v>6.472E-2</v>
      </c>
      <c r="I71" s="250">
        <f t="shared" si="20"/>
        <v>15.53656</v>
      </c>
      <c r="J71" s="169"/>
      <c r="L71" s="248"/>
      <c r="M71" s="248"/>
      <c r="N71" s="237">
        <v>43160</v>
      </c>
      <c r="O71" s="169">
        <f>TempAdjustmnts!F13*(Temperature!$Y$66/(Temperature!$L$66+Temperature!$Y$66))</f>
        <v>8.2875252259189658</v>
      </c>
      <c r="P71" s="229">
        <f t="shared" si="13"/>
        <v>4.9574124430160005</v>
      </c>
      <c r="Q71" s="169">
        <f t="shared" si="14"/>
        <v>2.8812121293388144</v>
      </c>
      <c r="R71" s="169">
        <f t="shared" si="21"/>
        <v>0.44890065356415143</v>
      </c>
      <c r="S71" s="354">
        <f t="shared" si="22"/>
        <v>0.10878</v>
      </c>
      <c r="T71" s="355">
        <f t="shared" si="15"/>
        <v>7.5139999999999998E-2</v>
      </c>
      <c r="U71" s="348">
        <f t="shared" si="16"/>
        <v>6.472E-2</v>
      </c>
      <c r="V71" s="250">
        <f t="shared" si="23"/>
        <v>0.7848099999999999</v>
      </c>
      <c r="W71" s="169"/>
      <c r="Y71" s="248"/>
      <c r="Z71" s="79"/>
      <c r="AA71" s="233"/>
      <c r="AB71" s="226"/>
      <c r="AC71" s="233"/>
      <c r="AD71" s="247"/>
      <c r="AE71" s="79"/>
      <c r="AF71" s="79"/>
      <c r="AG71" s="169"/>
      <c r="AH71" s="79"/>
      <c r="AI71" s="154"/>
    </row>
    <row r="72" spans="1:35">
      <c r="A72" s="237">
        <v>43191</v>
      </c>
      <c r="B72" s="169">
        <f>TempAdjustmnts!F14*(Temperature!$L$66/(Temperature!$L$66+Temperature!$Y$66))</f>
        <v>-60.232842671454897</v>
      </c>
      <c r="C72" s="229">
        <f t="shared" si="17"/>
        <v>-13.894446024982557</v>
      </c>
      <c r="D72" s="169">
        <f t="shared" si="18"/>
        <v>-32.352556101829258</v>
      </c>
      <c r="E72" s="169">
        <f t="shared" si="19"/>
        <v>-13.985840544643084</v>
      </c>
      <c r="F72" s="354">
        <v>0.10878</v>
      </c>
      <c r="G72" s="355">
        <v>7.5139999999999998E-2</v>
      </c>
      <c r="H72" s="348">
        <v>6.472E-2</v>
      </c>
      <c r="I72" s="250">
        <f t="shared" si="20"/>
        <v>-4.8475699999999993</v>
      </c>
      <c r="J72" s="169"/>
      <c r="L72" s="248"/>
      <c r="M72" s="248"/>
      <c r="N72" s="237">
        <v>43191</v>
      </c>
      <c r="O72" s="169">
        <f>TempAdjustmnts!F14*(Temperature!$Y$66/(Temperature!$L$66+Temperature!$Y$66))</f>
        <v>-2.5857962990929204</v>
      </c>
      <c r="P72" s="229">
        <f t="shared" si="13"/>
        <v>-1.5467655782376868</v>
      </c>
      <c r="Q72" s="169">
        <f t="shared" si="14"/>
        <v>-0.89896892713467647</v>
      </c>
      <c r="R72" s="169">
        <f t="shared" si="21"/>
        <v>-0.14006179372055713</v>
      </c>
      <c r="S72" s="354">
        <f t="shared" si="22"/>
        <v>0.10878</v>
      </c>
      <c r="T72" s="355">
        <f t="shared" si="15"/>
        <v>7.5139999999999998E-2</v>
      </c>
      <c r="U72" s="348">
        <f t="shared" si="16"/>
        <v>6.472E-2</v>
      </c>
      <c r="V72" s="250">
        <f t="shared" si="23"/>
        <v>-0.24487</v>
      </c>
      <c r="W72" s="169"/>
      <c r="Y72" s="248"/>
      <c r="Z72" s="79"/>
      <c r="AA72" s="233"/>
      <c r="AB72" s="226"/>
      <c r="AC72" s="233"/>
      <c r="AD72" s="247"/>
      <c r="AE72" s="79"/>
      <c r="AF72" s="79"/>
      <c r="AG72" s="169"/>
      <c r="AH72" s="79"/>
      <c r="AI72" s="154"/>
    </row>
    <row r="73" spans="1:35">
      <c r="A73" s="237">
        <v>43221</v>
      </c>
      <c r="B73" s="169">
        <f>TempAdjustmnts!F15*(Temperature!$L$66/(Temperature!$L$66+Temperature!$Y$66))</f>
        <v>-2498.2767436464187</v>
      </c>
      <c r="C73" s="229">
        <f t="shared" si="17"/>
        <v>-576.29973666368039</v>
      </c>
      <c r="D73" s="169">
        <f t="shared" si="18"/>
        <v>-1341.8865011499838</v>
      </c>
      <c r="E73" s="169">
        <f t="shared" si="19"/>
        <v>-580.09050583275439</v>
      </c>
      <c r="F73" s="354">
        <v>0.10878</v>
      </c>
      <c r="G73" s="355">
        <v>7.5139999999999998E-2</v>
      </c>
      <c r="H73" s="348">
        <v>6.472E-2</v>
      </c>
      <c r="I73" s="250">
        <f t="shared" si="20"/>
        <v>-201.06269</v>
      </c>
      <c r="J73" s="169"/>
      <c r="L73" s="248"/>
      <c r="M73" s="248"/>
      <c r="N73" s="237">
        <v>43221</v>
      </c>
      <c r="O73" s="169">
        <f>TempAdjustmnts!F15*(Temperature!$Y$66/(Temperature!$L$66+Temperature!$Y$66))</f>
        <v>-107.25103566948724</v>
      </c>
      <c r="P73" s="229">
        <f t="shared" si="13"/>
        <v>-64.155173499977195</v>
      </c>
      <c r="Q73" s="169">
        <f t="shared" si="14"/>
        <v>-37.286521178680509</v>
      </c>
      <c r="R73" s="169">
        <f t="shared" si="21"/>
        <v>-5.8093409908295452</v>
      </c>
      <c r="S73" s="354">
        <f t="shared" si="22"/>
        <v>0.10878</v>
      </c>
      <c r="T73" s="355">
        <f t="shared" si="15"/>
        <v>7.5139999999999998E-2</v>
      </c>
      <c r="U73" s="348">
        <f t="shared" si="16"/>
        <v>6.472E-2</v>
      </c>
      <c r="V73" s="250">
        <f t="shared" si="23"/>
        <v>-10.15649</v>
      </c>
      <c r="W73" s="169"/>
      <c r="Y73" s="248"/>
      <c r="Z73" s="79"/>
      <c r="AA73" s="233"/>
      <c r="AB73" s="226"/>
      <c r="AC73" s="233"/>
      <c r="AD73" s="247"/>
      <c r="AE73" s="79"/>
      <c r="AF73" s="79"/>
      <c r="AG73" s="169"/>
      <c r="AH73" s="79"/>
      <c r="AI73" s="154"/>
    </row>
    <row r="74" spans="1:35">
      <c r="A74" s="237">
        <v>43252</v>
      </c>
      <c r="B74" s="277">
        <f>TempAdjustmnts!F16*(Temperature!$L$66/(Temperature!$L$66+Temperature!$Y$66))</f>
        <v>251.18707370311083</v>
      </c>
      <c r="C74" s="278">
        <f t="shared" si="17"/>
        <v>57.943558413443327</v>
      </c>
      <c r="D74" s="240">
        <f t="shared" si="18"/>
        <v>134.9188172698594</v>
      </c>
      <c r="E74" s="279">
        <f t="shared" si="19"/>
        <v>58.324698019808096</v>
      </c>
      <c r="F74" s="359">
        <v>0.10878</v>
      </c>
      <c r="G74" s="360">
        <v>7.5139999999999998E-2</v>
      </c>
      <c r="H74" s="361">
        <v>6.472E-2</v>
      </c>
      <c r="I74" s="251">
        <f t="shared" si="20"/>
        <v>20.215669999999999</v>
      </c>
      <c r="J74" s="169"/>
      <c r="L74" s="248"/>
      <c r="M74" s="248"/>
      <c r="N74" s="237">
        <v>43252</v>
      </c>
      <c r="O74" s="277">
        <f>TempAdjustmnts!F16*(Temperature!$Y$66/(Temperature!$L$66+Temperature!$Y$66))</f>
        <v>10.783462588746449</v>
      </c>
      <c r="P74" s="278">
        <f t="shared" si="13"/>
        <v>6.4504264130697049</v>
      </c>
      <c r="Q74" s="240">
        <f t="shared" si="14"/>
        <v>3.748941011943943</v>
      </c>
      <c r="R74" s="279">
        <f t="shared" si="21"/>
        <v>0.58409516373280101</v>
      </c>
      <c r="S74" s="359">
        <f t="shared" si="22"/>
        <v>0.10878</v>
      </c>
      <c r="T74" s="360">
        <f t="shared" si="15"/>
        <v>7.5139999999999998E-2</v>
      </c>
      <c r="U74" s="361">
        <f t="shared" si="16"/>
        <v>6.472E-2</v>
      </c>
      <c r="V74" s="251">
        <f t="shared" si="23"/>
        <v>1.02118</v>
      </c>
      <c r="W74" s="169"/>
      <c r="Y74" s="248"/>
      <c r="Z74" s="79"/>
      <c r="AA74" s="233"/>
      <c r="AB74" s="226"/>
      <c r="AC74" s="233"/>
      <c r="AD74" s="247"/>
      <c r="AE74" s="79"/>
      <c r="AF74" s="79"/>
      <c r="AG74" s="169"/>
      <c r="AH74" s="79"/>
      <c r="AI74" s="154"/>
    </row>
    <row r="75" spans="1:35">
      <c r="A75" s="79" t="s">
        <v>8</v>
      </c>
      <c r="B75" s="169">
        <f>SUM(B63:B74)</f>
        <v>-4009.9909482411363</v>
      </c>
      <c r="C75" s="229">
        <f>SUM(C63:C74)</f>
        <v>-925.02030984849853</v>
      </c>
      <c r="D75" s="169">
        <f>SUM(D63:D74)</f>
        <v>-2153.8657544097805</v>
      </c>
      <c r="E75" s="169">
        <f>SUM(E63:E74)</f>
        <v>-931.10488398285622</v>
      </c>
      <c r="F75" s="252" t="s">
        <v>29</v>
      </c>
      <c r="G75" s="253" t="s">
        <v>29</v>
      </c>
      <c r="H75" s="253" t="s">
        <v>29</v>
      </c>
      <c r="I75" s="254">
        <f>SUM(I63:I74)</f>
        <v>-314.06004999999993</v>
      </c>
      <c r="J75" s="243"/>
      <c r="L75" s="248"/>
      <c r="M75" s="248"/>
      <c r="N75" s="79" t="s">
        <v>8</v>
      </c>
      <c r="O75" s="169">
        <f>SUM(O63:O74)</f>
        <v>-172.14893558845839</v>
      </c>
      <c r="P75" s="229">
        <f>SUM(P63:P74)</f>
        <v>-102.97564738254569</v>
      </c>
      <c r="Q75" s="169">
        <f>SUM(Q63:Q74)</f>
        <v>-59.848698827367215</v>
      </c>
      <c r="R75" s="169">
        <f>SUM(R63:R74)</f>
        <v>-9.324589378545511</v>
      </c>
      <c r="S75" s="252" t="s">
        <v>29</v>
      </c>
      <c r="T75" s="253" t="s">
        <v>29</v>
      </c>
      <c r="U75" s="253" t="s">
        <v>29</v>
      </c>
      <c r="V75" s="254">
        <f>SUM(V63:V74)</f>
        <v>-15.864230000000001</v>
      </c>
      <c r="W75" s="243"/>
      <c r="Y75" s="248"/>
      <c r="Z75" s="79"/>
      <c r="AA75" s="233"/>
      <c r="AB75" s="226"/>
      <c r="AC75" s="233"/>
      <c r="AD75" s="247"/>
      <c r="AE75" s="79"/>
      <c r="AF75" s="79"/>
      <c r="AG75" s="169"/>
      <c r="AH75" s="79"/>
      <c r="AI75" s="154"/>
    </row>
    <row r="76" spans="1:35">
      <c r="A76" s="79"/>
      <c r="B76" s="169"/>
      <c r="C76" s="226"/>
      <c r="D76" s="169"/>
      <c r="E76" s="169"/>
      <c r="F76" s="308"/>
      <c r="G76" s="253"/>
      <c r="H76" s="253"/>
      <c r="I76" s="309"/>
      <c r="J76" s="243"/>
      <c r="L76" s="248"/>
      <c r="M76" s="248"/>
      <c r="N76" s="79"/>
      <c r="O76" s="169"/>
      <c r="P76" s="226"/>
      <c r="Q76" s="169"/>
      <c r="R76" s="169"/>
      <c r="S76" s="308"/>
      <c r="T76" s="253"/>
      <c r="U76" s="253"/>
      <c r="V76" s="309"/>
      <c r="W76" s="243"/>
      <c r="Y76" s="248"/>
      <c r="Z76" s="79"/>
      <c r="AA76" s="233"/>
      <c r="AB76" s="226"/>
      <c r="AC76" s="233"/>
      <c r="AD76" s="247"/>
      <c r="AE76" s="79"/>
      <c r="AF76" s="79"/>
      <c r="AG76" s="169"/>
      <c r="AH76" s="79"/>
      <c r="AI76" s="154"/>
    </row>
    <row r="77" spans="1:35">
      <c r="A77" s="131" t="s">
        <v>316</v>
      </c>
      <c r="B77" s="77" t="s">
        <v>11</v>
      </c>
      <c r="C77" s="210" t="s">
        <v>172</v>
      </c>
      <c r="D77" s="77" t="s">
        <v>172</v>
      </c>
      <c r="E77" s="210"/>
      <c r="F77" s="77"/>
      <c r="G77" s="231" t="s">
        <v>1</v>
      </c>
      <c r="H77" s="243"/>
      <c r="J77" s="248"/>
      <c r="K77" s="248"/>
      <c r="L77" s="131" t="s">
        <v>317</v>
      </c>
      <c r="M77" s="77" t="s">
        <v>11</v>
      </c>
      <c r="N77" s="210" t="s">
        <v>172</v>
      </c>
      <c r="O77" s="77" t="s">
        <v>172</v>
      </c>
      <c r="P77" s="210"/>
      <c r="Q77" s="77"/>
      <c r="R77" s="231" t="s">
        <v>1</v>
      </c>
      <c r="S77" s="243"/>
      <c r="U77" s="248"/>
      <c r="V77" s="79"/>
      <c r="W77" s="233"/>
      <c r="X77" s="226"/>
      <c r="Y77" s="233"/>
      <c r="Z77" s="247"/>
      <c r="AA77" s="79"/>
      <c r="AB77" s="79"/>
      <c r="AC77" s="169"/>
      <c r="AD77" s="79"/>
      <c r="AE77" s="154"/>
    </row>
    <row r="78" spans="1:35">
      <c r="A78" s="2" t="s">
        <v>16</v>
      </c>
      <c r="B78" s="77" t="s">
        <v>14</v>
      </c>
      <c r="C78" s="210" t="s">
        <v>173</v>
      </c>
      <c r="D78" s="77" t="s">
        <v>174</v>
      </c>
      <c r="E78" s="210" t="s">
        <v>173</v>
      </c>
      <c r="F78" s="77" t="s">
        <v>174</v>
      </c>
      <c r="G78" s="231" t="s">
        <v>24</v>
      </c>
      <c r="H78" s="243"/>
      <c r="I78" s="338" t="s">
        <v>175</v>
      </c>
      <c r="J78" s="338"/>
      <c r="K78" s="248"/>
      <c r="L78" s="2" t="s">
        <v>16</v>
      </c>
      <c r="M78" s="77" t="s">
        <v>14</v>
      </c>
      <c r="N78" s="210" t="s">
        <v>318</v>
      </c>
      <c r="O78" s="77" t="s">
        <v>319</v>
      </c>
      <c r="P78" s="210" t="s">
        <v>318</v>
      </c>
      <c r="Q78" s="77" t="s">
        <v>319</v>
      </c>
      <c r="R78" s="231" t="s">
        <v>24</v>
      </c>
      <c r="S78" s="243"/>
      <c r="T78" s="69" t="s">
        <v>175</v>
      </c>
      <c r="U78" s="69"/>
      <c r="V78" s="79"/>
      <c r="W78" s="233"/>
      <c r="X78" s="226"/>
      <c r="Y78" s="233"/>
      <c r="Z78" s="247"/>
      <c r="AA78" s="79"/>
      <c r="AB78" s="79"/>
      <c r="AC78" s="169"/>
      <c r="AD78" s="79"/>
      <c r="AE78" s="154"/>
    </row>
    <row r="79" spans="1:35">
      <c r="A79" s="77" t="s">
        <v>22</v>
      </c>
      <c r="B79" s="307" t="s">
        <v>21</v>
      </c>
      <c r="C79" s="208" t="s">
        <v>21</v>
      </c>
      <c r="D79" s="307" t="s">
        <v>21</v>
      </c>
      <c r="E79" s="208" t="s">
        <v>36</v>
      </c>
      <c r="F79" s="307" t="s">
        <v>36</v>
      </c>
      <c r="G79" s="236" t="s">
        <v>168</v>
      </c>
      <c r="H79" s="243"/>
      <c r="I79" s="339" t="s">
        <v>418</v>
      </c>
      <c r="J79" s="339"/>
      <c r="K79" s="248"/>
      <c r="L79" s="77" t="s">
        <v>22</v>
      </c>
      <c r="M79" s="307" t="s">
        <v>21</v>
      </c>
      <c r="N79" s="208" t="s">
        <v>21</v>
      </c>
      <c r="O79" s="307" t="s">
        <v>21</v>
      </c>
      <c r="P79" s="208" t="s">
        <v>36</v>
      </c>
      <c r="Q79" s="307" t="s">
        <v>36</v>
      </c>
      <c r="R79" s="236" t="s">
        <v>168</v>
      </c>
      <c r="S79" s="243"/>
      <c r="T79" s="87" t="str">
        <f>X62</f>
        <v>December 2017 Blocking</v>
      </c>
      <c r="U79" s="87"/>
      <c r="V79" s="79"/>
      <c r="W79" s="233"/>
      <c r="X79" s="226"/>
      <c r="Y79" s="233"/>
      <c r="Z79" s="247"/>
      <c r="AA79" s="79"/>
      <c r="AB79" s="79"/>
      <c r="AC79" s="169"/>
      <c r="AD79" s="79"/>
      <c r="AE79" s="154"/>
    </row>
    <row r="80" spans="1:35">
      <c r="A80" s="237">
        <v>42917</v>
      </c>
      <c r="B80" s="169">
        <f>TempAdjustmnts!G5</f>
        <v>-3164.4054790552359</v>
      </c>
      <c r="C80" s="229">
        <f>$B80*$J$80/$J$82</f>
        <v>-1427.6933401572901</v>
      </c>
      <c r="D80" s="169">
        <f>$B80*$J$81/$J$82</f>
        <v>-1736.7121388979458</v>
      </c>
      <c r="E80" s="351">
        <v>5.7729999999999997E-2</v>
      </c>
      <c r="F80" s="356">
        <v>5.2880000000000003E-2</v>
      </c>
      <c r="G80" s="250">
        <f>(C80*E80)+(D80*F80)</f>
        <v>-174.25807443220373</v>
      </c>
      <c r="H80" s="243"/>
      <c r="I80" s="342" t="s">
        <v>176</v>
      </c>
      <c r="J80" s="343">
        <v>379733365</v>
      </c>
      <c r="K80" s="248"/>
      <c r="L80" s="237">
        <v>42917</v>
      </c>
      <c r="M80" s="169">
        <f>TempAdjustmnts!H5</f>
        <v>-841.76873941530584</v>
      </c>
      <c r="N80" s="229">
        <f>M80*$U$80/$U$82</f>
        <v>-551.89911720294799</v>
      </c>
      <c r="O80" s="169">
        <f>M80*$U$81/$U$82</f>
        <v>-289.86962221235785</v>
      </c>
      <c r="P80" s="362">
        <v>4.7410000000000001E-2</v>
      </c>
      <c r="Q80" s="363">
        <v>4.6879999999999998E-2</v>
      </c>
      <c r="R80" s="250">
        <f>(N80*P80)+(O80*Q80)</f>
        <v>-39.754625035907097</v>
      </c>
      <c r="S80" s="243"/>
      <c r="T80" s="364" t="s">
        <v>318</v>
      </c>
      <c r="U80" s="350">
        <v>133427742</v>
      </c>
      <c r="V80" s="79"/>
      <c r="W80" s="233"/>
      <c r="X80" s="226"/>
      <c r="Y80" s="233"/>
      <c r="Z80" s="247"/>
      <c r="AA80" s="79"/>
      <c r="AB80" s="79"/>
      <c r="AC80" s="169"/>
      <c r="AD80" s="79"/>
      <c r="AE80" s="154"/>
    </row>
    <row r="81" spans="1:35">
      <c r="A81" s="237">
        <v>42948</v>
      </c>
      <c r="B81" s="169">
        <f>TempAdjustmnts!G6</f>
        <v>-3455.5827004332054</v>
      </c>
      <c r="C81" s="229">
        <f t="shared" ref="C81:C91" si="25">$B81*$J$80/$J$82</f>
        <v>-1559.0645511219946</v>
      </c>
      <c r="D81" s="169">
        <f t="shared" ref="D81:D91" si="26">$B81*$J$81/$J$82</f>
        <v>-1896.5181493112109</v>
      </c>
      <c r="E81" s="351">
        <v>5.7729999999999997E-2</v>
      </c>
      <c r="F81" s="356">
        <v>5.2880000000000003E-2</v>
      </c>
      <c r="G81" s="250">
        <f t="shared" ref="G81:G91" si="27">(C81*E81)+(D81*F81)</f>
        <v>-190.29267627184959</v>
      </c>
      <c r="H81" s="243"/>
      <c r="I81" s="346" t="s">
        <v>177</v>
      </c>
      <c r="J81" s="347">
        <v>461925209</v>
      </c>
      <c r="K81" s="248"/>
      <c r="L81" s="237">
        <v>42948</v>
      </c>
      <c r="M81" s="169">
        <f>TempAdjustmnts!H6</f>
        <v>-871.72829703624006</v>
      </c>
      <c r="N81" s="229">
        <f t="shared" ref="N81:N91" si="28">M81*$U$80/$U$82</f>
        <v>-571.54186779293718</v>
      </c>
      <c r="O81" s="169">
        <f t="shared" ref="O81:O91" si="29">M81*$U$81/$U$82</f>
        <v>-300.18642924330288</v>
      </c>
      <c r="P81" s="351">
        <v>4.7410000000000001E-2</v>
      </c>
      <c r="Q81" s="357">
        <v>4.6879999999999998E-2</v>
      </c>
      <c r="R81" s="250">
        <f t="shared" ref="R81:R91" si="30">(N81*P81)+(O81*Q81)</f>
        <v>-41.169539754989188</v>
      </c>
      <c r="S81" s="243"/>
      <c r="T81" s="365" t="s">
        <v>319</v>
      </c>
      <c r="U81" s="347">
        <v>70079201</v>
      </c>
      <c r="V81" s="79"/>
      <c r="W81" s="233"/>
      <c r="X81" s="226"/>
      <c r="Y81" s="233"/>
      <c r="Z81" s="247"/>
      <c r="AA81" s="79"/>
      <c r="AB81" s="79"/>
      <c r="AC81" s="169"/>
      <c r="AD81" s="79"/>
      <c r="AE81" s="154"/>
    </row>
    <row r="82" spans="1:35">
      <c r="A82" s="237">
        <v>42979</v>
      </c>
      <c r="B82" s="169">
        <f>TempAdjustmnts!G7</f>
        <v>-1741.9221224785088</v>
      </c>
      <c r="C82" s="229">
        <f t="shared" si="25"/>
        <v>-785.90769412955126</v>
      </c>
      <c r="D82" s="169">
        <f t="shared" si="26"/>
        <v>-956.01442834895749</v>
      </c>
      <c r="E82" s="344">
        <f>ROUND((E81+E83)/2,5)</f>
        <v>5.8430000000000003E-2</v>
      </c>
      <c r="F82" s="355">
        <f t="shared" ref="F82" si="31">ROUND((F81+F83)/2,5)</f>
        <v>5.3490000000000003E-2</v>
      </c>
      <c r="G82" s="250">
        <f t="shared" si="27"/>
        <v>-97.057798340375427</v>
      </c>
      <c r="H82" s="243"/>
      <c r="I82" s="349" t="s">
        <v>8</v>
      </c>
      <c r="J82" s="350">
        <v>841658574</v>
      </c>
      <c r="K82" s="248"/>
      <c r="L82" s="237">
        <v>42979</v>
      </c>
      <c r="M82" s="169">
        <f>TempAdjustmnts!H7</f>
        <v>-439.91759102925351</v>
      </c>
      <c r="N82" s="229">
        <f t="shared" si="28"/>
        <v>-288.42854190538725</v>
      </c>
      <c r="O82" s="169">
        <f t="shared" si="29"/>
        <v>-151.48904912386627</v>
      </c>
      <c r="P82" s="344">
        <f>ROUND((P81+P83)/2,5)</f>
        <v>4.7969999999999999E-2</v>
      </c>
      <c r="Q82" s="345">
        <f>ROUND((Q81+Q83)/2,5)</f>
        <v>4.743E-2</v>
      </c>
      <c r="R82" s="250">
        <f t="shared" si="30"/>
        <v>-21.021042755146404</v>
      </c>
      <c r="S82" s="243"/>
      <c r="T82" s="349" t="s">
        <v>8</v>
      </c>
      <c r="U82" s="350">
        <v>203506943</v>
      </c>
      <c r="V82" s="79"/>
      <c r="W82" s="233"/>
      <c r="X82" s="226"/>
      <c r="Y82" s="233"/>
      <c r="Z82" s="247"/>
      <c r="AA82" s="79"/>
      <c r="AB82" s="79"/>
      <c r="AC82" s="169"/>
      <c r="AD82" s="79"/>
      <c r="AE82" s="154"/>
    </row>
    <row r="83" spans="1:35">
      <c r="A83" s="237">
        <v>43009</v>
      </c>
      <c r="B83" s="169">
        <f>TempAdjustmnts!G8</f>
        <v>492.95325228444869</v>
      </c>
      <c r="C83" s="229">
        <f t="shared" si="25"/>
        <v>222.40704611139341</v>
      </c>
      <c r="D83" s="169">
        <f t="shared" si="26"/>
        <v>270.54620617305528</v>
      </c>
      <c r="E83" s="351">
        <v>5.9119999999999999E-2</v>
      </c>
      <c r="F83" s="345">
        <v>5.4100000000000002E-2</v>
      </c>
      <c r="G83" s="250">
        <f t="shared" si="27"/>
        <v>27.785254320067871</v>
      </c>
      <c r="H83" s="243"/>
      <c r="J83" s="248"/>
      <c r="K83" s="248"/>
      <c r="L83" s="237">
        <v>43009</v>
      </c>
      <c r="M83" s="169">
        <f>TempAdjustmnts!H8</f>
        <v>122.73424582602111</v>
      </c>
      <c r="N83" s="229">
        <f t="shared" si="28"/>
        <v>80.469752261174307</v>
      </c>
      <c r="O83" s="169">
        <f t="shared" si="29"/>
        <v>42.264493564846795</v>
      </c>
      <c r="P83" s="354">
        <v>4.8520000000000001E-2</v>
      </c>
      <c r="Q83" s="348">
        <v>4.7980000000000002E-2</v>
      </c>
      <c r="R83" s="250">
        <f t="shared" si="30"/>
        <v>5.9322427809535263</v>
      </c>
      <c r="S83" s="243"/>
      <c r="U83" s="248"/>
      <c r="V83" s="79"/>
      <c r="W83" s="233"/>
      <c r="X83" s="226"/>
      <c r="Y83" s="233"/>
      <c r="Z83" s="247"/>
      <c r="AA83" s="79"/>
      <c r="AB83" s="79"/>
      <c r="AC83" s="169"/>
      <c r="AD83" s="79"/>
      <c r="AE83" s="154"/>
    </row>
    <row r="84" spans="1:35">
      <c r="A84" s="237">
        <v>43040</v>
      </c>
      <c r="B84" s="169">
        <f>TempAdjustmnts!G9</f>
        <v>1521.747800140608</v>
      </c>
      <c r="C84" s="229">
        <f t="shared" si="25"/>
        <v>686.5710523002889</v>
      </c>
      <c r="D84" s="169">
        <f t="shared" si="26"/>
        <v>835.17674784031919</v>
      </c>
      <c r="E84" s="351">
        <v>5.9119999999999999E-2</v>
      </c>
      <c r="F84" s="345">
        <v>5.4100000000000002E-2</v>
      </c>
      <c r="G84" s="250">
        <f t="shared" si="27"/>
        <v>85.773142670154357</v>
      </c>
      <c r="H84" s="243"/>
      <c r="J84" s="248"/>
      <c r="K84" s="248"/>
      <c r="L84" s="237">
        <v>43040</v>
      </c>
      <c r="M84" s="169">
        <f>TempAdjustmnts!H9</f>
        <v>386.98075304000537</v>
      </c>
      <c r="N84" s="229">
        <f t="shared" si="28"/>
        <v>253.72091641899192</v>
      </c>
      <c r="O84" s="169">
        <f t="shared" si="29"/>
        <v>133.25983662101345</v>
      </c>
      <c r="P84" s="354">
        <v>4.8520000000000001E-2</v>
      </c>
      <c r="Q84" s="348">
        <v>4.7980000000000002E-2</v>
      </c>
      <c r="R84" s="250">
        <f t="shared" si="30"/>
        <v>18.704345825725714</v>
      </c>
      <c r="S84" s="243"/>
      <c r="U84" s="248"/>
      <c r="V84" s="79"/>
      <c r="W84" s="233"/>
      <c r="X84" s="226"/>
      <c r="Y84" s="233"/>
      <c r="Z84" s="247"/>
      <c r="AA84" s="79"/>
      <c r="AB84" s="79"/>
      <c r="AC84" s="169"/>
      <c r="AD84" s="79"/>
      <c r="AE84" s="154"/>
    </row>
    <row r="85" spans="1:35">
      <c r="A85" s="237">
        <v>43070</v>
      </c>
      <c r="B85" s="169">
        <f>TempAdjustmnts!G10</f>
        <v>891.85290672700228</v>
      </c>
      <c r="C85" s="229">
        <f t="shared" si="25"/>
        <v>402.37967724484406</v>
      </c>
      <c r="D85" s="169">
        <f t="shared" si="26"/>
        <v>489.47322948215822</v>
      </c>
      <c r="E85" s="351">
        <v>5.9119999999999999E-2</v>
      </c>
      <c r="F85" s="345">
        <v>5.4100000000000002E-2</v>
      </c>
      <c r="G85" s="250">
        <f t="shared" si="27"/>
        <v>50.269188233699943</v>
      </c>
      <c r="H85" s="243"/>
      <c r="J85" s="248"/>
      <c r="K85" s="248"/>
      <c r="L85" s="237">
        <v>43070</v>
      </c>
      <c r="M85" s="169">
        <f>TempAdjustmnts!H10</f>
        <v>218.05930685138526</v>
      </c>
      <c r="N85" s="229">
        <f t="shared" si="28"/>
        <v>142.96888600633869</v>
      </c>
      <c r="O85" s="169">
        <f t="shared" si="29"/>
        <v>75.09042084504658</v>
      </c>
      <c r="P85" s="354">
        <v>4.8520000000000001E-2</v>
      </c>
      <c r="Q85" s="348">
        <v>4.7980000000000002E-2</v>
      </c>
      <c r="R85" s="250">
        <f t="shared" si="30"/>
        <v>10.539688741172888</v>
      </c>
      <c r="S85" s="243"/>
      <c r="U85" s="248"/>
      <c r="V85" s="79"/>
      <c r="W85" s="233"/>
      <c r="X85" s="226"/>
      <c r="Y85" s="233"/>
      <c r="Z85" s="247"/>
      <c r="AA85" s="79"/>
      <c r="AB85" s="79"/>
      <c r="AC85" s="169"/>
      <c r="AD85" s="79"/>
      <c r="AE85" s="154"/>
    </row>
    <row r="86" spans="1:35">
      <c r="A86" s="237">
        <v>43101</v>
      </c>
      <c r="B86" s="169">
        <f>TempAdjustmnts!G11</f>
        <v>2969.467178872163</v>
      </c>
      <c r="C86" s="229">
        <f t="shared" si="25"/>
        <v>1339.7425023916924</v>
      </c>
      <c r="D86" s="169">
        <f t="shared" si="26"/>
        <v>1629.7246764804706</v>
      </c>
      <c r="E86" s="351">
        <v>5.9119999999999999E-2</v>
      </c>
      <c r="F86" s="345">
        <v>5.4100000000000002E-2</v>
      </c>
      <c r="G86" s="250">
        <f t="shared" si="27"/>
        <v>167.37368173899031</v>
      </c>
      <c r="H86" s="243"/>
      <c r="J86" s="248"/>
      <c r="K86" s="248"/>
      <c r="L86" s="237">
        <v>43101</v>
      </c>
      <c r="M86" s="169">
        <f>TempAdjustmnts!H11</f>
        <v>639.97199993093318</v>
      </c>
      <c r="N86" s="229">
        <f t="shared" si="28"/>
        <v>419.59265681666977</v>
      </c>
      <c r="O86" s="169">
        <f t="shared" si="29"/>
        <v>220.37934311426343</v>
      </c>
      <c r="P86" s="354">
        <v>4.8520000000000001E-2</v>
      </c>
      <c r="Q86" s="348">
        <v>4.7980000000000002E-2</v>
      </c>
      <c r="R86" s="250">
        <f t="shared" si="30"/>
        <v>30.932436591367178</v>
      </c>
      <c r="S86" s="243"/>
      <c r="U86" s="248"/>
      <c r="V86" s="79"/>
      <c r="W86" s="233"/>
      <c r="X86" s="226"/>
      <c r="Y86" s="233"/>
      <c r="Z86" s="247"/>
      <c r="AA86" s="79"/>
      <c r="AB86" s="79"/>
      <c r="AC86" s="169"/>
      <c r="AD86" s="79"/>
      <c r="AE86" s="154"/>
    </row>
    <row r="87" spans="1:35">
      <c r="A87" s="237">
        <v>43132</v>
      </c>
      <c r="B87" s="169">
        <f>TempAdjustmnts!G12</f>
        <v>-74.852799029921101</v>
      </c>
      <c r="C87" s="229">
        <f t="shared" si="25"/>
        <v>-33.771538879731857</v>
      </c>
      <c r="D87" s="169">
        <f t="shared" si="26"/>
        <v>-41.081260150189237</v>
      </c>
      <c r="E87" s="351">
        <v>5.9119999999999999E-2</v>
      </c>
      <c r="F87" s="345">
        <v>5.4100000000000002E-2</v>
      </c>
      <c r="G87" s="250">
        <f t="shared" si="27"/>
        <v>-4.2190695526949851</v>
      </c>
      <c r="H87" s="243"/>
      <c r="J87" s="248"/>
      <c r="K87" s="248"/>
      <c r="L87" s="237">
        <v>43132</v>
      </c>
      <c r="M87" s="169">
        <f>TempAdjustmnts!H12</f>
        <v>-18.92179403874005</v>
      </c>
      <c r="N87" s="229">
        <f t="shared" si="28"/>
        <v>-12.40592687384698</v>
      </c>
      <c r="O87" s="169">
        <f t="shared" si="29"/>
        <v>-6.5158671648930708</v>
      </c>
      <c r="P87" s="354">
        <v>4.8520000000000001E-2</v>
      </c>
      <c r="Q87" s="348">
        <v>4.7980000000000002E-2</v>
      </c>
      <c r="R87" s="250">
        <f t="shared" si="30"/>
        <v>-0.91456687849062501</v>
      </c>
      <c r="S87" s="243"/>
      <c r="U87" s="248"/>
      <c r="V87" s="79"/>
      <c r="W87" s="233"/>
      <c r="X87" s="226"/>
      <c r="Y87" s="233"/>
      <c r="Z87" s="247"/>
      <c r="AA87" s="79"/>
      <c r="AB87" s="79"/>
      <c r="AC87" s="169"/>
      <c r="AD87" s="79"/>
      <c r="AE87" s="154"/>
    </row>
    <row r="88" spans="1:35">
      <c r="A88" s="237">
        <v>43160</v>
      </c>
      <c r="B88" s="169">
        <f>TempAdjustmnts!G13</f>
        <v>301.20449355611271</v>
      </c>
      <c r="C88" s="229">
        <f t="shared" si="25"/>
        <v>135.89524235177993</v>
      </c>
      <c r="D88" s="169">
        <f t="shared" si="26"/>
        <v>165.30925120433278</v>
      </c>
      <c r="E88" s="351">
        <v>5.9119999999999999E-2</v>
      </c>
      <c r="F88" s="345">
        <v>5.4100000000000002E-2</v>
      </c>
      <c r="G88" s="250">
        <f t="shared" si="27"/>
        <v>16.977357217991631</v>
      </c>
      <c r="H88" s="243"/>
      <c r="J88" s="248"/>
      <c r="K88" s="248"/>
      <c r="L88" s="237">
        <v>43160</v>
      </c>
      <c r="M88" s="169">
        <f>TempAdjustmnts!H13</f>
        <v>73.879117822729086</v>
      </c>
      <c r="N88" s="229">
        <f t="shared" si="28"/>
        <v>48.438268133381072</v>
      </c>
      <c r="O88" s="169">
        <f t="shared" si="29"/>
        <v>25.440849689348013</v>
      </c>
      <c r="P88" s="354">
        <v>4.8520000000000001E-2</v>
      </c>
      <c r="Q88" s="348">
        <v>4.7980000000000002E-2</v>
      </c>
      <c r="R88" s="250">
        <f t="shared" si="30"/>
        <v>3.5708767379265676</v>
      </c>
      <c r="S88" s="243"/>
      <c r="U88" s="248"/>
      <c r="V88" s="79"/>
      <c r="W88" s="233"/>
      <c r="X88" s="226"/>
      <c r="Y88" s="233"/>
      <c r="Z88" s="247"/>
      <c r="AA88" s="79"/>
      <c r="AB88" s="79"/>
      <c r="AC88" s="169"/>
      <c r="AD88" s="79"/>
      <c r="AE88" s="154"/>
    </row>
    <row r="89" spans="1:35">
      <c r="A89" s="237">
        <v>43191</v>
      </c>
      <c r="B89" s="169">
        <f>TempAdjustmnts!G14</f>
        <v>-99.269428535979557</v>
      </c>
      <c r="C89" s="229">
        <f t="shared" si="25"/>
        <v>-44.787655355833806</v>
      </c>
      <c r="D89" s="169">
        <f t="shared" si="26"/>
        <v>-54.481773180145758</v>
      </c>
      <c r="E89" s="351">
        <v>5.9119999999999999E-2</v>
      </c>
      <c r="F89" s="345">
        <v>5.4100000000000002E-2</v>
      </c>
      <c r="G89" s="250">
        <f t="shared" si="27"/>
        <v>-5.5953101136827801</v>
      </c>
      <c r="H89" s="243"/>
      <c r="J89" s="248"/>
      <c r="K89" s="248"/>
      <c r="L89" s="237">
        <v>43191</v>
      </c>
      <c r="M89" s="169">
        <f>TempAdjustmnts!H14</f>
        <v>-26.618144493472638</v>
      </c>
      <c r="N89" s="229">
        <f t="shared" si="28"/>
        <v>-17.451979100259926</v>
      </c>
      <c r="O89" s="169">
        <f t="shared" si="29"/>
        <v>-9.1661653932127134</v>
      </c>
      <c r="P89" s="354">
        <v>4.8520000000000001E-2</v>
      </c>
      <c r="Q89" s="348">
        <v>4.7980000000000002E-2</v>
      </c>
      <c r="R89" s="250">
        <f t="shared" si="30"/>
        <v>-1.2865626415109577</v>
      </c>
      <c r="S89" s="243"/>
      <c r="U89" s="248"/>
      <c r="V89" s="79"/>
      <c r="W89" s="233"/>
      <c r="X89" s="226"/>
      <c r="Y89" s="233"/>
      <c r="Z89" s="247"/>
      <c r="AA89" s="79"/>
      <c r="AB89" s="79"/>
      <c r="AC89" s="169"/>
      <c r="AD89" s="79"/>
      <c r="AE89" s="154"/>
    </row>
    <row r="90" spans="1:35">
      <c r="A90" s="237">
        <v>43221</v>
      </c>
      <c r="B90" s="169">
        <f>TempAdjustmnts!G15</f>
        <v>-4430.0842375661632</v>
      </c>
      <c r="C90" s="229">
        <f t="shared" si="25"/>
        <v>-1998.7330334787969</v>
      </c>
      <c r="D90" s="169">
        <f t="shared" si="26"/>
        <v>-2431.3512040873661</v>
      </c>
      <c r="E90" s="351">
        <v>5.9119999999999999E-2</v>
      </c>
      <c r="F90" s="345">
        <v>5.4100000000000002E-2</v>
      </c>
      <c r="G90" s="250">
        <f t="shared" si="27"/>
        <v>-249.701197080393</v>
      </c>
      <c r="H90" s="243"/>
      <c r="J90" s="248"/>
      <c r="K90" s="248"/>
      <c r="L90" s="237">
        <v>43221</v>
      </c>
      <c r="M90" s="169">
        <f>TempAdjustmnts!H15</f>
        <v>-1018.86299911793</v>
      </c>
      <c r="N90" s="229">
        <f t="shared" si="28"/>
        <v>-668.00958913550869</v>
      </c>
      <c r="O90" s="169">
        <f t="shared" si="29"/>
        <v>-350.85340998242128</v>
      </c>
      <c r="P90" s="354">
        <v>4.8520000000000001E-2</v>
      </c>
      <c r="Q90" s="348">
        <v>4.7980000000000002E-2</v>
      </c>
      <c r="R90" s="250">
        <f t="shared" si="30"/>
        <v>-49.245771875811457</v>
      </c>
      <c r="S90" s="243"/>
      <c r="U90" s="248"/>
      <c r="V90" s="79"/>
      <c r="W90" s="233"/>
      <c r="X90" s="226"/>
      <c r="Y90" s="233"/>
      <c r="Z90" s="247"/>
      <c r="AA90" s="79"/>
      <c r="AB90" s="79"/>
      <c r="AC90" s="169"/>
      <c r="AD90" s="79"/>
      <c r="AE90" s="154"/>
    </row>
    <row r="91" spans="1:35">
      <c r="A91" s="237">
        <v>43252</v>
      </c>
      <c r="B91" s="277">
        <f>TempAdjustmnts!G16</f>
        <v>417.93674452466865</v>
      </c>
      <c r="C91" s="278">
        <f t="shared" si="25"/>
        <v>188.56164632322481</v>
      </c>
      <c r="D91" s="279">
        <f t="shared" si="26"/>
        <v>229.37509820144385</v>
      </c>
      <c r="E91" s="409">
        <v>5.9119999999999999E-2</v>
      </c>
      <c r="F91" s="361">
        <v>5.4100000000000002E-2</v>
      </c>
      <c r="G91" s="251">
        <f t="shared" si="27"/>
        <v>23.556957343327163</v>
      </c>
      <c r="H91" s="243"/>
      <c r="J91" s="248"/>
      <c r="K91" s="248"/>
      <c r="L91" s="237">
        <v>43252</v>
      </c>
      <c r="M91" s="277">
        <f>TempAdjustmnts!H16</f>
        <v>107.82045518347411</v>
      </c>
      <c r="N91" s="278">
        <f t="shared" si="28"/>
        <v>70.691641594474476</v>
      </c>
      <c r="O91" s="279">
        <f t="shared" si="29"/>
        <v>37.128813588999634</v>
      </c>
      <c r="P91" s="359">
        <v>4.8520000000000001E-2</v>
      </c>
      <c r="Q91" s="361">
        <v>4.7980000000000002E-2</v>
      </c>
      <c r="R91" s="251">
        <f t="shared" si="30"/>
        <v>5.2113989261641045</v>
      </c>
      <c r="S91" s="243"/>
      <c r="U91" s="248"/>
      <c r="V91" s="79"/>
      <c r="W91" s="233"/>
      <c r="X91" s="226"/>
      <c r="Y91" s="233"/>
      <c r="Z91" s="247"/>
      <c r="AA91" s="79"/>
      <c r="AB91" s="79"/>
      <c r="AC91" s="169"/>
      <c r="AD91" s="79"/>
      <c r="AE91" s="154"/>
    </row>
    <row r="92" spans="1:35">
      <c r="A92" s="79" t="s">
        <v>8</v>
      </c>
      <c r="B92" s="169">
        <f>SUM(B80:B91)</f>
        <v>-6370.9543909940103</v>
      </c>
      <c r="C92" s="229">
        <f>SUM(C80:C91)</f>
        <v>-2874.4006463999744</v>
      </c>
      <c r="D92" s="169">
        <f>SUM(D80:D91)</f>
        <v>-3496.5537445940358</v>
      </c>
      <c r="E92" s="252" t="s">
        <v>29</v>
      </c>
      <c r="F92" s="253" t="s">
        <v>29</v>
      </c>
      <c r="G92" s="254">
        <f>SUM(G80:G91)</f>
        <v>-349.38854426696827</v>
      </c>
      <c r="H92" s="243"/>
      <c r="J92" s="248"/>
      <c r="K92" s="248"/>
      <c r="L92" s="79" t="s">
        <v>8</v>
      </c>
      <c r="M92" s="169">
        <f>SUM(M80:M91)</f>
        <v>-1668.3716864763942</v>
      </c>
      <c r="N92" s="229">
        <f>SUM(N80:N91)</f>
        <v>-1093.8549007798576</v>
      </c>
      <c r="O92" s="169">
        <f>SUM(O80:O91)</f>
        <v>-574.51678569653609</v>
      </c>
      <c r="P92" s="252" t="s">
        <v>29</v>
      </c>
      <c r="Q92" s="253" t="s">
        <v>29</v>
      </c>
      <c r="R92" s="254">
        <f>SUM(R80:R91)</f>
        <v>-78.501119338545735</v>
      </c>
      <c r="S92" s="253"/>
      <c r="T92" s="309"/>
      <c r="U92" s="243"/>
      <c r="V92" s="79"/>
      <c r="W92" s="233"/>
      <c r="X92" s="226"/>
      <c r="Y92" s="233"/>
      <c r="Z92" s="247"/>
      <c r="AA92" s="79"/>
      <c r="AB92" s="79"/>
      <c r="AC92" s="169"/>
      <c r="AD92" s="79"/>
      <c r="AE92" s="154"/>
    </row>
    <row r="93" spans="1:35">
      <c r="A93" s="79"/>
      <c r="B93" s="169"/>
      <c r="C93" s="226"/>
      <c r="D93" s="169"/>
      <c r="E93" s="169"/>
      <c r="F93" s="308"/>
      <c r="G93" s="253"/>
      <c r="H93" s="253"/>
      <c r="I93" s="309"/>
      <c r="J93" s="243"/>
      <c r="L93" s="248"/>
      <c r="M93" s="248"/>
      <c r="N93" s="79"/>
      <c r="O93" s="169"/>
      <c r="P93" s="226"/>
      <c r="Q93" s="169"/>
      <c r="R93" s="169"/>
      <c r="S93" s="308"/>
      <c r="T93" s="253"/>
      <c r="U93" s="79"/>
      <c r="V93" s="154"/>
      <c r="Y93" s="248"/>
      <c r="Z93" s="79"/>
      <c r="AA93" s="233"/>
      <c r="AB93" s="226"/>
      <c r="AC93" s="233"/>
      <c r="AD93" s="247"/>
      <c r="AE93" s="79"/>
      <c r="AF93" s="79"/>
      <c r="AG93" s="169"/>
      <c r="AH93" s="79"/>
      <c r="AI93" s="154"/>
    </row>
    <row r="94" spans="1:35">
      <c r="A94" s="79"/>
      <c r="B94" s="169"/>
      <c r="C94" s="169"/>
      <c r="D94" s="169"/>
      <c r="E94" s="169"/>
      <c r="F94" s="169"/>
      <c r="G94" s="169"/>
      <c r="H94" s="169"/>
      <c r="I94" s="169"/>
      <c r="J94" s="169"/>
      <c r="L94" s="248"/>
      <c r="M94" s="79"/>
      <c r="N94" s="233"/>
      <c r="O94" s="226"/>
      <c r="P94" s="233"/>
      <c r="Q94" s="247"/>
      <c r="R94" s="79"/>
      <c r="S94" s="79"/>
      <c r="T94" s="169"/>
    </row>
    <row r="95" spans="1:35">
      <c r="A95" s="131" t="s">
        <v>284</v>
      </c>
      <c r="B95" s="77" t="s">
        <v>11</v>
      </c>
      <c r="C95" s="231"/>
      <c r="D95" s="231" t="s">
        <v>1</v>
      </c>
      <c r="E95" s="169"/>
      <c r="F95" s="169"/>
      <c r="G95" s="169"/>
      <c r="H95" s="169"/>
      <c r="J95" s="248"/>
      <c r="K95" s="79"/>
      <c r="L95" s="233"/>
      <c r="M95" s="226"/>
      <c r="N95" s="233"/>
      <c r="O95" s="247"/>
      <c r="P95" s="79"/>
      <c r="Q95" s="79"/>
      <c r="R95" s="169"/>
      <c r="S95" s="79"/>
      <c r="T95" s="154"/>
    </row>
    <row r="96" spans="1:35">
      <c r="A96" s="2" t="s">
        <v>16</v>
      </c>
      <c r="B96" s="77" t="s">
        <v>14</v>
      </c>
      <c r="C96" s="231" t="s">
        <v>173</v>
      </c>
      <c r="D96" s="231" t="s">
        <v>24</v>
      </c>
      <c r="H96" s="69"/>
      <c r="I96" s="69"/>
    </row>
    <row r="97" spans="1:20">
      <c r="A97" s="77" t="s">
        <v>22</v>
      </c>
      <c r="B97" s="234" t="s">
        <v>21</v>
      </c>
      <c r="C97" s="235" t="s">
        <v>36</v>
      </c>
      <c r="D97" s="236" t="s">
        <v>168</v>
      </c>
      <c r="E97" s="79"/>
      <c r="H97" s="69"/>
      <c r="I97" s="69"/>
      <c r="J97" s="79"/>
      <c r="K97" s="232"/>
      <c r="L97" s="232"/>
      <c r="M97" s="232"/>
      <c r="N97" s="232"/>
    </row>
    <row r="98" spans="1:20">
      <c r="A98" s="237">
        <v>42917</v>
      </c>
      <c r="B98" s="226">
        <f>TempAdjustmnts!I5</f>
        <v>-3946.2637825000002</v>
      </c>
      <c r="C98" s="351">
        <v>7.0349999999999996E-2</v>
      </c>
      <c r="D98" s="238">
        <f>ROUND((B98*C98)*1000,2)/1000</f>
        <v>-277.61965999999995</v>
      </c>
      <c r="E98" s="169"/>
      <c r="H98" s="69"/>
      <c r="I98" s="69"/>
      <c r="J98" s="79"/>
      <c r="K98" s="233"/>
      <c r="L98" s="233"/>
      <c r="M98" s="233"/>
      <c r="N98" s="71"/>
    </row>
    <row r="99" spans="1:20">
      <c r="A99" s="237">
        <v>42948</v>
      </c>
      <c r="B99" s="226">
        <f>TempAdjustmnts!I6</f>
        <v>-4288.1910113000004</v>
      </c>
      <c r="C99" s="351">
        <v>7.0349999999999996E-2</v>
      </c>
      <c r="D99" s="238">
        <f t="shared" ref="D99:D109" si="32">ROUND((B99*C99)*1000,2)/1000</f>
        <v>-301.67424</v>
      </c>
      <c r="E99" s="169"/>
      <c r="H99" s="69"/>
      <c r="I99" s="69"/>
      <c r="J99" s="79"/>
      <c r="K99" s="71"/>
      <c r="L99" s="71"/>
      <c r="M99" s="71"/>
      <c r="N99" s="71"/>
    </row>
    <row r="100" spans="1:20">
      <c r="A100" s="237">
        <v>42979</v>
      </c>
      <c r="B100" s="226">
        <f>TempAdjustmnts!I7</f>
        <v>-2038.3749633</v>
      </c>
      <c r="C100" s="351">
        <f>ROUND((C99+C101)/2,5)</f>
        <v>7.1190000000000003E-2</v>
      </c>
      <c r="D100" s="238">
        <f t="shared" si="32"/>
        <v>-145.11190999999999</v>
      </c>
      <c r="E100" s="169"/>
      <c r="H100" s="69"/>
      <c r="I100" s="69"/>
      <c r="J100" s="79"/>
      <c r="K100" s="241"/>
      <c r="L100" s="226"/>
      <c r="M100" s="233"/>
      <c r="N100" s="233"/>
    </row>
    <row r="101" spans="1:20">
      <c r="A101" s="237">
        <v>43009</v>
      </c>
      <c r="B101" s="226">
        <f>TempAdjustmnts!I8</f>
        <v>188.6355078</v>
      </c>
      <c r="C101" s="354">
        <v>7.2029999999999997E-2</v>
      </c>
      <c r="D101" s="238">
        <f t="shared" si="32"/>
        <v>13.58742</v>
      </c>
      <c r="E101" s="169"/>
      <c r="H101" s="69"/>
      <c r="I101" s="69"/>
      <c r="J101" s="79"/>
      <c r="K101" s="241"/>
      <c r="L101" s="226"/>
      <c r="M101" s="233"/>
      <c r="N101" s="233"/>
    </row>
    <row r="102" spans="1:20">
      <c r="A102" s="237">
        <v>43040</v>
      </c>
      <c r="B102" s="226">
        <f>TempAdjustmnts!I9</f>
        <v>0</v>
      </c>
      <c r="C102" s="354">
        <v>7.2029999999999997E-2</v>
      </c>
      <c r="D102" s="238">
        <f t="shared" si="32"/>
        <v>0</v>
      </c>
      <c r="E102" s="169"/>
      <c r="G102" s="181"/>
      <c r="H102" s="233"/>
      <c r="I102" s="226"/>
      <c r="J102" s="79"/>
      <c r="K102" s="241"/>
      <c r="L102" s="226"/>
      <c r="M102" s="233"/>
      <c r="N102" s="233"/>
    </row>
    <row r="103" spans="1:20">
      <c r="A103" s="237">
        <v>43070</v>
      </c>
      <c r="B103" s="226">
        <f>TempAdjustmnts!I10</f>
        <v>0</v>
      </c>
      <c r="C103" s="410">
        <v>7.2029999999999997E-2</v>
      </c>
      <c r="D103" s="238">
        <f t="shared" si="32"/>
        <v>0</v>
      </c>
      <c r="E103" s="169"/>
      <c r="H103" s="233"/>
      <c r="I103" s="226"/>
      <c r="J103" s="79"/>
      <c r="K103" s="241"/>
      <c r="L103" s="226"/>
      <c r="M103" s="233"/>
      <c r="N103" s="233"/>
    </row>
    <row r="104" spans="1:20">
      <c r="A104" s="237">
        <v>43101</v>
      </c>
      <c r="B104" s="226">
        <f>TempAdjustmnts!I11</f>
        <v>0</v>
      </c>
      <c r="C104" s="410">
        <v>7.2029999999999997E-2</v>
      </c>
      <c r="D104" s="238">
        <f t="shared" si="32"/>
        <v>0</v>
      </c>
      <c r="E104" s="169"/>
      <c r="J104" s="79"/>
      <c r="K104" s="241"/>
      <c r="L104" s="226"/>
      <c r="M104" s="233"/>
      <c r="N104" s="233"/>
    </row>
    <row r="105" spans="1:20">
      <c r="A105" s="237">
        <v>43132</v>
      </c>
      <c r="B105" s="226">
        <f>TempAdjustmnts!I12</f>
        <v>0</v>
      </c>
      <c r="C105" s="410">
        <v>7.2029999999999997E-2</v>
      </c>
      <c r="D105" s="238">
        <f t="shared" si="32"/>
        <v>0</v>
      </c>
      <c r="E105" s="169"/>
      <c r="J105" s="79"/>
      <c r="K105" s="241"/>
      <c r="L105" s="226"/>
      <c r="M105" s="233"/>
      <c r="N105" s="233"/>
    </row>
    <row r="106" spans="1:20">
      <c r="A106" s="237">
        <v>43160</v>
      </c>
      <c r="B106" s="226">
        <f>TempAdjustmnts!I13</f>
        <v>0</v>
      </c>
      <c r="C106" s="410">
        <v>7.2029999999999997E-2</v>
      </c>
      <c r="D106" s="238">
        <f t="shared" si="32"/>
        <v>0</v>
      </c>
      <c r="E106" s="169"/>
      <c r="J106" s="79"/>
      <c r="K106" s="241"/>
      <c r="L106" s="226"/>
      <c r="M106" s="233"/>
      <c r="N106" s="233"/>
    </row>
    <row r="107" spans="1:20">
      <c r="A107" s="237">
        <v>43191</v>
      </c>
      <c r="B107" s="226">
        <f>TempAdjustmnts!I14</f>
        <v>0</v>
      </c>
      <c r="C107" s="410">
        <v>7.2029999999999997E-2</v>
      </c>
      <c r="D107" s="238">
        <f t="shared" si="32"/>
        <v>0</v>
      </c>
      <c r="E107" s="169"/>
      <c r="J107" s="79"/>
      <c r="K107" s="241"/>
      <c r="L107" s="226"/>
      <c r="M107" s="233"/>
      <c r="N107" s="233"/>
    </row>
    <row r="108" spans="1:20">
      <c r="A108" s="237">
        <v>43221</v>
      </c>
      <c r="B108" s="226">
        <f>TempAdjustmnts!I15</f>
        <v>-5542.9758769999999</v>
      </c>
      <c r="C108" s="410">
        <v>7.2029999999999997E-2</v>
      </c>
      <c r="D108" s="238">
        <f t="shared" si="32"/>
        <v>-399.26054999999997</v>
      </c>
      <c r="E108" s="169"/>
      <c r="J108" s="79"/>
      <c r="K108" s="241"/>
      <c r="L108" s="226"/>
      <c r="M108" s="233"/>
      <c r="N108" s="233"/>
    </row>
    <row r="109" spans="1:20">
      <c r="A109" s="237">
        <v>43252</v>
      </c>
      <c r="B109" s="279">
        <f>TempAdjustmnts!I16</f>
        <v>102.6441839</v>
      </c>
      <c r="C109" s="366">
        <v>7.2029999999999997E-2</v>
      </c>
      <c r="D109" s="244">
        <f t="shared" si="32"/>
        <v>7.3934600000000001</v>
      </c>
      <c r="E109" s="169"/>
      <c r="J109" s="79"/>
      <c r="K109" s="241"/>
      <c r="L109" s="226"/>
      <c r="M109" s="233"/>
      <c r="N109" s="233"/>
    </row>
    <row r="110" spans="1:20">
      <c r="A110" s="79" t="s">
        <v>8</v>
      </c>
      <c r="B110" s="169">
        <f>SUM(B98:B109)</f>
        <v>-15524.5259424</v>
      </c>
      <c r="C110" s="245" t="s">
        <v>29</v>
      </c>
      <c r="D110" s="246">
        <f>SUM(D98:D109)</f>
        <v>-1102.6854799999999</v>
      </c>
      <c r="E110" s="243"/>
      <c r="J110" s="79"/>
      <c r="K110" s="241"/>
      <c r="L110" s="226"/>
      <c r="M110" s="233"/>
      <c r="N110" s="233"/>
    </row>
    <row r="111" spans="1:20">
      <c r="A111" s="211"/>
      <c r="K111" s="79"/>
      <c r="P111" s="79"/>
      <c r="Q111" s="241"/>
      <c r="R111" s="226"/>
      <c r="S111" s="233"/>
      <c r="T111" s="233"/>
    </row>
    <row r="112" spans="1:20">
      <c r="B112" s="255"/>
      <c r="K112" s="79"/>
      <c r="P112" s="79"/>
      <c r="Q112" s="233"/>
      <c r="R112" s="226"/>
      <c r="S112" s="256"/>
      <c r="T112" s="257"/>
    </row>
    <row r="113" spans="1:20">
      <c r="J113" s="258" t="s">
        <v>29</v>
      </c>
      <c r="Q113" s="4"/>
      <c r="R113" s="4"/>
      <c r="S113" s="4"/>
      <c r="T113" s="4"/>
    </row>
    <row r="114" spans="1:20">
      <c r="A114" s="79"/>
      <c r="B114" s="79" t="s">
        <v>23</v>
      </c>
      <c r="C114" s="79" t="s">
        <v>1</v>
      </c>
      <c r="D114" s="79"/>
      <c r="E114" s="79"/>
      <c r="G114" s="79"/>
      <c r="H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</row>
    <row r="115" spans="1:20">
      <c r="A115" s="79" t="s">
        <v>25</v>
      </c>
      <c r="B115" s="169">
        <f>(B22+B40+B58+O75)*1000</f>
        <v>40562207.291411541</v>
      </c>
      <c r="C115" s="259">
        <f>(G22+G40+G58+V75)*1000</f>
        <v>3709771.3999999994</v>
      </c>
      <c r="D115" s="169">
        <f>B115+B117+B119</f>
        <v>12988364.323300002</v>
      </c>
      <c r="E115" s="259">
        <f>C115+C117+C119</f>
        <v>1865136.2063944857</v>
      </c>
      <c r="G115" s="169"/>
      <c r="H115" s="169"/>
      <c r="J115" s="79"/>
      <c r="K115" s="79" t="s">
        <v>29</v>
      </c>
      <c r="L115" s="79"/>
      <c r="M115" s="79"/>
      <c r="N115" s="79"/>
      <c r="O115" s="79"/>
      <c r="P115" s="79"/>
      <c r="Q115" s="79"/>
      <c r="R115" s="79"/>
      <c r="S115" s="79"/>
    </row>
    <row r="117" spans="1:20">
      <c r="A117" s="79" t="s">
        <v>26</v>
      </c>
      <c r="B117" s="169">
        <f>(B75+B92+M92)*1000</f>
        <v>-12049317.02571154</v>
      </c>
      <c r="C117" s="259">
        <f>(I75+G92+R92)*1000</f>
        <v>-741949.71360551403</v>
      </c>
      <c r="D117" s="79"/>
      <c r="E117" s="79"/>
      <c r="G117" s="169"/>
      <c r="H117" s="169"/>
      <c r="J117" s="79"/>
      <c r="K117" s="79"/>
      <c r="L117" s="79"/>
      <c r="M117" s="79"/>
      <c r="N117" s="79"/>
      <c r="O117" s="79"/>
      <c r="P117" s="79"/>
      <c r="Q117" s="79"/>
      <c r="R117" s="79"/>
      <c r="S117" s="79"/>
    </row>
    <row r="118" spans="1:20">
      <c r="A118" s="79"/>
      <c r="B118" s="169"/>
      <c r="C118" s="259"/>
      <c r="D118" s="79"/>
      <c r="E118" s="79"/>
      <c r="G118" s="169"/>
      <c r="H118" s="169"/>
      <c r="J118" s="79"/>
      <c r="K118" s="79"/>
      <c r="L118" s="79"/>
      <c r="M118" s="79"/>
      <c r="N118" s="79"/>
      <c r="O118" s="79"/>
      <c r="P118" s="79"/>
      <c r="Q118" s="79"/>
      <c r="R118" s="79"/>
      <c r="S118" s="79"/>
    </row>
    <row r="119" spans="1:20">
      <c r="A119" s="79" t="s">
        <v>181</v>
      </c>
      <c r="B119" s="169">
        <f>(B110)*1000</f>
        <v>-15524525.942399999</v>
      </c>
      <c r="C119" s="259">
        <f>(D110)*1000</f>
        <v>-1102685.48</v>
      </c>
      <c r="D119" s="79"/>
      <c r="E119" s="79"/>
      <c r="G119" s="169"/>
      <c r="H119" s="169"/>
      <c r="J119" s="79"/>
      <c r="K119" s="79"/>
      <c r="L119" s="79"/>
      <c r="M119" s="79"/>
      <c r="N119" s="79"/>
      <c r="O119" s="79"/>
      <c r="P119" s="79"/>
      <c r="Q119" s="79"/>
      <c r="R119" s="79"/>
      <c r="S119" s="79"/>
    </row>
    <row r="121" spans="1:20">
      <c r="A121" s="2" t="s">
        <v>180</v>
      </c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</row>
    <row r="122" spans="1:20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</row>
  </sheetData>
  <phoneticPr fontId="0" type="noConversion"/>
  <printOptions horizontalCentered="1"/>
  <pageMargins left="1" right="0.5" top="0.25" bottom="0.2" header="0.5" footer="0.22"/>
  <pageSetup scale="44" fitToHeight="2" orientation="landscape" r:id="rId1"/>
  <headerFooter alignWithMargins="0">
    <oddFooter>&amp;CPrepared by Pricing&amp;R&amp;D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5"/>
  <sheetViews>
    <sheetView zoomScale="80" zoomScaleNormal="80" zoomScaleSheetLayoutView="70" workbookViewId="0">
      <pane xSplit="2" ySplit="1" topLeftCell="C2" activePane="bottomRight" state="frozen"/>
      <selection pane="topRight"/>
      <selection pane="bottomLeft"/>
      <selection pane="bottomRight" activeCell="J29" sqref="J29"/>
    </sheetView>
  </sheetViews>
  <sheetFormatPr defaultColWidth="9" defaultRowHeight="13.2"/>
  <cols>
    <col min="1" max="1" width="9" style="306"/>
    <col min="2" max="2" width="6.3984375" style="306" customWidth="1"/>
    <col min="3" max="3" width="10.59765625" style="306" bestFit="1" customWidth="1"/>
    <col min="4" max="4" width="9.8984375" style="306" customWidth="1"/>
    <col min="5" max="5" width="10.09765625" style="306" customWidth="1"/>
    <col min="6" max="8" width="9.8984375" style="306" bestFit="1" customWidth="1"/>
    <col min="9" max="11" width="9.5" style="306" customWidth="1"/>
    <col min="12" max="12" width="6.5" style="306" customWidth="1"/>
    <col min="13" max="13" width="6.69921875" style="306" customWidth="1"/>
    <col min="14" max="14" width="6.5" style="306" customWidth="1"/>
    <col min="15" max="15" width="10.3984375" style="306" customWidth="1"/>
    <col min="16" max="16" width="9.59765625" style="306" customWidth="1"/>
    <col min="17" max="17" width="9" style="306"/>
    <col min="18" max="18" width="5.09765625" style="306" customWidth="1"/>
    <col min="19" max="27" width="9" style="306"/>
    <col min="28" max="28" width="9.09765625" style="306" customWidth="1"/>
    <col min="29" max="29" width="9" style="306"/>
    <col min="30" max="30" width="4.19921875" style="306" customWidth="1"/>
    <col min="31" max="16384" width="9" style="306"/>
  </cols>
  <sheetData>
    <row r="1" spans="1:11">
      <c r="A1" s="375"/>
      <c r="B1" s="375"/>
      <c r="C1" s="300"/>
      <c r="D1" s="300"/>
      <c r="E1" s="300"/>
      <c r="F1" s="300"/>
      <c r="G1" s="300"/>
      <c r="H1" s="300"/>
      <c r="I1" s="300"/>
      <c r="J1" s="300"/>
      <c r="K1" s="300"/>
    </row>
    <row r="2" spans="1:11" s="290" customFormat="1">
      <c r="A2" s="288" t="s">
        <v>315</v>
      </c>
      <c r="B2" s="288"/>
      <c r="C2" s="289"/>
      <c r="D2" s="289"/>
      <c r="E2" s="289"/>
      <c r="F2" s="289"/>
      <c r="G2" s="289"/>
      <c r="H2" s="289"/>
      <c r="I2" s="289"/>
      <c r="J2" s="289"/>
      <c r="K2" s="289"/>
    </row>
    <row r="3" spans="1:11">
      <c r="A3" s="291"/>
      <c r="B3" s="292"/>
      <c r="C3" s="291" t="s">
        <v>285</v>
      </c>
      <c r="D3" s="292"/>
      <c r="E3" s="293"/>
      <c r="F3" s="291" t="s">
        <v>286</v>
      </c>
      <c r="G3" s="292"/>
      <c r="H3" s="292"/>
      <c r="I3" s="294" t="s">
        <v>287</v>
      </c>
      <c r="J3" s="291" t="s">
        <v>288</v>
      </c>
      <c r="K3" s="293"/>
    </row>
    <row r="4" spans="1:11">
      <c r="A4" s="295" t="s">
        <v>289</v>
      </c>
      <c r="B4" s="296" t="s">
        <v>22</v>
      </c>
      <c r="C4" s="295" t="s">
        <v>290</v>
      </c>
      <c r="D4" s="296" t="s">
        <v>291</v>
      </c>
      <c r="E4" s="297" t="s">
        <v>292</v>
      </c>
      <c r="F4" s="295" t="s">
        <v>293</v>
      </c>
      <c r="G4" s="296" t="s">
        <v>294</v>
      </c>
      <c r="H4" s="296" t="s">
        <v>295</v>
      </c>
      <c r="I4" s="298" t="s">
        <v>296</v>
      </c>
      <c r="J4" s="295" t="s">
        <v>293</v>
      </c>
      <c r="K4" s="297" t="s">
        <v>294</v>
      </c>
    </row>
    <row r="5" spans="1:11" ht="12.75" customHeight="1">
      <c r="A5" s="392">
        <v>2017</v>
      </c>
      <c r="B5" s="393">
        <v>7</v>
      </c>
      <c r="C5" s="394">
        <v>-12958.215037520986</v>
      </c>
      <c r="D5" s="395">
        <v>-563.97974703055161</v>
      </c>
      <c r="E5" s="396">
        <v>-24.344369548462279</v>
      </c>
      <c r="F5" s="394">
        <v>-2058.1563212294586</v>
      </c>
      <c r="G5" s="395">
        <v>-3164.4054790552359</v>
      </c>
      <c r="H5" s="396">
        <v>-841.76873941530584</v>
      </c>
      <c r="I5" s="397">
        <v>-3946.2637825000002</v>
      </c>
      <c r="J5" s="302">
        <v>0</v>
      </c>
      <c r="K5" s="303">
        <v>0</v>
      </c>
    </row>
    <row r="6" spans="1:11" ht="12.75" customHeight="1">
      <c r="A6" s="398">
        <v>2017</v>
      </c>
      <c r="B6" s="399">
        <v>8</v>
      </c>
      <c r="C6" s="394">
        <v>-13789.047466288563</v>
      </c>
      <c r="D6" s="395">
        <v>-612.60277917528902</v>
      </c>
      <c r="E6" s="396">
        <v>-26.9808132361498</v>
      </c>
      <c r="F6" s="394">
        <v>-2298.5028849305536</v>
      </c>
      <c r="G6" s="395">
        <v>-3455.5827004332054</v>
      </c>
      <c r="H6" s="396">
        <v>-871.72829703624006</v>
      </c>
      <c r="I6" s="397">
        <v>-4288.1910113000004</v>
      </c>
      <c r="J6" s="299">
        <v>0</v>
      </c>
      <c r="K6" s="301">
        <v>0</v>
      </c>
    </row>
    <row r="7" spans="1:11" ht="12.75" customHeight="1">
      <c r="A7" s="398">
        <v>2017</v>
      </c>
      <c r="B7" s="399">
        <v>9</v>
      </c>
      <c r="C7" s="394">
        <v>-5000.8253636520431</v>
      </c>
      <c r="D7" s="395">
        <v>-221.58121855401396</v>
      </c>
      <c r="E7" s="396">
        <v>-10.192370293943535</v>
      </c>
      <c r="F7" s="394">
        <v>-1063.1428032922377</v>
      </c>
      <c r="G7" s="395">
        <v>-1741.9221224785088</v>
      </c>
      <c r="H7" s="396">
        <v>-439.91759102925351</v>
      </c>
      <c r="I7" s="397">
        <v>-2038.3749633</v>
      </c>
      <c r="J7" s="299">
        <v>0</v>
      </c>
      <c r="K7" s="301">
        <v>0</v>
      </c>
    </row>
    <row r="8" spans="1:11" ht="12.75" customHeight="1">
      <c r="A8" s="398">
        <v>2017</v>
      </c>
      <c r="B8" s="399">
        <v>10</v>
      </c>
      <c r="C8" s="394">
        <v>2642.7124922984776</v>
      </c>
      <c r="D8" s="395">
        <v>131.98510548544709</v>
      </c>
      <c r="E8" s="396">
        <v>5.1984810160754451</v>
      </c>
      <c r="F8" s="394">
        <v>259.04441268953025</v>
      </c>
      <c r="G8" s="395">
        <v>492.95325228444869</v>
      </c>
      <c r="H8" s="396">
        <v>122.73424582602111</v>
      </c>
      <c r="I8" s="397">
        <v>188.6355078</v>
      </c>
      <c r="J8" s="299">
        <v>0</v>
      </c>
      <c r="K8" s="301">
        <v>0</v>
      </c>
    </row>
    <row r="9" spans="1:11" ht="12.75" customHeight="1">
      <c r="A9" s="398">
        <v>2017</v>
      </c>
      <c r="B9" s="399">
        <v>11</v>
      </c>
      <c r="C9" s="394">
        <v>14391.674556805474</v>
      </c>
      <c r="D9" s="395">
        <v>761.86957171554479</v>
      </c>
      <c r="E9" s="396">
        <v>23.059789078980646</v>
      </c>
      <c r="F9" s="394">
        <v>786.22716471938702</v>
      </c>
      <c r="G9" s="395">
        <v>1521.747800140608</v>
      </c>
      <c r="H9" s="396">
        <v>386.98075304000537</v>
      </c>
      <c r="I9" s="397">
        <v>0</v>
      </c>
      <c r="J9" s="299">
        <v>0</v>
      </c>
      <c r="K9" s="301">
        <v>0</v>
      </c>
    </row>
    <row r="10" spans="1:11" ht="12.75" customHeight="1">
      <c r="A10" s="400">
        <v>2017</v>
      </c>
      <c r="B10" s="401">
        <v>12</v>
      </c>
      <c r="C10" s="402">
        <v>7699.9140247196547</v>
      </c>
      <c r="D10" s="403">
        <v>408.34788356935195</v>
      </c>
      <c r="E10" s="404">
        <v>10.974316610992656</v>
      </c>
      <c r="F10" s="402">
        <v>524.75936742161264</v>
      </c>
      <c r="G10" s="403">
        <v>891.85290672700228</v>
      </c>
      <c r="H10" s="404">
        <v>218.05930685138526</v>
      </c>
      <c r="I10" s="405">
        <v>0</v>
      </c>
      <c r="J10" s="299">
        <v>0</v>
      </c>
      <c r="K10" s="301">
        <v>0</v>
      </c>
    </row>
    <row r="11" spans="1:11" ht="12.75" customHeight="1">
      <c r="A11" s="406">
        <v>2018</v>
      </c>
      <c r="B11" s="393">
        <v>1</v>
      </c>
      <c r="C11" s="394">
        <v>29766.260262000327</v>
      </c>
      <c r="D11" s="395">
        <v>1607.7539259285697</v>
      </c>
      <c r="E11" s="396">
        <v>43.640501271105357</v>
      </c>
      <c r="F11" s="394">
        <v>1920.3313858969032</v>
      </c>
      <c r="G11" s="395">
        <v>2969.467178872163</v>
      </c>
      <c r="H11" s="396">
        <v>639.97199993093318</v>
      </c>
      <c r="I11" s="397">
        <v>0</v>
      </c>
      <c r="J11" s="299">
        <v>0</v>
      </c>
      <c r="K11" s="301">
        <v>0</v>
      </c>
    </row>
    <row r="12" spans="1:11" ht="12.75" customHeight="1">
      <c r="A12" s="406">
        <v>2018</v>
      </c>
      <c r="B12" s="399">
        <v>2</v>
      </c>
      <c r="C12" s="394">
        <v>4151.099009021309</v>
      </c>
      <c r="D12" s="395">
        <v>236.58155047347611</v>
      </c>
      <c r="E12" s="396">
        <v>6.2873956052145124</v>
      </c>
      <c r="F12" s="394">
        <v>-47.659229231338848</v>
      </c>
      <c r="G12" s="395">
        <v>-74.852799029921101</v>
      </c>
      <c r="H12" s="396">
        <v>-18.92179403874005</v>
      </c>
      <c r="I12" s="397">
        <v>0</v>
      </c>
      <c r="J12" s="299">
        <v>0</v>
      </c>
      <c r="K12" s="301">
        <v>0</v>
      </c>
    </row>
    <row r="13" spans="1:11" ht="12.75" customHeight="1">
      <c r="A13" s="406">
        <v>2018</v>
      </c>
      <c r="B13" s="399">
        <v>3</v>
      </c>
      <c r="C13" s="394">
        <v>3770.2251085040039</v>
      </c>
      <c r="D13" s="395">
        <v>221.04569478619928</v>
      </c>
      <c r="E13" s="396">
        <v>5.8368134097971858</v>
      </c>
      <c r="F13" s="394">
        <v>201.33490612115816</v>
      </c>
      <c r="G13" s="395">
        <v>301.20449355611271</v>
      </c>
      <c r="H13" s="396">
        <v>73.879117822729086</v>
      </c>
      <c r="I13" s="397">
        <v>0</v>
      </c>
      <c r="J13" s="299">
        <v>0</v>
      </c>
      <c r="K13" s="301">
        <v>0</v>
      </c>
    </row>
    <row r="14" spans="1:11" ht="12.75" customHeight="1">
      <c r="A14" s="406">
        <v>2018</v>
      </c>
      <c r="B14" s="399">
        <v>4</v>
      </c>
      <c r="C14" s="394">
        <v>7027.7218008777254</v>
      </c>
      <c r="D14" s="395">
        <v>369.27978465764744</v>
      </c>
      <c r="E14" s="396">
        <v>11.949591764626824</v>
      </c>
      <c r="F14" s="394">
        <v>-62.818638970547823</v>
      </c>
      <c r="G14" s="395">
        <v>-99.269428535979557</v>
      </c>
      <c r="H14" s="396">
        <v>-26.618144493472638</v>
      </c>
      <c r="I14" s="397">
        <v>0</v>
      </c>
      <c r="J14" s="299">
        <v>0</v>
      </c>
      <c r="K14" s="301">
        <v>0</v>
      </c>
    </row>
    <row r="15" spans="1:11" ht="12.75" customHeight="1">
      <c r="A15" s="406">
        <v>2018</v>
      </c>
      <c r="B15" s="399">
        <v>5</v>
      </c>
      <c r="C15" s="394">
        <v>-1670.5346577333471</v>
      </c>
      <c r="D15" s="395">
        <v>-80.45234401288198</v>
      </c>
      <c r="E15" s="396">
        <v>-3.026598953770872</v>
      </c>
      <c r="F15" s="394">
        <v>-2605.5277793159062</v>
      </c>
      <c r="G15" s="395">
        <v>-4430.0842375661632</v>
      </c>
      <c r="H15" s="396">
        <v>-1018.86299911793</v>
      </c>
      <c r="I15" s="397">
        <v>-5542.9758769999999</v>
      </c>
      <c r="J15" s="299">
        <v>0</v>
      </c>
      <c r="K15" s="301">
        <v>0</v>
      </c>
    </row>
    <row r="16" spans="1:11" ht="12.75" customHeight="1">
      <c r="A16" s="407">
        <v>2018</v>
      </c>
      <c r="B16" s="401">
        <v>6</v>
      </c>
      <c r="C16" s="402">
        <v>2304.163170822394</v>
      </c>
      <c r="D16" s="403">
        <v>94.248929306825531</v>
      </c>
      <c r="E16" s="404">
        <v>4.3092332707804957</v>
      </c>
      <c r="F16" s="402">
        <v>261.97053629185729</v>
      </c>
      <c r="G16" s="403">
        <v>417.93674452466865</v>
      </c>
      <c r="H16" s="404">
        <v>107.82045518347411</v>
      </c>
      <c r="I16" s="405">
        <v>102.6441839</v>
      </c>
      <c r="J16" s="304">
        <v>0</v>
      </c>
      <c r="K16" s="305">
        <v>0</v>
      </c>
    </row>
    <row r="17" spans="3:11">
      <c r="C17" s="376"/>
      <c r="D17" s="376"/>
      <c r="E17" s="376"/>
      <c r="F17" s="376"/>
      <c r="G17" s="376"/>
      <c r="H17" s="376"/>
      <c r="I17" s="376"/>
      <c r="J17" s="376"/>
      <c r="K17" s="376"/>
    </row>
    <row r="18" spans="3:11">
      <c r="E18" s="377"/>
    </row>
    <row r="19" spans="3:11">
      <c r="E19" s="377"/>
    </row>
    <row r="20" spans="3:11">
      <c r="E20" s="377"/>
    </row>
    <row r="21" spans="3:11">
      <c r="E21" s="377"/>
    </row>
    <row r="22" spans="3:11">
      <c r="E22" s="377"/>
    </row>
    <row r="23" spans="3:11">
      <c r="E23" s="377"/>
    </row>
    <row r="24" spans="3:11">
      <c r="E24" s="377"/>
    </row>
    <row r="25" spans="3:11">
      <c r="E25" s="377"/>
    </row>
    <row r="26" spans="3:11">
      <c r="H26" s="306" t="s">
        <v>29</v>
      </c>
    </row>
    <row r="35" spans="13:13">
      <c r="M35" s="306" t="s">
        <v>29</v>
      </c>
    </row>
  </sheetData>
  <pageMargins left="0.75" right="0.75" top="1" bottom="1" header="0.5" footer="0.5"/>
  <pageSetup scale="29" orientation="landscape" r:id="rId1"/>
  <headerFooter alignWithMargins="0">
    <oddFooter>&amp;L&amp;F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2:M20"/>
  <sheetViews>
    <sheetView workbookViewId="0">
      <selection activeCell="F23" sqref="F23"/>
    </sheetView>
  </sheetViews>
  <sheetFormatPr defaultColWidth="9" defaultRowHeight="15.6"/>
  <cols>
    <col min="1" max="1" width="25.5" style="2" bestFit="1" customWidth="1"/>
    <col min="2" max="2" width="13.19921875" style="224" bestFit="1" customWidth="1"/>
    <col min="3" max="3" width="11.09765625" style="2" bestFit="1" customWidth="1"/>
    <col min="4" max="4" width="11" style="2" bestFit="1" customWidth="1"/>
    <col min="5" max="5" width="14.8984375" style="2" bestFit="1" customWidth="1"/>
    <col min="6" max="6" width="10.09765625" style="2" bestFit="1" customWidth="1"/>
    <col min="7" max="9" width="9.09765625" style="2" bestFit="1" customWidth="1"/>
    <col min="10" max="16384" width="9" style="2"/>
  </cols>
  <sheetData>
    <row r="2" spans="1:13"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>
      <c r="A3" s="425" t="s">
        <v>239</v>
      </c>
      <c r="B3" s="426"/>
    </row>
    <row r="4" spans="1:13">
      <c r="A4" s="260" t="s">
        <v>224</v>
      </c>
      <c r="B4" s="261">
        <f>-SUMIF('305 Inputs'!$I:$I,$D4,'305 Inputs'!$F:$F)</f>
        <v>0</v>
      </c>
      <c r="D4" s="2" t="s">
        <v>349</v>
      </c>
      <c r="E4" s="262"/>
    </row>
    <row r="5" spans="1:13">
      <c r="A5" s="260" t="s">
        <v>207</v>
      </c>
      <c r="B5" s="261">
        <f>-SUMIF('305 Inputs'!$I:$I,$D5,'305 Inputs'!$F:$F)</f>
        <v>0</v>
      </c>
      <c r="D5" s="2" t="s">
        <v>347</v>
      </c>
      <c r="E5" s="262"/>
    </row>
    <row r="6" spans="1:13">
      <c r="A6" s="260" t="s">
        <v>151</v>
      </c>
      <c r="B6" s="261">
        <f>-SUMIF('305 Inputs'!$I:$I,$D6,'305 Inputs'!$F:$F)</f>
        <v>0.72</v>
      </c>
      <c r="C6" s="181"/>
      <c r="D6" s="263" t="s">
        <v>346</v>
      </c>
      <c r="E6" s="264"/>
      <c r="F6" s="181"/>
      <c r="G6" s="263"/>
      <c r="H6" s="160"/>
      <c r="I6" s="181"/>
      <c r="J6" s="265"/>
      <c r="K6" s="266"/>
      <c r="L6" s="266"/>
      <c r="M6" s="266"/>
    </row>
    <row r="7" spans="1:13">
      <c r="A7" s="260" t="s">
        <v>234</v>
      </c>
      <c r="B7" s="261">
        <f>-SUMIF('305 Inputs'!$I:$I,$D7,'305 Inputs'!$F:$F)</f>
        <v>0</v>
      </c>
      <c r="C7" s="181"/>
      <c r="D7" s="263" t="s">
        <v>236</v>
      </c>
      <c r="E7" s="264"/>
      <c r="F7" s="181"/>
      <c r="G7" s="263"/>
      <c r="H7" s="160"/>
      <c r="I7" s="181"/>
      <c r="J7" s="265"/>
      <c r="K7" s="266"/>
      <c r="L7" s="266"/>
      <c r="M7" s="266"/>
    </row>
    <row r="8" spans="1:13">
      <c r="A8" s="260" t="s">
        <v>240</v>
      </c>
      <c r="B8" s="261">
        <f>-SUMIF('305 Inputs'!$I:$I,$D8,'305 Inputs'!$F:$F)</f>
        <v>26509738.129999995</v>
      </c>
      <c r="C8" s="181"/>
      <c r="D8" s="263" t="s">
        <v>203</v>
      </c>
      <c r="E8" s="264"/>
      <c r="F8" s="181"/>
      <c r="G8" s="263"/>
      <c r="H8" s="160"/>
      <c r="I8" s="181"/>
      <c r="J8" s="265"/>
      <c r="K8" s="266"/>
      <c r="L8" s="266"/>
      <c r="M8" s="266"/>
    </row>
    <row r="9" spans="1:13">
      <c r="A9" s="260" t="s">
        <v>237</v>
      </c>
      <c r="B9" s="261">
        <f>-SUMIF('305 Inputs'!$I:$I,$D9,'305 Inputs'!$F:$F)</f>
        <v>-43000</v>
      </c>
      <c r="C9" s="181"/>
      <c r="D9" s="263" t="s">
        <v>350</v>
      </c>
      <c r="E9" s="264"/>
      <c r="F9" s="181"/>
      <c r="G9" s="263"/>
      <c r="H9" s="160"/>
      <c r="I9" s="181"/>
      <c r="J9" s="265"/>
      <c r="K9" s="266"/>
      <c r="L9" s="266"/>
      <c r="M9" s="266"/>
    </row>
    <row r="10" spans="1:13">
      <c r="A10" s="260" t="s">
        <v>169</v>
      </c>
      <c r="B10" s="261">
        <f>-'WA SBC'!R50</f>
        <v>-13667004.709280584</v>
      </c>
      <c r="C10" s="181"/>
      <c r="D10" s="263"/>
      <c r="E10" s="264"/>
      <c r="F10" s="181"/>
      <c r="G10" s="263"/>
      <c r="H10" s="160"/>
      <c r="I10" s="181"/>
      <c r="J10" s="265"/>
      <c r="K10" s="266"/>
      <c r="L10" s="266"/>
      <c r="M10" s="266"/>
    </row>
    <row r="11" spans="1:13">
      <c r="A11" s="260" t="s">
        <v>276</v>
      </c>
      <c r="B11" s="261">
        <f>-SUMIF('305 Inputs'!$I:$I,$D11,'305 Inputs'!$F:$F)</f>
        <v>-11653594.65</v>
      </c>
      <c r="C11" s="181"/>
      <c r="D11" s="263" t="s">
        <v>274</v>
      </c>
      <c r="E11" s="264"/>
      <c r="F11" s="181"/>
      <c r="G11" s="263"/>
      <c r="H11" s="160"/>
      <c r="I11" s="181"/>
      <c r="J11" s="265"/>
      <c r="K11" s="266"/>
      <c r="L11" s="266"/>
      <c r="M11" s="266"/>
    </row>
    <row r="12" spans="1:13">
      <c r="A12" s="260" t="s">
        <v>277</v>
      </c>
      <c r="B12" s="261">
        <f>-SUMIF('305 Inputs'!$I:$I,$D12,'305 Inputs'!$F:$F)</f>
        <v>-121540.40999999999</v>
      </c>
      <c r="C12" s="181"/>
      <c r="D12" s="263" t="s">
        <v>275</v>
      </c>
      <c r="E12" s="264"/>
      <c r="F12" s="181"/>
      <c r="G12" s="263"/>
      <c r="H12" s="160"/>
      <c r="I12" s="181"/>
      <c r="J12" s="265"/>
      <c r="K12" s="266"/>
      <c r="L12" s="266"/>
      <c r="M12" s="266"/>
    </row>
    <row r="13" spans="1:13">
      <c r="A13" s="260" t="s">
        <v>162</v>
      </c>
      <c r="B13" s="261">
        <f>-SUMIF('305 Inputs'!$I:$I,$D13,'305 Inputs'!$F:$F)</f>
        <v>0</v>
      </c>
      <c r="C13" s="181">
        <f>SUM(B4:B13)</f>
        <v>1024599.0807194096</v>
      </c>
      <c r="D13" s="263" t="s">
        <v>348</v>
      </c>
      <c r="E13" s="264"/>
      <c r="F13" s="181"/>
      <c r="G13" s="263"/>
      <c r="H13" s="160"/>
      <c r="I13" s="181"/>
      <c r="J13" s="265"/>
      <c r="K13" s="266"/>
      <c r="L13" s="266"/>
      <c r="M13" s="266"/>
    </row>
    <row r="14" spans="1:13">
      <c r="A14" s="260" t="s">
        <v>423</v>
      </c>
      <c r="B14" s="261">
        <f>-SUMIF('305 Inputs'!$I:$I,$D14,'305 Inputs'!$F:$F)</f>
        <v>8556163.7400000002</v>
      </c>
      <c r="C14" s="181"/>
      <c r="D14" s="263" t="s">
        <v>424</v>
      </c>
      <c r="E14" s="264"/>
      <c r="F14" s="181"/>
      <c r="G14" s="263"/>
      <c r="H14" s="160"/>
      <c r="I14" s="181"/>
      <c r="J14" s="265"/>
      <c r="K14" s="266"/>
      <c r="L14" s="266"/>
      <c r="M14" s="266"/>
    </row>
    <row r="15" spans="1:13">
      <c r="A15" s="260" t="s">
        <v>422</v>
      </c>
      <c r="B15" s="261">
        <f>-SUMIF('305 Inputs'!$I:$I,$D15,'305 Inputs'!$F:$F)</f>
        <v>1560911.15</v>
      </c>
      <c r="C15" s="181"/>
      <c r="D15" s="263" t="s">
        <v>425</v>
      </c>
      <c r="E15" s="264"/>
      <c r="F15" s="181"/>
      <c r="G15" s="263"/>
      <c r="H15" s="160"/>
      <c r="I15" s="181"/>
      <c r="J15" s="265"/>
      <c r="K15" s="266"/>
      <c r="L15" s="266"/>
      <c r="M15" s="266"/>
    </row>
    <row r="16" spans="1:13">
      <c r="A16" s="260" t="s">
        <v>297</v>
      </c>
      <c r="B16" s="411">
        <f>'Table 3'!H140</f>
        <v>13763696.41</v>
      </c>
      <c r="E16" s="85"/>
    </row>
    <row r="17" spans="1:5" ht="16.2" thickBot="1">
      <c r="A17" s="285" t="s">
        <v>438</v>
      </c>
      <c r="B17" s="424">
        <f>'WA Decoupling'!F44</f>
        <v>-391426.15956910595</v>
      </c>
      <c r="E17" s="85"/>
    </row>
    <row r="18" spans="1:5">
      <c r="B18" s="224">
        <f>SUM(B4:B17)</f>
        <v>24513944.221150301</v>
      </c>
      <c r="E18" s="85"/>
    </row>
    <row r="19" spans="1:5">
      <c r="A19" s="4" t="s">
        <v>155</v>
      </c>
      <c r="B19" s="224">
        <f>B18-SUM(B4:B15,B17)-B16</f>
        <v>0</v>
      </c>
    </row>
    <row r="20" spans="1:5">
      <c r="E20" s="85"/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O46"/>
  <sheetViews>
    <sheetView topLeftCell="A11" zoomScale="85" zoomScaleNormal="85" workbookViewId="0">
      <selection activeCell="B41" sqref="B41"/>
    </sheetView>
  </sheetViews>
  <sheetFormatPr defaultColWidth="9.59765625" defaultRowHeight="15.6"/>
  <cols>
    <col min="1" max="1" width="14.5" style="2" customWidth="1"/>
    <col min="2" max="2" width="16.19921875" style="2" customWidth="1"/>
    <col min="3" max="3" width="14.59765625" style="2" customWidth="1"/>
    <col min="4" max="4" width="13.69921875" style="2" bestFit="1" customWidth="1"/>
    <col min="5" max="5" width="13.5" style="2" bestFit="1" customWidth="1"/>
    <col min="6" max="6" width="13.5" style="2" customWidth="1"/>
    <col min="7" max="7" width="14.09765625" style="2" bestFit="1" customWidth="1"/>
    <col min="8" max="13" width="13.59765625" style="2" customWidth="1"/>
    <col min="14" max="14" width="15.59765625" style="2" customWidth="1"/>
    <col min="15" max="15" width="13.5" style="2" bestFit="1" customWidth="1"/>
    <col min="16" max="18" width="9.59765625" style="2"/>
    <col min="19" max="19" width="9.69921875" style="2" bestFit="1" customWidth="1"/>
    <col min="20" max="16384" width="9.59765625" style="2"/>
  </cols>
  <sheetData>
    <row r="1" spans="1:15">
      <c r="A1" s="79"/>
      <c r="B1" s="79"/>
      <c r="C1" s="79"/>
      <c r="D1" s="79"/>
      <c r="E1" s="79"/>
      <c r="F1" s="79"/>
      <c r="G1" s="79"/>
      <c r="L1" s="131" t="s">
        <v>0</v>
      </c>
      <c r="O1" s="79"/>
    </row>
    <row r="2" spans="1:15">
      <c r="A2" s="79"/>
      <c r="B2" s="79"/>
      <c r="C2" s="79"/>
      <c r="D2" s="79"/>
      <c r="E2" s="79"/>
      <c r="F2" s="79"/>
      <c r="G2" s="79"/>
      <c r="L2" s="131" t="s">
        <v>1</v>
      </c>
      <c r="O2" s="79"/>
    </row>
    <row r="3" spans="1:15" ht="17.399999999999999">
      <c r="A3" s="132" t="s">
        <v>251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77"/>
      <c r="N3" s="77"/>
      <c r="O3" s="79"/>
    </row>
    <row r="4" spans="1:15" ht="17.399999999999999">
      <c r="A4" s="132" t="s">
        <v>44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77"/>
      <c r="N4" s="77"/>
      <c r="O4" s="79"/>
    </row>
    <row r="5" spans="1:15" ht="17.399999999999999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77"/>
      <c r="N5" s="77"/>
      <c r="O5" s="79"/>
    </row>
    <row r="6" spans="1:15" ht="17.399999999999999">
      <c r="A6" s="132" t="s">
        <v>414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334"/>
      <c r="N6" s="77"/>
      <c r="O6" s="79"/>
    </row>
    <row r="7" spans="1:15">
      <c r="M7" s="197"/>
      <c r="N7" s="197"/>
    </row>
    <row r="8" spans="1:15" ht="20.399999999999999">
      <c r="F8" s="25"/>
      <c r="M8" s="197"/>
      <c r="N8" s="197"/>
    </row>
    <row r="10" spans="1:15">
      <c r="A10" s="79"/>
      <c r="B10" s="79"/>
      <c r="C10" s="77" t="s">
        <v>3</v>
      </c>
      <c r="D10" s="77" t="s">
        <v>4</v>
      </c>
      <c r="E10" s="77" t="s">
        <v>5</v>
      </c>
      <c r="F10" s="77" t="s">
        <v>6</v>
      </c>
      <c r="G10" s="77" t="s">
        <v>7</v>
      </c>
      <c r="H10" s="77" t="s">
        <v>321</v>
      </c>
      <c r="I10" s="77" t="s">
        <v>330</v>
      </c>
      <c r="J10" s="77" t="s">
        <v>331</v>
      </c>
      <c r="K10" s="77" t="s">
        <v>364</v>
      </c>
      <c r="L10" s="77" t="s">
        <v>365</v>
      </c>
    </row>
    <row r="11" spans="1:15">
      <c r="A11" s="79"/>
      <c r="B11" s="7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5">
      <c r="A12" s="79"/>
      <c r="B12" s="79"/>
      <c r="C12" s="134"/>
      <c r="D12" s="80"/>
      <c r="E12" s="80"/>
      <c r="F12" s="80" t="s">
        <v>8</v>
      </c>
      <c r="G12" s="135" t="s">
        <v>246</v>
      </c>
      <c r="H12" s="328"/>
      <c r="I12" s="327" t="s">
        <v>8</v>
      </c>
      <c r="J12" s="328"/>
      <c r="K12" s="327" t="s">
        <v>8</v>
      </c>
      <c r="L12" s="80" t="s">
        <v>8</v>
      </c>
      <c r="M12" s="79"/>
    </row>
    <row r="13" spans="1:15">
      <c r="A13" s="79"/>
      <c r="B13" s="79"/>
      <c r="C13" s="136" t="s">
        <v>8</v>
      </c>
      <c r="D13" s="137" t="s">
        <v>10</v>
      </c>
      <c r="E13" s="45" t="s">
        <v>11</v>
      </c>
      <c r="F13" s="45" t="s">
        <v>246</v>
      </c>
      <c r="G13" s="137" t="s">
        <v>12</v>
      </c>
      <c r="H13" s="137" t="s">
        <v>329</v>
      </c>
      <c r="I13" s="45" t="s">
        <v>322</v>
      </c>
      <c r="J13" s="137" t="s">
        <v>329</v>
      </c>
      <c r="K13" s="45" t="s">
        <v>358</v>
      </c>
      <c r="L13" s="137" t="s">
        <v>70</v>
      </c>
      <c r="M13" s="138"/>
    </row>
    <row r="14" spans="1:15" ht="18.600000000000001">
      <c r="A14" s="79"/>
      <c r="B14" s="79"/>
      <c r="C14" s="136" t="s">
        <v>1</v>
      </c>
      <c r="D14" s="137" t="s">
        <v>242</v>
      </c>
      <c r="E14" s="45" t="s">
        <v>14</v>
      </c>
      <c r="F14" s="71" t="s">
        <v>13</v>
      </c>
      <c r="G14" s="139" t="s">
        <v>1</v>
      </c>
      <c r="H14" s="81" t="s">
        <v>333</v>
      </c>
      <c r="I14" s="45" t="s">
        <v>13</v>
      </c>
      <c r="J14" s="81" t="s">
        <v>158</v>
      </c>
      <c r="K14" s="45" t="s">
        <v>13</v>
      </c>
      <c r="L14" s="137" t="s">
        <v>1</v>
      </c>
      <c r="M14" s="77"/>
    </row>
    <row r="15" spans="1:15">
      <c r="A15" s="79"/>
      <c r="B15" s="79"/>
      <c r="C15" s="81"/>
      <c r="D15" s="140"/>
      <c r="E15" s="81"/>
      <c r="F15" s="81"/>
      <c r="H15" s="81"/>
      <c r="I15" s="45"/>
      <c r="J15" s="81"/>
      <c r="K15" s="45"/>
      <c r="L15" s="81"/>
      <c r="M15" s="77"/>
    </row>
    <row r="16" spans="1:15" ht="34.950000000000003" customHeight="1">
      <c r="A16" s="141" t="s">
        <v>15</v>
      </c>
      <c r="B16" s="142"/>
      <c r="C16" s="82">
        <f>'Table 2'!J36</f>
        <v>133024836.36000001</v>
      </c>
      <c r="D16" s="82">
        <f>'Table 2'!K36-E16</f>
        <v>16047155.865440909</v>
      </c>
      <c r="E16" s="82">
        <f>'Table 3'!I36</f>
        <v>0</v>
      </c>
      <c r="F16" s="82">
        <f>SUM(D16:E16)</f>
        <v>16047155.865440909</v>
      </c>
      <c r="G16" s="82">
        <f>C16+F16</f>
        <v>149071992.22544092</v>
      </c>
      <c r="H16" s="82">
        <f>'Table 3'!N36</f>
        <v>708580</v>
      </c>
      <c r="I16" s="82">
        <f>H16</f>
        <v>708580</v>
      </c>
      <c r="J16" s="82">
        <f>'Table 3'!Q36</f>
        <v>0</v>
      </c>
      <c r="K16" s="82">
        <f>J16</f>
        <v>0</v>
      </c>
      <c r="L16" s="82">
        <f t="shared" ref="L16:L21" si="0">G16+I16+K16</f>
        <v>149780572.22544092</v>
      </c>
      <c r="M16" s="143"/>
    </row>
    <row r="17" spans="1:14" ht="34.950000000000003" customHeight="1">
      <c r="A17" s="144" t="s">
        <v>16</v>
      </c>
      <c r="B17" s="145"/>
      <c r="C17" s="82">
        <f>'Table 2'!J65</f>
        <v>124651721.28</v>
      </c>
      <c r="D17" s="82">
        <f>'Table 2'!K65-E17</f>
        <v>4996453.8457643669</v>
      </c>
      <c r="E17" s="82">
        <f>'Table 3'!I65</f>
        <v>0</v>
      </c>
      <c r="F17" s="82">
        <f>SUM(D17:E17)</f>
        <v>4996453.8457643669</v>
      </c>
      <c r="G17" s="82">
        <f>C17+F17</f>
        <v>129648175.12576437</v>
      </c>
      <c r="H17" s="82">
        <f>'Table 3'!N65</f>
        <v>614215</v>
      </c>
      <c r="I17" s="82">
        <f t="shared" ref="I17:K20" si="1">H17</f>
        <v>614215</v>
      </c>
      <c r="J17" s="82">
        <f>'Table 3'!Q65</f>
        <v>0</v>
      </c>
      <c r="K17" s="82">
        <f t="shared" si="1"/>
        <v>0</v>
      </c>
      <c r="L17" s="82">
        <f t="shared" si="0"/>
        <v>130262390.12576437</v>
      </c>
      <c r="M17" s="143"/>
    </row>
    <row r="18" spans="1:14" ht="34.950000000000003" customHeight="1">
      <c r="A18" s="144" t="s">
        <v>28</v>
      </c>
      <c r="B18" s="145"/>
      <c r="C18" s="82">
        <f>'Table 2'!J96</f>
        <v>48325447.939999998</v>
      </c>
      <c r="D18" s="82">
        <f>'Table 2'!K96-E18</f>
        <v>2187957.7844441137</v>
      </c>
      <c r="E18" s="82">
        <f>'Table 3'!I96</f>
        <v>0</v>
      </c>
      <c r="F18" s="82">
        <f>SUM(D18:E18)</f>
        <v>2187957.7844441137</v>
      </c>
      <c r="G18" s="82">
        <f>C18+F18</f>
        <v>50513405.724444114</v>
      </c>
      <c r="H18" s="82">
        <f>'Table 3'!N96</f>
        <v>240008</v>
      </c>
      <c r="I18" s="82">
        <f t="shared" si="1"/>
        <v>240008</v>
      </c>
      <c r="J18" s="82">
        <f>'Table 3'!Q96</f>
        <v>0</v>
      </c>
      <c r="K18" s="82">
        <f t="shared" si="1"/>
        <v>0</v>
      </c>
      <c r="L18" s="82">
        <f t="shared" si="0"/>
        <v>50753413.724444114</v>
      </c>
      <c r="M18" s="143"/>
    </row>
    <row r="19" spans="1:14" ht="34.950000000000003" customHeight="1">
      <c r="A19" s="144" t="s">
        <v>171</v>
      </c>
      <c r="B19" s="145"/>
      <c r="C19" s="82">
        <f>'Table 2'!J117</f>
        <v>13334265.43</v>
      </c>
      <c r="D19" s="82">
        <f>'Table 2'!K117-E19</f>
        <v>1241901.6194538218</v>
      </c>
      <c r="E19" s="82">
        <f>'Table 3'!I117</f>
        <v>0</v>
      </c>
      <c r="F19" s="82">
        <f>SUM(D19:E19)</f>
        <v>1241901.6194538218</v>
      </c>
      <c r="G19" s="82">
        <f>C19+F19</f>
        <v>14576167.049453821</v>
      </c>
      <c r="H19" s="82">
        <f>'Table 3'!N117</f>
        <v>68164</v>
      </c>
      <c r="I19" s="82">
        <f t="shared" si="1"/>
        <v>68164</v>
      </c>
      <c r="J19" s="82">
        <f>'Table 3'!Q117</f>
        <v>0</v>
      </c>
      <c r="K19" s="82">
        <f t="shared" si="1"/>
        <v>0</v>
      </c>
      <c r="L19" s="82">
        <f t="shared" si="0"/>
        <v>14644331.049453821</v>
      </c>
      <c r="M19" s="143"/>
      <c r="N19" s="2" t="s">
        <v>29</v>
      </c>
    </row>
    <row r="20" spans="1:14" ht="34.950000000000003" customHeight="1" thickBot="1">
      <c r="A20" s="146" t="s">
        <v>17</v>
      </c>
      <c r="B20" s="147"/>
      <c r="C20" s="129">
        <f>'Table 2'!J137</f>
        <v>1414342.11</v>
      </c>
      <c r="D20" s="129">
        <f>'Table 2'!K137-E20</f>
        <v>40474.386047099702</v>
      </c>
      <c r="E20" s="129">
        <f>'Table 3'!I137</f>
        <v>0</v>
      </c>
      <c r="F20" s="129">
        <f>SUM(D20:E20)</f>
        <v>40474.386047099702</v>
      </c>
      <c r="G20" s="129">
        <f>C20+F20</f>
        <v>1454816.4960470998</v>
      </c>
      <c r="H20" s="82">
        <f>'Table 3'!N137</f>
        <v>6870</v>
      </c>
      <c r="I20" s="82">
        <f t="shared" si="1"/>
        <v>6870</v>
      </c>
      <c r="J20" s="82">
        <f>'Table 3'!Q137</f>
        <v>0</v>
      </c>
      <c r="K20" s="82">
        <f t="shared" si="1"/>
        <v>0</v>
      </c>
      <c r="L20" s="82">
        <f t="shared" si="0"/>
        <v>1461686.4960470998</v>
      </c>
      <c r="M20" s="143"/>
    </row>
    <row r="21" spans="1:14" ht="34.950000000000003" customHeight="1" thickTop="1" thickBot="1">
      <c r="A21" s="148" t="s">
        <v>71</v>
      </c>
      <c r="B21" s="149"/>
      <c r="C21" s="130">
        <f t="shared" ref="C21:I21" si="2">SUM(C16:C20)</f>
        <v>320750613.12000006</v>
      </c>
      <c r="D21" s="130">
        <f t="shared" si="2"/>
        <v>24513943.501150306</v>
      </c>
      <c r="E21" s="130">
        <f t="shared" si="2"/>
        <v>0</v>
      </c>
      <c r="F21" s="130">
        <f t="shared" si="2"/>
        <v>24513943.501150306</v>
      </c>
      <c r="G21" s="130">
        <f t="shared" si="2"/>
        <v>345264556.62115026</v>
      </c>
      <c r="H21" s="130">
        <f t="shared" si="2"/>
        <v>1637837</v>
      </c>
      <c r="I21" s="130">
        <f t="shared" si="2"/>
        <v>1637837</v>
      </c>
      <c r="J21" s="130">
        <f>SUM(J16:J20)</f>
        <v>0</v>
      </c>
      <c r="K21" s="130">
        <f>SUM(K16:K20)</f>
        <v>0</v>
      </c>
      <c r="L21" s="130">
        <f t="shared" si="0"/>
        <v>346902393.62115026</v>
      </c>
      <c r="M21" s="143"/>
    </row>
    <row r="22" spans="1:14" ht="20.25" hidden="1" customHeight="1" thickTop="1">
      <c r="A22" s="150" t="s">
        <v>85</v>
      </c>
      <c r="B22" s="151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79"/>
    </row>
    <row r="23" spans="1:14" ht="34.950000000000003" hidden="1" customHeight="1">
      <c r="A23" s="146" t="s">
        <v>82</v>
      </c>
      <c r="B23" s="147"/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/>
      <c r="I23" s="82"/>
      <c r="J23" s="82"/>
      <c r="K23" s="82"/>
      <c r="L23" s="82">
        <v>0</v>
      </c>
      <c r="M23" s="79"/>
    </row>
    <row r="24" spans="1:14" ht="34.950000000000003" hidden="1" customHeight="1">
      <c r="A24" s="146" t="s">
        <v>83</v>
      </c>
      <c r="B24" s="147"/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/>
      <c r="I24" s="82"/>
      <c r="J24" s="82"/>
      <c r="K24" s="82"/>
      <c r="L24" s="82">
        <v>0</v>
      </c>
      <c r="M24" s="79"/>
    </row>
    <row r="25" spans="1:14" ht="34.950000000000003" hidden="1" customHeight="1" thickBot="1">
      <c r="A25" s="152" t="s">
        <v>84</v>
      </c>
      <c r="B25" s="153"/>
      <c r="C25" s="84">
        <f t="shared" ref="C25:L25" si="3">+C21+C23+C24</f>
        <v>320750613.12000006</v>
      </c>
      <c r="D25" s="84">
        <f t="shared" si="3"/>
        <v>24513943.501150306</v>
      </c>
      <c r="E25" s="84">
        <f t="shared" si="3"/>
        <v>0</v>
      </c>
      <c r="F25" s="84">
        <f t="shared" si="3"/>
        <v>24513943.501150306</v>
      </c>
      <c r="G25" s="84">
        <f t="shared" si="3"/>
        <v>345264556.62115026</v>
      </c>
      <c r="H25" s="84"/>
      <c r="I25" s="84"/>
      <c r="J25" s="84"/>
      <c r="K25" s="84"/>
      <c r="L25" s="84">
        <f t="shared" si="3"/>
        <v>346902393.62115026</v>
      </c>
      <c r="M25" s="79"/>
    </row>
    <row r="26" spans="1:14" ht="16.2" thickTop="1">
      <c r="A26" s="146"/>
      <c r="B26" s="147"/>
      <c r="C26" s="46"/>
      <c r="D26" s="45"/>
      <c r="E26" s="45"/>
      <c r="F26" s="45"/>
      <c r="G26" s="45"/>
      <c r="H26" s="45"/>
      <c r="I26" s="45"/>
      <c r="J26" s="45"/>
      <c r="K26" s="45"/>
      <c r="L26" s="45"/>
      <c r="M26" s="79"/>
    </row>
    <row r="27" spans="1:14">
      <c r="A27" s="146"/>
      <c r="B27" s="147"/>
      <c r="C27" s="46"/>
      <c r="D27" s="46"/>
      <c r="E27" s="45" t="s">
        <v>18</v>
      </c>
      <c r="F27" s="45"/>
      <c r="G27" s="45"/>
      <c r="H27" s="45"/>
      <c r="I27" s="45"/>
      <c r="J27" s="45"/>
      <c r="K27" s="45"/>
      <c r="L27" s="45"/>
      <c r="M27" s="154"/>
    </row>
    <row r="28" spans="1:14">
      <c r="A28" s="146" t="s">
        <v>19</v>
      </c>
      <c r="B28" s="147"/>
      <c r="C28" s="46" t="s">
        <v>157</v>
      </c>
      <c r="D28" s="45" t="s">
        <v>91</v>
      </c>
      <c r="E28" s="45" t="s">
        <v>20</v>
      </c>
      <c r="F28" s="45" t="s">
        <v>41</v>
      </c>
      <c r="G28" s="45" t="s">
        <v>40</v>
      </c>
      <c r="H28" s="45" t="s">
        <v>27</v>
      </c>
      <c r="I28" s="155" t="s">
        <v>321</v>
      </c>
      <c r="J28" s="45" t="s">
        <v>27</v>
      </c>
      <c r="K28" s="155" t="s">
        <v>331</v>
      </c>
      <c r="L28" s="155" t="s">
        <v>366</v>
      </c>
      <c r="M28" s="156"/>
    </row>
    <row r="29" spans="1:14" ht="15" customHeight="1">
      <c r="A29" s="146"/>
      <c r="B29" s="147"/>
      <c r="C29" s="46"/>
      <c r="D29" s="45"/>
      <c r="E29" s="45" t="s">
        <v>27</v>
      </c>
      <c r="F29" s="45"/>
      <c r="G29" s="45"/>
      <c r="H29" s="45"/>
      <c r="I29" s="45"/>
      <c r="J29" s="45"/>
      <c r="K29" s="45"/>
      <c r="L29" s="45"/>
      <c r="M29" s="79"/>
    </row>
    <row r="30" spans="1:14" ht="16.5" customHeight="1">
      <c r="A30" s="144"/>
      <c r="B30" s="145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79"/>
    </row>
    <row r="31" spans="1:14">
      <c r="A31" s="157"/>
    </row>
    <row r="32" spans="1:14">
      <c r="A32" s="157"/>
    </row>
    <row r="33" spans="1:14" ht="18.600000000000001">
      <c r="A33" s="157" t="s">
        <v>440</v>
      </c>
      <c r="B33" s="337"/>
      <c r="C33" s="337"/>
      <c r="D33" s="337"/>
      <c r="E33" s="337"/>
      <c r="F33" s="337"/>
      <c r="G33" s="337"/>
      <c r="H33" s="337"/>
      <c r="I33" s="337"/>
      <c r="J33" s="157"/>
      <c r="K33" s="157"/>
      <c r="L33" s="157"/>
      <c r="M33" s="128"/>
      <c r="N33" s="128"/>
    </row>
    <row r="34" spans="1:14">
      <c r="A34" s="157" t="s">
        <v>444</v>
      </c>
      <c r="B34" s="337"/>
      <c r="C34" s="337"/>
      <c r="D34" s="337"/>
      <c r="E34" s="337"/>
      <c r="F34" s="337"/>
      <c r="G34" s="337"/>
      <c r="H34" s="337"/>
      <c r="I34" s="337"/>
      <c r="J34" s="157"/>
      <c r="K34" s="157"/>
      <c r="L34" s="157"/>
      <c r="M34" s="128"/>
      <c r="N34" s="128"/>
    </row>
    <row r="35" spans="1:14" ht="15.75" customHeight="1">
      <c r="A35" s="74" t="s">
        <v>419</v>
      </c>
    </row>
    <row r="36" spans="1:14" ht="18" customHeight="1">
      <c r="A36" s="26" t="s">
        <v>29</v>
      </c>
      <c r="B36" s="79"/>
      <c r="C36" s="79"/>
      <c r="D36" s="79"/>
      <c r="E36" s="79"/>
      <c r="F36" s="79"/>
      <c r="G36" s="79"/>
    </row>
    <row r="37" spans="1:14" ht="18" customHeight="1">
      <c r="A37" s="69"/>
      <c r="C37" s="154"/>
      <c r="D37" s="79"/>
      <c r="E37" s="79"/>
      <c r="F37" s="79"/>
      <c r="G37" s="79"/>
    </row>
    <row r="38" spans="1:14" ht="24">
      <c r="A38" s="67"/>
      <c r="B38" s="79"/>
      <c r="C38" s="158"/>
      <c r="D38" s="79"/>
      <c r="E38" s="79"/>
      <c r="F38" s="79"/>
      <c r="G38" s="79"/>
    </row>
    <row r="39" spans="1:14">
      <c r="B39" s="159"/>
    </row>
    <row r="40" spans="1:14">
      <c r="B40" s="159"/>
      <c r="J40" s="2" t="s">
        <v>29</v>
      </c>
    </row>
    <row r="41" spans="1:14">
      <c r="B41" s="159"/>
      <c r="D41" s="79"/>
    </row>
    <row r="42" spans="1:14">
      <c r="B42" s="159"/>
      <c r="D42" s="79"/>
    </row>
    <row r="43" spans="1:14">
      <c r="B43" s="159"/>
      <c r="D43" s="79"/>
    </row>
    <row r="44" spans="1:14">
      <c r="B44" s="159"/>
      <c r="D44" s="79"/>
    </row>
    <row r="45" spans="1:14">
      <c r="B45" s="159"/>
      <c r="D45" s="79"/>
      <c r="G45" s="160"/>
    </row>
    <row r="46" spans="1:14">
      <c r="B46" s="159"/>
      <c r="D46" s="79"/>
    </row>
  </sheetData>
  <phoneticPr fontId="0" type="noConversion"/>
  <printOptions horizontalCentered="1"/>
  <pageMargins left="0.22" right="0.5" top="0.5" bottom="0.55000000000000004" header="0.5" footer="0.38"/>
  <pageSetup scale="86" orientation="landscape" r:id="rId1"/>
  <headerFooter alignWithMargins="0">
    <oddFooter>&amp;C&amp;8Prepared by Pricing &amp;D&amp;R&amp;8&amp;F&amp;A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2"/>
  <dimension ref="B1:AD38"/>
  <sheetViews>
    <sheetView zoomScale="85" zoomScaleNormal="85" workbookViewId="0">
      <selection activeCell="E32" sqref="E32"/>
    </sheetView>
  </sheetViews>
  <sheetFormatPr defaultColWidth="9.59765625" defaultRowHeight="15.6"/>
  <cols>
    <col min="1" max="1" width="9.59765625" style="2" customWidth="1"/>
    <col min="2" max="2" width="14.5" style="2" customWidth="1"/>
    <col min="3" max="3" width="14.69921875" style="2" customWidth="1"/>
    <col min="4" max="4" width="17" style="2" customWidth="1"/>
    <col min="5" max="5" width="13.5" style="2" customWidth="1"/>
    <col min="6" max="6" width="15.8984375" style="2" customWidth="1"/>
    <col min="7" max="7" width="12.59765625" style="2" customWidth="1"/>
    <col min="8" max="8" width="9.59765625" style="2"/>
    <col min="9" max="11" width="15.59765625" style="2" customWidth="1"/>
    <col min="12" max="16384" width="9.59765625" style="2"/>
  </cols>
  <sheetData>
    <row r="1" spans="2:30">
      <c r="B1" s="79"/>
      <c r="C1" s="79"/>
      <c r="D1" s="79"/>
      <c r="E1" s="79"/>
      <c r="F1" s="79"/>
      <c r="G1" s="79" t="s">
        <v>81</v>
      </c>
      <c r="H1" s="79"/>
      <c r="I1" s="79"/>
      <c r="J1" s="79"/>
    </row>
    <row r="2" spans="2:30">
      <c r="B2" s="79"/>
      <c r="C2" s="79"/>
      <c r="D2" s="79"/>
      <c r="E2" s="79"/>
      <c r="F2" s="79"/>
      <c r="G2" s="79" t="s">
        <v>75</v>
      </c>
      <c r="H2" s="79"/>
      <c r="I2" s="79"/>
      <c r="J2" s="79"/>
    </row>
    <row r="3" spans="2:30" ht="22.8">
      <c r="B3" s="161" t="s">
        <v>251</v>
      </c>
      <c r="C3" s="162"/>
      <c r="D3" s="162"/>
      <c r="E3" s="162"/>
      <c r="F3" s="69"/>
      <c r="G3" s="79"/>
      <c r="H3" s="79"/>
      <c r="I3" s="79"/>
      <c r="J3" s="79"/>
    </row>
    <row r="4" spans="2:30" ht="22.8">
      <c r="B4" s="161" t="s">
        <v>44</v>
      </c>
      <c r="C4" s="162"/>
      <c r="D4" s="162"/>
      <c r="E4" s="162"/>
      <c r="F4" s="69"/>
      <c r="G4" s="79"/>
      <c r="H4" s="79"/>
      <c r="I4" s="79"/>
      <c r="J4" s="79"/>
    </row>
    <row r="5" spans="2:30" ht="22.8">
      <c r="B5" s="161" t="s">
        <v>2</v>
      </c>
      <c r="C5" s="162"/>
      <c r="D5" s="162"/>
      <c r="E5" s="162"/>
      <c r="F5" s="69"/>
      <c r="G5" s="79"/>
      <c r="H5" s="79"/>
      <c r="I5" s="79"/>
      <c r="J5" s="79"/>
    </row>
    <row r="6" spans="2:30" ht="22.8">
      <c r="B6" s="161" t="str">
        <f>'Table 1-Revenues'!A6</f>
        <v>12 Months Ended June 2018</v>
      </c>
      <c r="C6" s="162"/>
      <c r="D6" s="162"/>
      <c r="E6" s="162"/>
      <c r="F6" s="69"/>
      <c r="G6" s="79"/>
      <c r="H6" s="79"/>
      <c r="I6" s="79"/>
      <c r="J6" s="79"/>
    </row>
    <row r="8" spans="2:30" ht="22.8">
      <c r="B8" s="30" t="s">
        <v>156</v>
      </c>
      <c r="C8" s="163"/>
      <c r="D8" s="163"/>
      <c r="E8" s="163"/>
      <c r="F8" s="163"/>
    </row>
    <row r="10" spans="2:30">
      <c r="B10" s="79"/>
      <c r="C10" s="79"/>
      <c r="D10" s="77" t="s">
        <v>3</v>
      </c>
      <c r="E10" s="77" t="s">
        <v>4</v>
      </c>
      <c r="F10" s="77" t="s">
        <v>5</v>
      </c>
      <c r="G10" s="79"/>
      <c r="H10" s="79"/>
      <c r="I10" s="79"/>
      <c r="J10" s="79"/>
    </row>
    <row r="11" spans="2:30">
      <c r="B11" s="79"/>
      <c r="C11" s="79"/>
      <c r="D11" s="69"/>
      <c r="E11" s="69"/>
      <c r="F11" s="69"/>
      <c r="G11" s="69"/>
      <c r="H11" s="69"/>
      <c r="I11" s="79"/>
      <c r="J11" s="79"/>
    </row>
    <row r="12" spans="2:30">
      <c r="B12" s="79"/>
      <c r="C12" s="79"/>
      <c r="D12" s="134"/>
      <c r="E12" s="164" t="s">
        <v>29</v>
      </c>
      <c r="F12" s="134" t="s">
        <v>29</v>
      </c>
      <c r="G12" s="79"/>
      <c r="H12" s="79"/>
      <c r="I12" s="79"/>
      <c r="J12" s="79"/>
    </row>
    <row r="13" spans="2:30">
      <c r="B13" s="79"/>
      <c r="C13" s="79"/>
      <c r="D13" s="136" t="s">
        <v>8</v>
      </c>
      <c r="E13" s="45" t="s">
        <v>8</v>
      </c>
      <c r="F13" s="137" t="s">
        <v>8</v>
      </c>
      <c r="G13" s="79"/>
      <c r="H13" s="79"/>
      <c r="I13" s="79"/>
      <c r="J13" s="77"/>
    </row>
    <row r="14" spans="2:30" ht="18.600000000000001">
      <c r="B14" s="79"/>
      <c r="C14" s="79"/>
      <c r="D14" s="136" t="s">
        <v>75</v>
      </c>
      <c r="E14" s="45" t="s">
        <v>242</v>
      </c>
      <c r="F14" s="137" t="s">
        <v>12</v>
      </c>
      <c r="G14" s="79"/>
      <c r="H14" s="79"/>
      <c r="I14" s="79"/>
      <c r="J14" s="79"/>
    </row>
    <row r="15" spans="2:30">
      <c r="B15" s="79"/>
      <c r="C15" s="79"/>
      <c r="D15" s="81"/>
      <c r="E15" s="81" t="s">
        <v>75</v>
      </c>
      <c r="F15" s="165" t="s">
        <v>156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</row>
    <row r="16" spans="2:30" ht="34.950000000000003" customHeight="1">
      <c r="B16" s="141" t="s">
        <v>15</v>
      </c>
      <c r="C16" s="142"/>
      <c r="D16" s="166">
        <f>'Table 2'!F36</f>
        <v>1575823280</v>
      </c>
      <c r="E16" s="167">
        <f>'Table 2'!H36</f>
        <v>0</v>
      </c>
      <c r="F16" s="168">
        <f>D16+E16</f>
        <v>1575823280</v>
      </c>
      <c r="G16" s="169"/>
      <c r="H16" s="79"/>
      <c r="I16" s="154"/>
      <c r="J16" s="16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</row>
    <row r="17" spans="2:30" ht="34.950000000000003" customHeight="1">
      <c r="B17" s="144" t="s">
        <v>16</v>
      </c>
      <c r="C17" s="145"/>
      <c r="D17" s="168">
        <f>'Table 2'!F65</f>
        <v>1561150891</v>
      </c>
      <c r="E17" s="167">
        <f>'Table 2'!H65</f>
        <v>0</v>
      </c>
      <c r="F17" s="168">
        <f>D17+E17</f>
        <v>1561150891</v>
      </c>
      <c r="G17" s="169"/>
      <c r="H17" s="79"/>
      <c r="I17" s="154"/>
      <c r="J17" s="16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>
        <v>4.8740385218734944E-2</v>
      </c>
    </row>
    <row r="18" spans="2:30" ht="34.950000000000003" customHeight="1">
      <c r="B18" s="144" t="s">
        <v>28</v>
      </c>
      <c r="C18" s="145"/>
      <c r="D18" s="168">
        <f>'Table 2'!F96</f>
        <v>738560025</v>
      </c>
      <c r="E18" s="167">
        <f>'Table 2'!H96</f>
        <v>0</v>
      </c>
      <c r="F18" s="168">
        <f>D18+E18</f>
        <v>738560025</v>
      </c>
      <c r="G18" s="169"/>
      <c r="H18" s="79"/>
      <c r="I18" s="154"/>
      <c r="J18" s="16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</row>
    <row r="19" spans="2:30" ht="34.950000000000003" customHeight="1">
      <c r="B19" s="144" t="s">
        <v>171</v>
      </c>
      <c r="C19" s="145"/>
      <c r="D19" s="168">
        <f>'Table 2'!F117</f>
        <v>158782995</v>
      </c>
      <c r="E19" s="167">
        <f>'Table 2'!H117</f>
        <v>0</v>
      </c>
      <c r="F19" s="168">
        <f>D19+E19</f>
        <v>158782995</v>
      </c>
      <c r="G19" s="79"/>
      <c r="H19" s="79"/>
      <c r="I19" s="154"/>
      <c r="J19" s="16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</row>
    <row r="20" spans="2:30" ht="34.950000000000003" customHeight="1">
      <c r="B20" s="170" t="s">
        <v>17</v>
      </c>
      <c r="C20" s="171"/>
      <c r="D20" s="172">
        <f>'Table 2'!F137</f>
        <v>10294069</v>
      </c>
      <c r="E20" s="173">
        <f>'Table 2'!H137</f>
        <v>0</v>
      </c>
      <c r="F20" s="172">
        <f>D20+E20</f>
        <v>10294069</v>
      </c>
      <c r="G20" s="79"/>
      <c r="H20" s="79"/>
      <c r="I20" s="154"/>
      <c r="J20" s="16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</row>
    <row r="21" spans="2:30" ht="34.950000000000003" customHeight="1" thickBot="1">
      <c r="B21" s="152" t="s">
        <v>71</v>
      </c>
      <c r="C21" s="153"/>
      <c r="D21" s="174">
        <f>SUM(D16:D20)</f>
        <v>4044611260</v>
      </c>
      <c r="E21" s="174">
        <f>SUM(E16:E20)</f>
        <v>0</v>
      </c>
      <c r="F21" s="174">
        <f>SUM(F16:F20)</f>
        <v>4044611260</v>
      </c>
      <c r="G21" s="79"/>
      <c r="H21" s="79"/>
      <c r="I21" s="154"/>
      <c r="J21" s="16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</row>
    <row r="22" spans="2:30" ht="16.2" hidden="1" thickTop="1">
      <c r="B22" s="144" t="s">
        <v>85</v>
      </c>
      <c r="C22" s="145"/>
      <c r="D22" s="168"/>
      <c r="E22" s="175"/>
      <c r="F22" s="168"/>
      <c r="G22" s="79"/>
      <c r="H22" s="79"/>
      <c r="I22" s="154"/>
      <c r="J22" s="16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</row>
    <row r="23" spans="2:30" ht="34.950000000000003" hidden="1" customHeight="1">
      <c r="B23" s="144" t="s">
        <v>82</v>
      </c>
      <c r="C23" s="145"/>
      <c r="D23" s="168">
        <v>0</v>
      </c>
      <c r="E23" s="167">
        <v>0</v>
      </c>
      <c r="F23" s="168">
        <f>D23+E23</f>
        <v>0</v>
      </c>
      <c r="G23" s="79"/>
      <c r="H23" s="79"/>
      <c r="I23" s="154"/>
      <c r="J23" s="16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</row>
    <row r="24" spans="2:30" ht="34.950000000000003" hidden="1" customHeight="1" thickBot="1">
      <c r="B24" s="176" t="s">
        <v>83</v>
      </c>
      <c r="C24" s="177"/>
      <c r="D24" s="178">
        <v>0</v>
      </c>
      <c r="E24" s="179">
        <v>0</v>
      </c>
      <c r="F24" s="178">
        <f>D24+E24</f>
        <v>0</v>
      </c>
      <c r="G24" s="79"/>
      <c r="H24" s="79"/>
      <c r="I24" s="154"/>
      <c r="J24" s="16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</row>
    <row r="25" spans="2:30" ht="34.950000000000003" hidden="1" customHeight="1" thickTop="1">
      <c r="B25" s="144" t="s">
        <v>84</v>
      </c>
      <c r="C25" s="145"/>
      <c r="D25" s="168">
        <f>SUM(D21:D24)</f>
        <v>4044611260</v>
      </c>
      <c r="E25" s="175">
        <f>SUM(E21:E24)</f>
        <v>0</v>
      </c>
      <c r="F25" s="168">
        <f>SUM(F21:F24)</f>
        <v>4044611260</v>
      </c>
      <c r="G25" s="79"/>
      <c r="H25" s="79"/>
      <c r="I25" s="154"/>
      <c r="J25" s="16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</row>
    <row r="26" spans="2:30" ht="16.2" thickTop="1">
      <c r="B26" s="146"/>
      <c r="C26" s="147"/>
      <c r="D26" s="46"/>
      <c r="E26" s="45"/>
      <c r="F26" s="45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</row>
    <row r="27" spans="2:30">
      <c r="B27" s="146" t="s">
        <v>19</v>
      </c>
      <c r="C27" s="147"/>
      <c r="D27" s="46" t="s">
        <v>157</v>
      </c>
      <c r="E27" s="45" t="s">
        <v>91</v>
      </c>
      <c r="F27" s="45" t="s">
        <v>227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</row>
    <row r="28" spans="2:30" ht="15" customHeight="1">
      <c r="B28" s="146"/>
      <c r="C28" s="147"/>
      <c r="D28" s="46"/>
      <c r="E28" s="45" t="s">
        <v>29</v>
      </c>
      <c r="F28" s="45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</row>
    <row r="29" spans="2:30" ht="16.5" customHeight="1">
      <c r="B29" s="144"/>
      <c r="C29" s="145"/>
      <c r="D29" s="47"/>
      <c r="E29" s="47" t="s">
        <v>29</v>
      </c>
      <c r="F29" s="47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</row>
    <row r="30" spans="2:30">
      <c r="B30" s="157"/>
    </row>
    <row r="31" spans="2:30">
      <c r="B31" s="157"/>
    </row>
    <row r="32" spans="2:30" ht="18" customHeight="1">
      <c r="B32" s="26" t="s">
        <v>420</v>
      </c>
      <c r="C32" s="79"/>
      <c r="D32" s="79"/>
      <c r="E32" s="79"/>
      <c r="F32" s="79"/>
    </row>
    <row r="33" spans="2:6">
      <c r="B33" s="180"/>
      <c r="F33" s="181"/>
    </row>
    <row r="34" spans="2:6">
      <c r="B34" s="131"/>
      <c r="C34" s="17"/>
    </row>
    <row r="35" spans="2:6" ht="18" customHeight="1">
      <c r="B35" s="182" t="s">
        <v>29</v>
      </c>
      <c r="C35" s="79"/>
      <c r="D35" s="79"/>
      <c r="E35" s="79"/>
      <c r="F35" s="79"/>
    </row>
    <row r="36" spans="2:6" ht="18" customHeight="1">
      <c r="B36" s="182" t="s">
        <v>29</v>
      </c>
      <c r="C36" s="79"/>
      <c r="D36" s="79"/>
      <c r="E36" s="79"/>
      <c r="F36" s="79"/>
    </row>
    <row r="37" spans="2:6" ht="18" customHeight="1">
      <c r="B37" s="69"/>
      <c r="C37" s="79"/>
      <c r="D37" s="79"/>
      <c r="E37" s="79"/>
      <c r="F37" s="79"/>
    </row>
    <row r="38" spans="2:6">
      <c r="B38" s="79"/>
      <c r="C38" s="79"/>
      <c r="D38" s="158"/>
      <c r="E38" s="79"/>
      <c r="F38" s="79"/>
    </row>
  </sheetData>
  <phoneticPr fontId="0" type="noConversion"/>
  <printOptions horizontalCentered="1"/>
  <pageMargins left="1" right="0.5" top="0.5" bottom="0.55000000000000004" header="0.5" footer="0.38"/>
  <pageSetup scale="72" orientation="landscape" r:id="rId1"/>
  <headerFooter alignWithMargins="0">
    <oddFooter>&amp;C&amp;8Prepared by Pricing &amp;D&amp;R&amp;8&amp;F&amp;A</oddFooter>
  </headerFooter>
  <colBreaks count="1" manualBreakCount="1">
    <brk id="8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W148"/>
  <sheetViews>
    <sheetView tabSelected="1" view="pageBreakPreview" topLeftCell="A3" zoomScale="85" zoomScaleNormal="70" zoomScaleSheetLayoutView="85" workbookViewId="0">
      <pane ySplit="9" topLeftCell="A117" activePane="bottomLeft" state="frozen"/>
      <selection pane="bottomLeft" activeCell="A3" sqref="A3"/>
    </sheetView>
  </sheetViews>
  <sheetFormatPr defaultColWidth="9" defaultRowHeight="15.6"/>
  <cols>
    <col min="1" max="1" width="5.8984375" style="2" customWidth="1"/>
    <col min="2" max="2" width="15.5" style="2" customWidth="1"/>
    <col min="3" max="4" width="7.59765625" style="2" customWidth="1"/>
    <col min="5" max="5" width="13" style="2" customWidth="1"/>
    <col min="6" max="7" width="17.69921875" style="2" customWidth="1"/>
    <col min="8" max="8" width="15.69921875" style="2" customWidth="1"/>
    <col min="9" max="9" width="18.19921875" style="2" customWidth="1"/>
    <col min="10" max="14" width="15.59765625" style="2" customWidth="1"/>
    <col min="15" max="15" width="14.69921875" style="2" bestFit="1" customWidth="1"/>
    <col min="16" max="16" width="9" style="2"/>
    <col min="17" max="18" width="14.59765625" style="2" bestFit="1" customWidth="1"/>
    <col min="19" max="21" width="11.09765625" style="2" bestFit="1" customWidth="1"/>
    <col min="22" max="22" width="9" style="2"/>
    <col min="23" max="23" width="10.3984375" style="2" customWidth="1"/>
    <col min="24" max="24" width="9" style="2"/>
    <col min="25" max="26" width="15.19921875" style="2" bestFit="1" customWidth="1"/>
    <col min="27" max="27" width="12.69921875" style="2" bestFit="1" customWidth="1"/>
    <col min="28" max="31" width="9" style="2"/>
    <col min="32" max="34" width="13.59765625" style="2" bestFit="1" customWidth="1"/>
    <col min="35" max="16384" width="9" style="2"/>
  </cols>
  <sheetData>
    <row r="1" spans="1:23" hidden="1">
      <c r="J1" s="197"/>
      <c r="K1" s="197"/>
      <c r="O1" s="2" t="s">
        <v>91</v>
      </c>
    </row>
    <row r="2" spans="1:23" hidden="1">
      <c r="O2" s="2" t="s">
        <v>159</v>
      </c>
    </row>
    <row r="3" spans="1:23" ht="17.399999999999999">
      <c r="A3" s="132" t="s">
        <v>252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131"/>
      <c r="Q3" s="131"/>
      <c r="R3" s="131"/>
      <c r="S3" s="131"/>
      <c r="T3" s="79"/>
      <c r="U3" s="79"/>
      <c r="V3" s="79"/>
      <c r="W3" s="79"/>
    </row>
    <row r="4" spans="1:23" ht="17.399999999999999">
      <c r="A4" s="13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131"/>
      <c r="Q4" s="131"/>
      <c r="R4" s="131"/>
      <c r="S4" s="131"/>
      <c r="T4" s="79"/>
      <c r="U4" s="79"/>
      <c r="V4" s="79"/>
      <c r="W4" s="79"/>
    </row>
    <row r="5" spans="1:23" ht="17.399999999999999">
      <c r="A5" s="132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131"/>
      <c r="Q5" s="131"/>
      <c r="R5" s="131"/>
      <c r="S5" s="131"/>
      <c r="T5" s="79"/>
      <c r="U5" s="79"/>
      <c r="V5" s="79"/>
      <c r="W5" s="79"/>
    </row>
    <row r="6" spans="1:23" ht="17.399999999999999">
      <c r="A6" s="132" t="str">
        <f>'Table 1-Revenues'!A6</f>
        <v>12 Months Ended June 2018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131"/>
      <c r="Q6" s="131"/>
      <c r="R6" s="198"/>
      <c r="S6" s="131"/>
      <c r="T6" s="79"/>
      <c r="U6" s="79"/>
      <c r="V6" s="79"/>
      <c r="W6" s="79"/>
    </row>
    <row r="7" spans="1:23" ht="17.399999999999999">
      <c r="A7" s="19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131"/>
      <c r="Q7" s="131"/>
      <c r="R7" s="198"/>
      <c r="S7" s="131"/>
      <c r="T7" s="79"/>
      <c r="U7" s="79"/>
      <c r="V7" s="79"/>
      <c r="W7" s="79"/>
    </row>
    <row r="8" spans="1:23" ht="17.399999999999999">
      <c r="A8" s="132"/>
      <c r="B8" s="69"/>
      <c r="C8" s="69"/>
      <c r="D8" s="69"/>
      <c r="E8" s="77"/>
      <c r="F8" s="77"/>
      <c r="G8" s="77" t="s">
        <v>246</v>
      </c>
      <c r="H8" s="77"/>
      <c r="I8" s="77"/>
      <c r="J8" s="77"/>
      <c r="K8" s="77"/>
      <c r="L8" s="77"/>
      <c r="M8" s="77"/>
      <c r="N8" s="77"/>
      <c r="O8" s="77"/>
      <c r="P8" s="131"/>
      <c r="Q8" s="131"/>
      <c r="R8" s="198"/>
      <c r="S8" s="131"/>
      <c r="T8" s="79"/>
      <c r="U8" s="79"/>
      <c r="V8" s="79"/>
      <c r="W8" s="79"/>
    </row>
    <row r="9" spans="1:23" ht="17.399999999999999">
      <c r="A9" s="132"/>
      <c r="B9" s="69"/>
      <c r="C9" s="69"/>
      <c r="D9" s="69"/>
      <c r="E9" s="77"/>
      <c r="F9" s="77"/>
      <c r="G9" s="71" t="s">
        <v>11</v>
      </c>
      <c r="H9" s="71" t="s">
        <v>8</v>
      </c>
      <c r="I9" s="73"/>
      <c r="J9" s="77" t="s">
        <v>39</v>
      </c>
      <c r="K9" s="77" t="s">
        <v>246</v>
      </c>
      <c r="L9" s="77" t="s">
        <v>322</v>
      </c>
      <c r="M9" s="77" t="s">
        <v>358</v>
      </c>
      <c r="N9" s="77"/>
      <c r="O9" s="77"/>
      <c r="P9" s="69"/>
      <c r="Q9" s="69"/>
      <c r="R9" s="133"/>
      <c r="S9" s="69"/>
      <c r="T9" s="79"/>
      <c r="U9" s="79"/>
      <c r="V9" s="79"/>
      <c r="W9" s="79"/>
    </row>
    <row r="10" spans="1:23" ht="18.600000000000001">
      <c r="A10" s="132"/>
      <c r="B10" s="69"/>
      <c r="C10" s="69"/>
      <c r="D10" s="69"/>
      <c r="E10" s="71" t="s">
        <v>37</v>
      </c>
      <c r="F10" s="23" t="s">
        <v>39</v>
      </c>
      <c r="G10" s="23" t="s">
        <v>242</v>
      </c>
      <c r="H10" s="23" t="s">
        <v>69</v>
      </c>
      <c r="I10" s="73" t="s">
        <v>12</v>
      </c>
      <c r="J10" s="23" t="s">
        <v>35</v>
      </c>
      <c r="K10" s="23" t="s">
        <v>220</v>
      </c>
      <c r="L10" s="23" t="s">
        <v>332</v>
      </c>
      <c r="M10" s="23" t="s">
        <v>13</v>
      </c>
      <c r="N10" s="77" t="s">
        <v>8</v>
      </c>
      <c r="O10" s="77" t="s">
        <v>12</v>
      </c>
      <c r="P10" s="69"/>
      <c r="Q10" s="69"/>
      <c r="R10" s="133"/>
      <c r="S10" s="69"/>
      <c r="T10" s="79"/>
      <c r="U10" s="79"/>
      <c r="V10" s="79"/>
      <c r="W10" s="79"/>
    </row>
    <row r="11" spans="1:23">
      <c r="B11" s="3"/>
      <c r="C11" s="4"/>
      <c r="D11" s="4"/>
      <c r="E11" s="14" t="s">
        <v>38</v>
      </c>
      <c r="F11" s="14" t="s">
        <v>75</v>
      </c>
      <c r="G11" s="14" t="s">
        <v>75</v>
      </c>
      <c r="H11" s="14" t="s">
        <v>75</v>
      </c>
      <c r="I11" s="15" t="s">
        <v>75</v>
      </c>
      <c r="J11" s="14" t="s">
        <v>66</v>
      </c>
      <c r="K11" s="14" t="s">
        <v>66</v>
      </c>
      <c r="L11" s="14" t="s">
        <v>66</v>
      </c>
      <c r="M11" s="14" t="s">
        <v>66</v>
      </c>
      <c r="N11" s="14" t="s">
        <v>13</v>
      </c>
      <c r="O11" s="14" t="s">
        <v>1</v>
      </c>
    </row>
    <row r="12" spans="1:23" ht="15.75" customHeight="1">
      <c r="A12" s="3" t="s">
        <v>15</v>
      </c>
      <c r="B12" s="3"/>
      <c r="D12" s="157" t="s">
        <v>131</v>
      </c>
      <c r="E12" s="183"/>
      <c r="F12" s="183"/>
      <c r="G12" s="183"/>
      <c r="H12" s="183"/>
      <c r="I12" s="184"/>
      <c r="J12" s="4"/>
      <c r="K12" s="4"/>
      <c r="L12" s="4"/>
      <c r="M12" s="4"/>
      <c r="N12" s="4"/>
      <c r="S12" s="33"/>
    </row>
    <row r="13" spans="1:23" ht="15.75" customHeight="1">
      <c r="B13" s="2" t="s">
        <v>45</v>
      </c>
      <c r="D13" s="68">
        <v>16</v>
      </c>
      <c r="E13" s="17">
        <f>SUMIFS('305 Inputs'!$G:$G,'305 Inputs'!$J:$J,$D13,'305 Inputs'!$C:$C,$D$12)/12</f>
        <v>101436.08333333333</v>
      </c>
      <c r="F13" s="17">
        <f>SUMIFS('305 Inputs'!$H:$H,'305 Inputs'!$J:$J,$D13,'305 Inputs'!$C:$C,$D$12)</f>
        <v>1474756591</v>
      </c>
      <c r="G13" s="17">
        <v>0</v>
      </c>
      <c r="H13" s="17">
        <f t="shared" ref="H13:H19" si="0">G13</f>
        <v>0</v>
      </c>
      <c r="I13" s="185">
        <f t="shared" ref="I13:I19" si="1">H13+F13</f>
        <v>1474756591</v>
      </c>
      <c r="J13" s="16">
        <f>'Table 3'!E13</f>
        <v>132507078.40000001</v>
      </c>
      <c r="K13" s="16">
        <f>'Table 3'!J13</f>
        <v>5647607.8168843258</v>
      </c>
      <c r="L13" s="16">
        <f>'Table 3'!N13</f>
        <v>656697</v>
      </c>
      <c r="M13" s="16">
        <f>'Table 3'!R13</f>
        <v>0</v>
      </c>
      <c r="N13" s="16">
        <f t="shared" ref="N13:N19" si="2">K13+L13+M13</f>
        <v>6304304.8168843258</v>
      </c>
      <c r="O13" s="16">
        <f t="shared" ref="O13:O19" si="3">N13+J13</f>
        <v>138811383.21688434</v>
      </c>
      <c r="Q13" s="5"/>
      <c r="R13" s="5"/>
      <c r="S13" s="33"/>
    </row>
    <row r="14" spans="1:23" ht="15.75" customHeight="1">
      <c r="B14" s="2" t="s">
        <v>86</v>
      </c>
      <c r="D14" s="68">
        <v>17</v>
      </c>
      <c r="E14" s="17">
        <f>SUMIFS('305 Inputs'!$G:$G,'305 Inputs'!$J:$J,$D14,'305 Inputs'!$C:$C,$D$12)/12</f>
        <v>5061.5</v>
      </c>
      <c r="F14" s="17">
        <f>SUMIFS('305 Inputs'!$H:$H,'305 Inputs'!$J:$J,$D14,'305 Inputs'!$C:$C,$D$12)</f>
        <v>75215921</v>
      </c>
      <c r="G14" s="17">
        <v>0</v>
      </c>
      <c r="H14" s="17">
        <f t="shared" si="0"/>
        <v>0</v>
      </c>
      <c r="I14" s="185">
        <f t="shared" si="1"/>
        <v>75215921</v>
      </c>
      <c r="J14" s="16">
        <f>'Table 3'!E14</f>
        <v>6745183.6499999994</v>
      </c>
      <c r="K14" s="16">
        <f>'Table 3'!J14</f>
        <v>294343.9914663586</v>
      </c>
      <c r="L14" s="16">
        <f>'Table 3'!N14</f>
        <v>33461</v>
      </c>
      <c r="M14" s="16">
        <f>'Table 3'!R14</f>
        <v>0</v>
      </c>
      <c r="N14" s="16">
        <f t="shared" si="2"/>
        <v>327804.9914663586</v>
      </c>
      <c r="O14" s="16">
        <f t="shared" si="3"/>
        <v>7072988.6414663577</v>
      </c>
      <c r="Q14" s="5"/>
      <c r="R14" s="5"/>
      <c r="S14" s="33"/>
    </row>
    <row r="15" spans="1:23" ht="15.75" customHeight="1">
      <c r="B15" s="2" t="s">
        <v>46</v>
      </c>
      <c r="D15" s="68">
        <v>18</v>
      </c>
      <c r="E15" s="17">
        <f>SUMIFS('305 Inputs'!$G:$G,'305 Inputs'!$J:$J,$D15,'305 Inputs'!$C:$C,$D$12)/12</f>
        <v>82.083333333333329</v>
      </c>
      <c r="F15" s="17">
        <f>SUMIFS('305 Inputs'!$H:$H,'305 Inputs'!$J:$J,$D15,'305 Inputs'!$C:$C,$D$12)</f>
        <v>2158142</v>
      </c>
      <c r="G15" s="17">
        <v>0</v>
      </c>
      <c r="H15" s="17">
        <f t="shared" si="0"/>
        <v>0</v>
      </c>
      <c r="I15" s="185">
        <f t="shared" si="1"/>
        <v>2158142</v>
      </c>
      <c r="J15" s="16">
        <f>'Table 3'!E15</f>
        <v>214411.27000000002</v>
      </c>
      <c r="K15" s="16">
        <f>'Table 3'!J15</f>
        <v>6810.1946829845037</v>
      </c>
      <c r="L15" s="16">
        <f>'Table 3'!N15</f>
        <v>1052</v>
      </c>
      <c r="M15" s="16">
        <f>'Table 3'!R15</f>
        <v>0</v>
      </c>
      <c r="N15" s="16">
        <f t="shared" si="2"/>
        <v>7862.1946829845037</v>
      </c>
      <c r="O15" s="16">
        <f t="shared" si="3"/>
        <v>222273.46468298452</v>
      </c>
      <c r="Q15" s="5"/>
      <c r="R15" s="5"/>
      <c r="S15" s="33"/>
    </row>
    <row r="16" spans="1:23" ht="15.75" customHeight="1">
      <c r="B16" s="4" t="s">
        <v>150</v>
      </c>
      <c r="D16" s="68" t="s">
        <v>149</v>
      </c>
      <c r="E16" s="17">
        <f>SUMIFS('305 Inputs'!$G:$G,'305 Inputs'!$J:$J,$D16,'305 Inputs'!$C:$C,$D$12)/12</f>
        <v>14.916666666666666</v>
      </c>
      <c r="F16" s="17">
        <f>SUMIFS('305 Inputs'!$H:$H,'305 Inputs'!$J:$J,$D16,'305 Inputs'!$C:$C,$D$12)</f>
        <v>352104</v>
      </c>
      <c r="G16" s="17">
        <v>0</v>
      </c>
      <c r="H16" s="17">
        <f t="shared" si="0"/>
        <v>0</v>
      </c>
      <c r="I16" s="185">
        <f t="shared" si="1"/>
        <v>352104</v>
      </c>
      <c r="J16" s="16">
        <f>'Table 3'!E16</f>
        <v>34154.43</v>
      </c>
      <c r="K16" s="16">
        <f>'Table 3'!J16</f>
        <v>2771.8291765756226</v>
      </c>
      <c r="L16" s="16">
        <f>'Table 3'!N16</f>
        <v>176</v>
      </c>
      <c r="M16" s="16">
        <f>'Table 3'!R16</f>
        <v>0</v>
      </c>
      <c r="N16" s="16">
        <f t="shared" si="2"/>
        <v>2947.8291765756226</v>
      </c>
      <c r="O16" s="16">
        <f t="shared" si="3"/>
        <v>37102.259176575622</v>
      </c>
      <c r="Q16" s="5"/>
      <c r="R16" s="5"/>
      <c r="S16" s="33"/>
    </row>
    <row r="17" spans="2:19" ht="15.75" customHeight="1">
      <c r="B17" s="4" t="s">
        <v>218</v>
      </c>
      <c r="D17" s="68">
        <v>135</v>
      </c>
      <c r="E17" s="17">
        <f>SUMIFS('305 Inputs'!$G:$G,'305 Inputs'!$J:$J,$D17,'305 Inputs'!$C:$C,$D$12)/12</f>
        <v>803.16666666666663</v>
      </c>
      <c r="F17" s="17">
        <f>SUMIFS('305 Inputs'!$H:$H,'305 Inputs'!$J:$J,$D17,'305 Inputs'!$C:$C,$D$12)</f>
        <v>8609853</v>
      </c>
      <c r="G17" s="17">
        <v>0</v>
      </c>
      <c r="H17" s="17">
        <f t="shared" si="0"/>
        <v>0</v>
      </c>
      <c r="I17" s="185">
        <f t="shared" si="1"/>
        <v>8609853</v>
      </c>
      <c r="J17" s="16">
        <f>'Table 3'!E17</f>
        <v>820180.15</v>
      </c>
      <c r="K17" s="16">
        <f>'Table 3'!J17</f>
        <v>67990.181089881196</v>
      </c>
      <c r="L17" s="16">
        <f>'Table 3'!N17</f>
        <v>4222</v>
      </c>
      <c r="M17" s="16">
        <f>'Table 3'!R17</f>
        <v>0</v>
      </c>
      <c r="N17" s="16">
        <f t="shared" si="2"/>
        <v>72212.181089881196</v>
      </c>
      <c r="O17" s="16">
        <f t="shared" si="3"/>
        <v>892392.33108988125</v>
      </c>
      <c r="Q17" s="5"/>
      <c r="R17" s="5"/>
      <c r="S17" s="33"/>
    </row>
    <row r="18" spans="2:19" ht="15.75" customHeight="1">
      <c r="B18" s="4" t="s">
        <v>282</v>
      </c>
      <c r="D18" s="68">
        <v>24</v>
      </c>
      <c r="E18" s="17">
        <f>SUMIFS('305 Inputs'!$G:$G,'305 Inputs'!$J:$J,$D18,'305 Inputs'!$C:$C,$D$12)/12</f>
        <v>3438.4166666666665</v>
      </c>
      <c r="F18" s="17">
        <f>SUMIFS('305 Inputs'!$H:$H,'305 Inputs'!$J:$J,$D18,'305 Inputs'!$C:$C,$D$12)</f>
        <v>20648597</v>
      </c>
      <c r="G18" s="17">
        <v>0</v>
      </c>
      <c r="H18" s="17">
        <f t="shared" si="0"/>
        <v>0</v>
      </c>
      <c r="I18" s="185">
        <f t="shared" si="1"/>
        <v>20648597</v>
      </c>
      <c r="J18" s="16">
        <f>'Table 3'!E18</f>
        <v>2379428.9500000002</v>
      </c>
      <c r="K18" s="16">
        <f>'Table 3'!J18</f>
        <v>81347.565019371978</v>
      </c>
      <c r="L18" s="16">
        <f>'Table 3'!N18</f>
        <v>11697</v>
      </c>
      <c r="M18" s="16">
        <f>'Table 3'!R18</f>
        <v>0</v>
      </c>
      <c r="N18" s="16">
        <f t="shared" si="2"/>
        <v>93044.565019371978</v>
      </c>
      <c r="O18" s="16">
        <f t="shared" si="3"/>
        <v>2472473.5150193721</v>
      </c>
      <c r="Q18" s="5"/>
      <c r="R18" s="5"/>
      <c r="S18" s="33"/>
    </row>
    <row r="19" spans="2:19" ht="15.75" customHeight="1">
      <c r="B19" s="4" t="s">
        <v>373</v>
      </c>
      <c r="D19" s="68">
        <v>36</v>
      </c>
      <c r="E19" s="186">
        <f>SUMIFS('305 Inputs'!$G:$G,'305 Inputs'!$J:$J,$D19,'305 Inputs'!$C:$C,$D$12)/12</f>
        <v>2</v>
      </c>
      <c r="F19" s="186">
        <f>SUMIFS('305 Inputs'!$H:$H,'305 Inputs'!$J:$J,$D19,'305 Inputs'!$C:$C,$D$12)</f>
        <v>1534261</v>
      </c>
      <c r="G19" s="186">
        <v>0</v>
      </c>
      <c r="H19" s="186">
        <f t="shared" si="0"/>
        <v>0</v>
      </c>
      <c r="I19" s="187">
        <f t="shared" si="1"/>
        <v>1534261</v>
      </c>
      <c r="J19" s="188">
        <f>'Table 3'!E19</f>
        <v>115050.89</v>
      </c>
      <c r="K19" s="188">
        <f>'Table 3'!J19</f>
        <v>3789.120153102328</v>
      </c>
      <c r="L19" s="188">
        <f>'Table 3'!N19</f>
        <v>565</v>
      </c>
      <c r="M19" s="188">
        <f>'Table 3'!R19</f>
        <v>0</v>
      </c>
      <c r="N19" s="188">
        <f t="shared" si="2"/>
        <v>4354.120153102328</v>
      </c>
      <c r="O19" s="188">
        <f t="shared" si="3"/>
        <v>119405.01015310232</v>
      </c>
      <c r="Q19" s="5"/>
      <c r="R19" s="5"/>
      <c r="S19" s="33"/>
    </row>
    <row r="20" spans="2:19" ht="15.75" customHeight="1">
      <c r="B20" s="4" t="s">
        <v>33</v>
      </c>
      <c r="C20" s="6"/>
      <c r="D20" s="68"/>
      <c r="E20" s="17">
        <f t="shared" ref="E20:O20" si="4">SUM(E13:E19)</f>
        <v>110838.16666666667</v>
      </c>
      <c r="F20" s="17">
        <f t="shared" si="4"/>
        <v>1583275469</v>
      </c>
      <c r="G20" s="17">
        <f t="shared" si="4"/>
        <v>0</v>
      </c>
      <c r="H20" s="17">
        <f t="shared" si="4"/>
        <v>0</v>
      </c>
      <c r="I20" s="17">
        <f t="shared" si="4"/>
        <v>1583275469</v>
      </c>
      <c r="J20" s="16">
        <f t="shared" si="4"/>
        <v>142815487.74000001</v>
      </c>
      <c r="K20" s="16">
        <f t="shared" si="4"/>
        <v>6104660.6984725995</v>
      </c>
      <c r="L20" s="16">
        <f t="shared" si="4"/>
        <v>707870</v>
      </c>
      <c r="M20" s="16">
        <f t="shared" si="4"/>
        <v>0</v>
      </c>
      <c r="N20" s="16">
        <f t="shared" si="4"/>
        <v>6812530.6984725995</v>
      </c>
      <c r="O20" s="16">
        <f t="shared" si="4"/>
        <v>149628018.43847263</v>
      </c>
      <c r="Q20" s="5"/>
      <c r="R20" s="5"/>
      <c r="S20" s="33"/>
    </row>
    <row r="21" spans="2:19" ht="15.75" customHeight="1">
      <c r="B21" s="4"/>
      <c r="C21" s="6"/>
      <c r="D21" s="68"/>
      <c r="E21" s="183"/>
      <c r="F21" s="183"/>
      <c r="G21" s="183"/>
      <c r="H21" s="183"/>
      <c r="I21" s="184"/>
      <c r="J21" s="16"/>
      <c r="K21" s="16"/>
      <c r="L21" s="16"/>
      <c r="M21" s="16"/>
      <c r="N21" s="16"/>
      <c r="O21" s="5"/>
      <c r="Q21" s="5"/>
      <c r="R21" s="5"/>
      <c r="S21" s="33"/>
    </row>
    <row r="22" spans="2:19" ht="15.75" customHeight="1">
      <c r="B22" s="2" t="s">
        <v>47</v>
      </c>
      <c r="C22" s="6"/>
      <c r="D22" s="68" t="s">
        <v>148</v>
      </c>
      <c r="E22" s="186">
        <f>SUMIFS('305 Inputs'!$G:$G,'305 Inputs'!$J:$J,$D22,'305 Inputs'!$C:$C,$D$12)/12</f>
        <v>1066.1666666666667</v>
      </c>
      <c r="F22" s="186">
        <f>SUMIFS('305 Inputs'!$H:$H,'305 Inputs'!$J:$J,$D22,'305 Inputs'!$C:$C,$D$12)</f>
        <v>967811</v>
      </c>
      <c r="G22" s="186">
        <v>0</v>
      </c>
      <c r="H22" s="186">
        <f>G22</f>
        <v>0</v>
      </c>
      <c r="I22" s="187">
        <f>H22+F22</f>
        <v>967811</v>
      </c>
      <c r="J22" s="188">
        <f>'Table 3'!E22</f>
        <v>145594.34</v>
      </c>
      <c r="K22" s="188">
        <f>'Table 3'!J22</f>
        <v>4412.3569683098995</v>
      </c>
      <c r="L22" s="188">
        <f>'Table 3'!N22</f>
        <v>710</v>
      </c>
      <c r="M22" s="188">
        <f>'Table 3'!R22</f>
        <v>0</v>
      </c>
      <c r="N22" s="188">
        <f>K22+L22+M22</f>
        <v>5122.3569683098995</v>
      </c>
      <c r="O22" s="188">
        <f>N22+J22</f>
        <v>150716.6969683099</v>
      </c>
      <c r="Q22" s="5"/>
      <c r="R22" s="5"/>
      <c r="S22" s="33"/>
    </row>
    <row r="23" spans="2:19" ht="15.75" customHeight="1">
      <c r="B23" s="2" t="s">
        <v>33</v>
      </c>
      <c r="D23" s="68"/>
      <c r="E23" s="17">
        <f>SUM(E22:E22)</f>
        <v>1066.1666666666667</v>
      </c>
      <c r="F23" s="17">
        <f>SUM(F22:F22)</f>
        <v>967811</v>
      </c>
      <c r="G23" s="17">
        <f t="shared" ref="G23:O23" si="5">SUM(G22)</f>
        <v>0</v>
      </c>
      <c r="H23" s="17">
        <f t="shared" si="5"/>
        <v>0</v>
      </c>
      <c r="I23" s="185">
        <f t="shared" si="5"/>
        <v>967811</v>
      </c>
      <c r="J23" s="16">
        <f t="shared" si="5"/>
        <v>145594.34</v>
      </c>
      <c r="K23" s="16">
        <f t="shared" si="5"/>
        <v>4412.3569683098995</v>
      </c>
      <c r="L23" s="16">
        <f>SUM(L22:L22)</f>
        <v>710</v>
      </c>
      <c r="M23" s="16">
        <f>SUM(M22:M22)</f>
        <v>0</v>
      </c>
      <c r="N23" s="16">
        <f t="shared" si="5"/>
        <v>5122.3569683098995</v>
      </c>
      <c r="O23" s="16">
        <f t="shared" si="5"/>
        <v>150716.6969683099</v>
      </c>
      <c r="Q23" s="7"/>
      <c r="R23" s="7"/>
      <c r="S23" s="10"/>
    </row>
    <row r="24" spans="2:19" ht="15.75" customHeight="1">
      <c r="D24" s="68"/>
      <c r="E24" s="183"/>
      <c r="F24" s="183"/>
      <c r="G24" s="183"/>
      <c r="H24" s="183"/>
      <c r="I24" s="184"/>
      <c r="J24" s="16"/>
      <c r="K24" s="16"/>
      <c r="L24" s="16"/>
      <c r="M24" s="16"/>
      <c r="N24" s="16"/>
      <c r="O24" s="16"/>
      <c r="Q24" s="7"/>
      <c r="R24" s="7"/>
      <c r="S24" s="10"/>
    </row>
    <row r="25" spans="2:19" s="6" customFormat="1" ht="15.75" customHeight="1">
      <c r="B25" s="2" t="s">
        <v>32</v>
      </c>
      <c r="D25" s="68" t="s">
        <v>138</v>
      </c>
      <c r="E25" s="186">
        <f>SUMIFS('305 Inputs'!$G:$G,'305 Inputs'!$I:$I,$D25,'305 Inputs'!$C:$C,$D$12)/12</f>
        <v>0</v>
      </c>
      <c r="F25" s="186">
        <f>SUMIFS('305 Inputs'!$H:$H,'305 Inputs'!$J:$J,$D25,'305 Inputs'!$C:$C,$D$12)</f>
        <v>0</v>
      </c>
      <c r="G25" s="186">
        <v>0</v>
      </c>
      <c r="H25" s="186">
        <f>G25</f>
        <v>0</v>
      </c>
      <c r="I25" s="187">
        <f>H25+F25</f>
        <v>0</v>
      </c>
      <c r="J25" s="188">
        <f>'Table 3'!E25</f>
        <v>1837.09</v>
      </c>
      <c r="K25" s="188">
        <f>'Table 3'!J25</f>
        <v>0</v>
      </c>
      <c r="L25" s="188">
        <f>'Table 3'!N25</f>
        <v>0</v>
      </c>
      <c r="M25" s="188">
        <f>'Table 3'!R25</f>
        <v>0</v>
      </c>
      <c r="N25" s="188">
        <f>K25+L25+M25</f>
        <v>0</v>
      </c>
      <c r="O25" s="188">
        <f>N25+J25</f>
        <v>1837.09</v>
      </c>
      <c r="Q25" s="7"/>
      <c r="R25" s="7"/>
      <c r="S25" s="10"/>
    </row>
    <row r="26" spans="2:19" s="6" customFormat="1" ht="15.75" customHeight="1">
      <c r="B26" s="2"/>
      <c r="D26" s="68"/>
      <c r="E26" s="186"/>
      <c r="F26" s="186"/>
      <c r="G26" s="186"/>
      <c r="H26" s="186"/>
      <c r="I26" s="187"/>
      <c r="J26" s="188"/>
      <c r="K26" s="188"/>
      <c r="L26" s="188"/>
      <c r="M26" s="188"/>
      <c r="N26" s="188"/>
      <c r="O26" s="188"/>
      <c r="Q26" s="7"/>
      <c r="R26" s="7"/>
      <c r="S26" s="10"/>
    </row>
    <row r="27" spans="2:19" ht="15.75" customHeight="1">
      <c r="B27" s="2" t="s">
        <v>235</v>
      </c>
      <c r="D27" s="68" t="s">
        <v>203</v>
      </c>
      <c r="E27" s="186">
        <f>SUMIFS('305 Inputs'!$G:$G,'305 Inputs'!$I:$I,$D27,'305 Inputs'!$C:$C,$D$12)/12</f>
        <v>0</v>
      </c>
      <c r="F27" s="186">
        <f>SUMIFS('305 Inputs'!$H:$H,'305 Inputs'!$J:$J,$D27,'305 Inputs'!$C:$C,$D$12)</f>
        <v>0</v>
      </c>
      <c r="G27" s="186">
        <v>0</v>
      </c>
      <c r="H27" s="186">
        <f t="shared" ref="H27:H32" si="6">G27</f>
        <v>0</v>
      </c>
      <c r="I27" s="187">
        <f t="shared" ref="I27:I32" si="7">H27+F27</f>
        <v>0</v>
      </c>
      <c r="J27" s="188">
        <f>'Table 3'!E27</f>
        <v>-11153832.18</v>
      </c>
      <c r="K27" s="188">
        <f>'Table 3'!J27</f>
        <v>11153832.18</v>
      </c>
      <c r="L27" s="188">
        <f>'Table 3'!N27</f>
        <v>0</v>
      </c>
      <c r="M27" s="188">
        <f>'Table 3'!R27</f>
        <v>0</v>
      </c>
      <c r="N27" s="188">
        <f t="shared" ref="N27:N30" si="8">K27+L27+M27</f>
        <v>11153832.18</v>
      </c>
      <c r="O27" s="188">
        <f t="shared" ref="O27:O30" si="9">N27+J27</f>
        <v>0</v>
      </c>
      <c r="Q27" s="7"/>
      <c r="R27" s="7"/>
      <c r="S27" s="10"/>
    </row>
    <row r="28" spans="2:19" s="6" customFormat="1" ht="15.75" customHeight="1">
      <c r="B28" s="2" t="s">
        <v>281</v>
      </c>
      <c r="D28" s="68" t="s">
        <v>274</v>
      </c>
      <c r="E28" s="186">
        <f>SUMIFS('305 Inputs'!$G:$G,'305 Inputs'!$I:$I,$D28,'305 Inputs'!$C:$C,$D$12)/12</f>
        <v>0</v>
      </c>
      <c r="F28" s="186">
        <f>SUMIFS('305 Inputs'!$H:$H,'305 Inputs'!$J:$J,$D28,'305 Inputs'!$C:$C,$D$12)</f>
        <v>0</v>
      </c>
      <c r="G28" s="186">
        <v>0</v>
      </c>
      <c r="H28" s="186">
        <f t="shared" si="6"/>
        <v>0</v>
      </c>
      <c r="I28" s="187">
        <f t="shared" si="7"/>
        <v>0</v>
      </c>
      <c r="J28" s="188">
        <f>'Table 3'!E28</f>
        <v>5097891.55</v>
      </c>
      <c r="K28" s="188">
        <f>'Table 3'!J28</f>
        <v>-5097891.55</v>
      </c>
      <c r="L28" s="188">
        <f>'Table 3'!N28</f>
        <v>0</v>
      </c>
      <c r="M28" s="188">
        <f>'Table 3'!R28</f>
        <v>0</v>
      </c>
      <c r="N28" s="188">
        <f t="shared" si="8"/>
        <v>-5097891.55</v>
      </c>
      <c r="O28" s="188">
        <f t="shared" si="9"/>
        <v>0</v>
      </c>
      <c r="Q28" s="7"/>
      <c r="R28" s="7"/>
      <c r="S28" s="10"/>
    </row>
    <row r="29" spans="2:19" s="6" customFormat="1" ht="15.75" customHeight="1">
      <c r="B29" s="2" t="s">
        <v>277</v>
      </c>
      <c r="D29" s="68" t="s">
        <v>275</v>
      </c>
      <c r="E29" s="186">
        <f>SUMIFS('305 Inputs'!$G:$G,'305 Inputs'!$I:$I,$D29,'305 Inputs'!$C:$C,$D$12)/12</f>
        <v>0</v>
      </c>
      <c r="F29" s="186">
        <f>SUMIFS('305 Inputs'!$H:$H,'305 Inputs'!$J:$J,$D29,'305 Inputs'!$C:$C,$D$12)</f>
        <v>0</v>
      </c>
      <c r="G29" s="186">
        <v>0</v>
      </c>
      <c r="H29" s="186">
        <f t="shared" si="6"/>
        <v>0</v>
      </c>
      <c r="I29" s="187">
        <f t="shared" si="7"/>
        <v>0</v>
      </c>
      <c r="J29" s="188">
        <f>'Table 3'!E29</f>
        <v>110218.9</v>
      </c>
      <c r="K29" s="188">
        <f>'Table 3'!J29</f>
        <v>-110218.9</v>
      </c>
      <c r="L29" s="188">
        <f>'Table 3'!N29</f>
        <v>0</v>
      </c>
      <c r="M29" s="188">
        <f>'Table 3'!R29</f>
        <v>0</v>
      </c>
      <c r="N29" s="188">
        <f t="shared" si="8"/>
        <v>-110218.9</v>
      </c>
      <c r="O29" s="188">
        <f t="shared" si="9"/>
        <v>0</v>
      </c>
      <c r="Q29" s="7"/>
      <c r="R29" s="7"/>
      <c r="S29" s="10"/>
    </row>
    <row r="30" spans="2:19" s="6" customFormat="1" ht="15.75" customHeight="1">
      <c r="B30" s="2" t="s">
        <v>76</v>
      </c>
      <c r="D30" s="68" t="s">
        <v>140</v>
      </c>
      <c r="E30" s="186">
        <f>SUMIFS('305 Inputs'!$G:$G,'305 Inputs'!$I:$I,$D30,'305 Inputs'!$C:$C,$D$12)/12</f>
        <v>0</v>
      </c>
      <c r="F30" s="186">
        <f>SUMIFS('305 Inputs'!$H:$H,'305 Inputs'!$J:$J,$D30,'305 Inputs'!$C:$C,$D$12)</f>
        <v>0</v>
      </c>
      <c r="G30" s="186">
        <v>0</v>
      </c>
      <c r="H30" s="186">
        <f t="shared" si="6"/>
        <v>0</v>
      </c>
      <c r="I30" s="187">
        <f t="shared" si="7"/>
        <v>0</v>
      </c>
      <c r="J30" s="188">
        <f>'Table 3'!E30</f>
        <v>299892.59000000003</v>
      </c>
      <c r="K30" s="188">
        <f>'Table 3'!J30</f>
        <v>-299892.59000000003</v>
      </c>
      <c r="L30" s="188">
        <f>'Table 3'!N30</f>
        <v>0</v>
      </c>
      <c r="M30" s="188">
        <f>'Table 3'!R30</f>
        <v>0</v>
      </c>
      <c r="N30" s="188">
        <f t="shared" si="8"/>
        <v>-299892.59000000003</v>
      </c>
      <c r="O30" s="188">
        <f t="shared" si="9"/>
        <v>0</v>
      </c>
      <c r="Q30" s="7"/>
      <c r="R30" s="7"/>
      <c r="S30" s="10"/>
    </row>
    <row r="31" spans="2:19" s="6" customFormat="1" ht="15.75" customHeight="1">
      <c r="B31" s="2" t="s">
        <v>423</v>
      </c>
      <c r="D31" s="68" t="s">
        <v>424</v>
      </c>
      <c r="E31" s="186">
        <f>SUMIFS('305 Inputs'!$G:$G,'305 Inputs'!$I:$I,$D31,'305 Inputs'!$C:$C,$D$12)/12</f>
        <v>0</v>
      </c>
      <c r="F31" s="186">
        <f>SUMIFS('305 Inputs'!$H:$H,'305 Inputs'!$J:$J,$D31,'305 Inputs'!$C:$C,$D$12)</f>
        <v>0</v>
      </c>
      <c r="G31" s="186">
        <v>0</v>
      </c>
      <c r="H31" s="186">
        <f t="shared" si="6"/>
        <v>0</v>
      </c>
      <c r="I31" s="187">
        <f t="shared" si="7"/>
        <v>0</v>
      </c>
      <c r="J31" s="188">
        <f>'Table 3'!E31</f>
        <v>-3444522.78</v>
      </c>
      <c r="K31" s="188">
        <f>'Table 3'!J31</f>
        <v>3444522.78</v>
      </c>
      <c r="L31" s="188">
        <f>'Table 3'!N31</f>
        <v>0</v>
      </c>
      <c r="M31" s="188">
        <f>'Table 3'!R31</f>
        <v>0</v>
      </c>
      <c r="N31" s="188">
        <f t="shared" ref="N31:N32" si="10">K31+L31+M31</f>
        <v>3444522.78</v>
      </c>
      <c r="O31" s="188">
        <f t="shared" ref="O31:O32" si="11">N31+J31</f>
        <v>0</v>
      </c>
      <c r="Q31" s="7"/>
      <c r="R31" s="7"/>
      <c r="S31" s="10"/>
    </row>
    <row r="32" spans="2:19" s="6" customFormat="1" ht="15.75" customHeight="1">
      <c r="B32" s="2" t="s">
        <v>422</v>
      </c>
      <c r="D32" s="68" t="s">
        <v>425</v>
      </c>
      <c r="E32" s="186">
        <f>SUMIFS('305 Inputs'!$G:$G,'305 Inputs'!$I:$I,$D32,'305 Inputs'!$C:$C,$D$12)/12</f>
        <v>0</v>
      </c>
      <c r="F32" s="186">
        <f>SUMIFS('305 Inputs'!$H:$H,'305 Inputs'!$J:$J,$D32,'305 Inputs'!$C:$C,$D$12)</f>
        <v>0</v>
      </c>
      <c r="G32" s="186">
        <v>0</v>
      </c>
      <c r="H32" s="186">
        <f t="shared" si="6"/>
        <v>0</v>
      </c>
      <c r="I32" s="187">
        <f t="shared" si="7"/>
        <v>0</v>
      </c>
      <c r="J32" s="188">
        <f>'Table 3'!E32</f>
        <v>-802730.89</v>
      </c>
      <c r="K32" s="188">
        <f>'Table 3'!J32</f>
        <v>802730.89</v>
      </c>
      <c r="L32" s="188">
        <f>'Table 3'!N32</f>
        <v>0</v>
      </c>
      <c r="M32" s="188">
        <f>'Table 3'!R32</f>
        <v>0</v>
      </c>
      <c r="N32" s="188">
        <f t="shared" si="10"/>
        <v>802730.89</v>
      </c>
      <c r="O32" s="188">
        <f t="shared" si="11"/>
        <v>0</v>
      </c>
      <c r="Q32" s="7"/>
      <c r="R32" s="7"/>
      <c r="S32" s="10"/>
    </row>
    <row r="33" spans="1:19" ht="15.75" customHeight="1">
      <c r="B33" s="6"/>
      <c r="D33" s="68"/>
      <c r="E33" s="183"/>
      <c r="F33" s="183"/>
      <c r="G33" s="183"/>
      <c r="H33" s="183"/>
      <c r="I33" s="184"/>
      <c r="J33" s="16"/>
      <c r="K33" s="16"/>
      <c r="L33" s="16"/>
      <c r="M33" s="16"/>
      <c r="N33" s="16"/>
      <c r="O33" s="16"/>
      <c r="Q33" s="7"/>
      <c r="R33" s="7"/>
      <c r="S33" s="10"/>
    </row>
    <row r="34" spans="1:19" s="6" customFormat="1" ht="15.75" customHeight="1">
      <c r="B34" s="2" t="s">
        <v>74</v>
      </c>
      <c r="D34" s="68" t="s">
        <v>141</v>
      </c>
      <c r="E34" s="186">
        <f>SUMIFS('305 Inputs'!$G:$G,'305 Inputs'!$I:$I,$D34,'305 Inputs'!$C:$C,$D$12)/12</f>
        <v>0</v>
      </c>
      <c r="F34" s="186">
        <f>SUMIFS('305 Inputs'!$H:$H,'305 Inputs'!$J:$J,$D34,'305 Inputs'!$C:$C,$D$12)</f>
        <v>-8420000</v>
      </c>
      <c r="G34" s="186">
        <v>0</v>
      </c>
      <c r="H34" s="186">
        <f>G34</f>
        <v>0</v>
      </c>
      <c r="I34" s="187">
        <f>H34+F34</f>
        <v>-8420000</v>
      </c>
      <c r="J34" s="188">
        <f>'Table 3'!E34</f>
        <v>-45000</v>
      </c>
      <c r="K34" s="188">
        <f>'Table 3'!J34</f>
        <v>45000</v>
      </c>
      <c r="L34" s="188">
        <f>'Table 3'!N34</f>
        <v>0</v>
      </c>
      <c r="M34" s="188">
        <f>'Table 3'!R34</f>
        <v>0</v>
      </c>
      <c r="N34" s="188">
        <f>K34+L34+M34</f>
        <v>45000</v>
      </c>
      <c r="O34" s="188">
        <f>N34+J34</f>
        <v>0</v>
      </c>
      <c r="Q34" s="7"/>
      <c r="R34" s="7"/>
      <c r="S34" s="10"/>
    </row>
    <row r="35" spans="1:19" ht="15.75" customHeight="1">
      <c r="D35" s="68"/>
      <c r="E35" s="190"/>
      <c r="F35" s="190"/>
      <c r="G35" s="190"/>
      <c r="H35" s="190"/>
      <c r="I35" s="191"/>
      <c r="J35" s="189"/>
      <c r="K35" s="189"/>
      <c r="L35" s="189"/>
      <c r="M35" s="189"/>
      <c r="N35" s="189"/>
      <c r="O35" s="5"/>
      <c r="Q35" s="7"/>
      <c r="R35" s="7"/>
      <c r="S35" s="10"/>
    </row>
    <row r="36" spans="1:19" ht="15.75" customHeight="1">
      <c r="B36" s="18" t="s">
        <v>8</v>
      </c>
      <c r="C36" s="19"/>
      <c r="D36" s="331"/>
      <c r="E36" s="192">
        <f t="shared" ref="E36:O36" si="12">+E20+E23+E25+SUM(E27:E34)</f>
        <v>111904.33333333334</v>
      </c>
      <c r="F36" s="192">
        <f t="shared" si="12"/>
        <v>1575823280</v>
      </c>
      <c r="G36" s="192">
        <f t="shared" si="12"/>
        <v>0</v>
      </c>
      <c r="H36" s="192">
        <f t="shared" si="12"/>
        <v>0</v>
      </c>
      <c r="I36" s="315">
        <f t="shared" si="12"/>
        <v>1575823280</v>
      </c>
      <c r="J36" s="204">
        <f t="shared" si="12"/>
        <v>133024836.36000001</v>
      </c>
      <c r="K36" s="193">
        <f t="shared" si="12"/>
        <v>16047155.865440909</v>
      </c>
      <c r="L36" s="193">
        <f t="shared" si="12"/>
        <v>708580</v>
      </c>
      <c r="M36" s="193">
        <f t="shared" si="12"/>
        <v>0</v>
      </c>
      <c r="N36" s="193">
        <f t="shared" si="12"/>
        <v>16755735.865440909</v>
      </c>
      <c r="O36" s="193">
        <f t="shared" si="12"/>
        <v>149780572.22544095</v>
      </c>
      <c r="Q36" s="5"/>
      <c r="R36" s="5"/>
      <c r="S36" s="33"/>
    </row>
    <row r="37" spans="1:19" ht="15.75" customHeight="1">
      <c r="D37" s="68"/>
      <c r="E37" s="183"/>
      <c r="F37" s="183"/>
      <c r="G37" s="183"/>
      <c r="H37" s="183"/>
      <c r="I37" s="184"/>
      <c r="J37" s="16"/>
      <c r="K37" s="75"/>
      <c r="L37" s="75"/>
      <c r="M37" s="75"/>
      <c r="N37" s="75"/>
      <c r="O37" s="5"/>
      <c r="Q37" s="5"/>
      <c r="R37" s="5"/>
      <c r="S37" s="33"/>
    </row>
    <row r="38" spans="1:19" ht="15.75" customHeight="1">
      <c r="A38" s="3" t="s">
        <v>16</v>
      </c>
      <c r="B38" s="3"/>
      <c r="D38" s="157" t="s">
        <v>94</v>
      </c>
      <c r="E38" s="183"/>
      <c r="F38" s="183"/>
      <c r="G38" s="183"/>
      <c r="H38" s="183"/>
      <c r="I38" s="184"/>
      <c r="J38" s="16"/>
      <c r="K38" s="16"/>
      <c r="L38" s="16"/>
      <c r="M38" s="16"/>
      <c r="N38" s="16"/>
      <c r="O38" s="5"/>
      <c r="Q38" s="5"/>
      <c r="R38" s="5"/>
      <c r="S38" s="33"/>
    </row>
    <row r="39" spans="1:19" ht="15.75" customHeight="1">
      <c r="B39" s="200" t="s">
        <v>48</v>
      </c>
      <c r="D39" s="68">
        <v>24</v>
      </c>
      <c r="E39" s="17">
        <f>SUMIFS('305 Inputs'!$G:$G,'305 Inputs'!$J:$J,$D39,'305 Inputs'!$C:$C,$D$38)/12</f>
        <v>15685.666666666666</v>
      </c>
      <c r="F39" s="17">
        <f>SUMIFS('305 Inputs'!$H:$H,'305 Inputs'!$J:$J,$D39,'305 Inputs'!$C:$C,$D$38)</f>
        <v>511397827</v>
      </c>
      <c r="G39" s="17">
        <v>0</v>
      </c>
      <c r="H39" s="17">
        <f>G39</f>
        <v>0</v>
      </c>
      <c r="I39" s="185">
        <f>H39+F39</f>
        <v>511397827</v>
      </c>
      <c r="J39" s="16">
        <f>'Table 3'!E39</f>
        <v>48822135.810000002</v>
      </c>
      <c r="K39" s="16">
        <f>'Table 3'!J39</f>
        <v>-1743669.4636564474</v>
      </c>
      <c r="L39" s="16">
        <f>'Table 3'!N39</f>
        <v>223780</v>
      </c>
      <c r="M39" s="16">
        <f>'Table 3'!R39</f>
        <v>0</v>
      </c>
      <c r="N39" s="16">
        <f>K39+L39+M39</f>
        <v>-1519889.4636564474</v>
      </c>
      <c r="O39" s="16">
        <f>N39+J39</f>
        <v>47302246.346343555</v>
      </c>
      <c r="Q39" s="5"/>
      <c r="R39" s="5"/>
      <c r="S39" s="33"/>
    </row>
    <row r="40" spans="1:19" s="6" customFormat="1" ht="15.75" customHeight="1">
      <c r="B40" s="200" t="s">
        <v>49</v>
      </c>
      <c r="D40" s="68" t="s">
        <v>137</v>
      </c>
      <c r="E40" s="17">
        <f>SUMIFS('305 Inputs'!$G:$G,'305 Inputs'!$J:$J,$D40,'305 Inputs'!$C:$C,$D$38)/12</f>
        <v>111.25</v>
      </c>
      <c r="F40" s="17">
        <f>SUMIFS('305 Inputs'!$H:$H,'305 Inputs'!$J:$J,$D40,'305 Inputs'!$C:$C,$D$38)</f>
        <v>1225933</v>
      </c>
      <c r="G40" s="17">
        <v>0</v>
      </c>
      <c r="H40" s="17">
        <f>G40</f>
        <v>0</v>
      </c>
      <c r="I40" s="185">
        <f>H40+F40</f>
        <v>1225933</v>
      </c>
      <c r="J40" s="16">
        <f>'Table 3'!E40</f>
        <v>174329.64</v>
      </c>
      <c r="K40" s="16">
        <f>'Table 3'!J40</f>
        <v>-202.86962470106067</v>
      </c>
      <c r="L40" s="16">
        <f>'Table 3'!N40</f>
        <v>828</v>
      </c>
      <c r="M40" s="16">
        <f>'Table 3'!R40</f>
        <v>0</v>
      </c>
      <c r="N40" s="16">
        <f>K40+L40+M40</f>
        <v>625.13037529893927</v>
      </c>
      <c r="O40" s="16">
        <f>N40+J40</f>
        <v>174954.77037529895</v>
      </c>
      <c r="Q40" s="7"/>
      <c r="R40" s="7"/>
      <c r="S40" s="10"/>
    </row>
    <row r="41" spans="1:19" ht="15.75" customHeight="1">
      <c r="B41" s="200" t="s">
        <v>54</v>
      </c>
      <c r="D41" s="68" t="s">
        <v>144</v>
      </c>
      <c r="E41" s="186">
        <f>SUMIFS('305 Inputs'!$G:$G,'305 Inputs'!$J:$J,$D41,'305 Inputs'!$C:$C,$D$38)/12</f>
        <v>76.75</v>
      </c>
      <c r="F41" s="186">
        <f>SUMIFS('305 Inputs'!$H:$H,'305 Inputs'!$J:$J,$D41,'305 Inputs'!$C:$C,$D$38)</f>
        <v>189149</v>
      </c>
      <c r="G41" s="186">
        <v>0</v>
      </c>
      <c r="H41" s="186">
        <f>G41</f>
        <v>0</v>
      </c>
      <c r="I41" s="187">
        <f>H41+F41</f>
        <v>189149</v>
      </c>
      <c r="J41" s="188">
        <f>'Table 3'!E41</f>
        <v>84589.62999999999</v>
      </c>
      <c r="K41" s="188">
        <f>'Table 3'!J41</f>
        <v>1398.8787478709785</v>
      </c>
      <c r="L41" s="188">
        <f>'Table 3'!N41</f>
        <v>409</v>
      </c>
      <c r="M41" s="188">
        <f>'Table 3'!R41</f>
        <v>0</v>
      </c>
      <c r="N41" s="188">
        <f>K41+L41+M41</f>
        <v>1807.8787478709785</v>
      </c>
      <c r="O41" s="188">
        <f>N41+J41</f>
        <v>86397.508747870976</v>
      </c>
      <c r="Q41" s="5"/>
      <c r="R41" s="5"/>
      <c r="S41" s="33"/>
    </row>
    <row r="42" spans="1:19" ht="15.75" customHeight="1">
      <c r="B42" s="2" t="s">
        <v>33</v>
      </c>
      <c r="D42" s="68"/>
      <c r="E42" s="17">
        <f>SUM(E39:E41)</f>
        <v>15873.666666666666</v>
      </c>
      <c r="F42" s="17">
        <f>SUM(F39:F41)</f>
        <v>512812909</v>
      </c>
      <c r="G42" s="17">
        <f t="shared" ref="G42:O42" si="13">SUM(G39:G41)</f>
        <v>0</v>
      </c>
      <c r="H42" s="17">
        <f t="shared" si="13"/>
        <v>0</v>
      </c>
      <c r="I42" s="185">
        <f t="shared" si="13"/>
        <v>512812909</v>
      </c>
      <c r="J42" s="17">
        <f t="shared" si="13"/>
        <v>49081055.080000006</v>
      </c>
      <c r="K42" s="17">
        <f t="shared" si="13"/>
        <v>-1742473.4545332775</v>
      </c>
      <c r="L42" s="17">
        <f t="shared" si="13"/>
        <v>225017</v>
      </c>
      <c r="M42" s="17">
        <f>SUM(M39:M41)</f>
        <v>0</v>
      </c>
      <c r="N42" s="17">
        <f t="shared" si="13"/>
        <v>-1517456.4545332775</v>
      </c>
      <c r="O42" s="17">
        <f t="shared" si="13"/>
        <v>47563598.625466719</v>
      </c>
      <c r="S42" s="33"/>
    </row>
    <row r="43" spans="1:19" ht="15.75" customHeight="1">
      <c r="D43" s="68"/>
      <c r="E43" s="183"/>
      <c r="F43" s="183"/>
      <c r="G43" s="183"/>
      <c r="H43" s="183"/>
      <c r="I43" s="184" t="s">
        <v>29</v>
      </c>
      <c r="J43" s="16"/>
      <c r="K43" s="16"/>
      <c r="L43" s="16"/>
      <c r="M43" s="16"/>
      <c r="N43" s="16"/>
      <c r="O43" s="5"/>
      <c r="Q43" s="5"/>
      <c r="R43" s="5"/>
      <c r="S43" s="33"/>
    </row>
    <row r="44" spans="1:19" ht="15.75" customHeight="1">
      <c r="B44" s="200" t="s">
        <v>50</v>
      </c>
      <c r="D44" s="68">
        <v>36</v>
      </c>
      <c r="E44" s="186">
        <f>SUMIFS('305 Inputs'!$G:$G,'305 Inputs'!$J:$J,$D44,'305 Inputs'!$C:$C,$D$38)/12</f>
        <v>978.5</v>
      </c>
      <c r="F44" s="186">
        <f>SUMIFS('305 Inputs'!$H:$H,'305 Inputs'!$J:$J,$D44,'305 Inputs'!$C:$C,$D$38)</f>
        <v>839268925</v>
      </c>
      <c r="G44" s="186">
        <v>0</v>
      </c>
      <c r="H44" s="186">
        <f>G44</f>
        <v>0</v>
      </c>
      <c r="I44" s="187">
        <f>H44+F44</f>
        <v>839268925</v>
      </c>
      <c r="J44" s="188">
        <f>'Table 3'!E44</f>
        <v>68710034.470000014</v>
      </c>
      <c r="K44" s="188">
        <f>'Table 3'!J44</f>
        <v>-2274902.371364193</v>
      </c>
      <c r="L44" s="188">
        <f>'Table 3'!N44</f>
        <v>315789</v>
      </c>
      <c r="M44" s="188">
        <f>'Table 3'!R44</f>
        <v>0</v>
      </c>
      <c r="N44" s="188">
        <f>K44+L44+M44</f>
        <v>-1959113.371364193</v>
      </c>
      <c r="O44" s="188">
        <f>N44+J44</f>
        <v>66750921.098635823</v>
      </c>
      <c r="Q44" s="5"/>
      <c r="R44" s="5"/>
      <c r="S44" s="33"/>
    </row>
    <row r="45" spans="1:19" ht="15.75" customHeight="1">
      <c r="B45" s="2" t="s">
        <v>33</v>
      </c>
      <c r="D45" s="68"/>
      <c r="E45" s="17">
        <f>SUM(E44:E44)</f>
        <v>978.5</v>
      </c>
      <c r="F45" s="17">
        <f>SUM(F44:F44)</f>
        <v>839268925</v>
      </c>
      <c r="G45" s="17">
        <f t="shared" ref="G45:O45" si="14">SUM(G44)</f>
        <v>0</v>
      </c>
      <c r="H45" s="17">
        <f t="shared" si="14"/>
        <v>0</v>
      </c>
      <c r="I45" s="185">
        <f t="shared" si="14"/>
        <v>839268925</v>
      </c>
      <c r="J45" s="16">
        <f t="shared" si="14"/>
        <v>68710034.470000014</v>
      </c>
      <c r="K45" s="16">
        <f t="shared" si="14"/>
        <v>-2274902.371364193</v>
      </c>
      <c r="L45" s="16">
        <f>SUM(L44:L44)</f>
        <v>315789</v>
      </c>
      <c r="M45" s="16">
        <f>SUM(M44:M44)</f>
        <v>0</v>
      </c>
      <c r="N45" s="16">
        <f t="shared" si="14"/>
        <v>-1959113.371364193</v>
      </c>
      <c r="O45" s="16">
        <f t="shared" si="14"/>
        <v>66750921.098635823</v>
      </c>
      <c r="Q45" s="5"/>
      <c r="R45" s="5"/>
      <c r="S45" s="33"/>
    </row>
    <row r="46" spans="1:19" ht="15.75" customHeight="1">
      <c r="D46" s="68"/>
      <c r="E46" s="183"/>
      <c r="F46" s="183"/>
      <c r="G46" s="183" t="s">
        <v>29</v>
      </c>
      <c r="H46" s="183" t="s">
        <v>29</v>
      </c>
      <c r="I46" s="184" t="s">
        <v>29</v>
      </c>
      <c r="J46" s="16" t="s">
        <v>29</v>
      </c>
      <c r="K46" s="16" t="s">
        <v>29</v>
      </c>
      <c r="L46" s="16" t="s">
        <v>29</v>
      </c>
      <c r="M46" s="16" t="s">
        <v>29</v>
      </c>
      <c r="N46" s="16"/>
      <c r="O46" s="16" t="s">
        <v>29</v>
      </c>
      <c r="Q46" s="5"/>
      <c r="R46" s="5"/>
      <c r="S46" s="33"/>
    </row>
    <row r="47" spans="1:19" ht="15.75" customHeight="1">
      <c r="B47" s="200" t="s">
        <v>51</v>
      </c>
      <c r="C47" s="6"/>
      <c r="D47" s="68" t="s">
        <v>143</v>
      </c>
      <c r="E47" s="186">
        <f>SUMIFS('305 Inputs'!$G:$G,'305 Inputs'!$J:$J,$D47,'305 Inputs'!$C:$C,$D$38)/12</f>
        <v>38.666666666666664</v>
      </c>
      <c r="F47" s="186">
        <f>SUMIFS('305 Inputs'!$H:$H,'305 Inputs'!$J:$J,$D47,'305 Inputs'!$C:$C,$D$38)</f>
        <v>208676583</v>
      </c>
      <c r="G47" s="186">
        <v>0</v>
      </c>
      <c r="H47" s="186">
        <f>G47</f>
        <v>0</v>
      </c>
      <c r="I47" s="187">
        <f>H47+F47</f>
        <v>208676583</v>
      </c>
      <c r="J47" s="188">
        <f>'Table 3'!E47</f>
        <v>15692803.819999998</v>
      </c>
      <c r="K47" s="188">
        <f>'Table 3'!J47</f>
        <v>-565853.05745451886</v>
      </c>
      <c r="L47" s="188">
        <f>'Table 3'!N47</f>
        <v>71904</v>
      </c>
      <c r="M47" s="188">
        <f>'Table 3'!R47</f>
        <v>0</v>
      </c>
      <c r="N47" s="188">
        <f>K47+L47+M47</f>
        <v>-493949.05745451886</v>
      </c>
      <c r="O47" s="188">
        <f>N47+J47</f>
        <v>15198854.762545479</v>
      </c>
      <c r="S47" s="33"/>
    </row>
    <row r="48" spans="1:19" ht="15.75" customHeight="1">
      <c r="B48" s="2" t="s">
        <v>33</v>
      </c>
      <c r="D48" s="68"/>
      <c r="E48" s="17">
        <f>SUM(E47)</f>
        <v>38.666666666666664</v>
      </c>
      <c r="F48" s="17">
        <f>SUM(F47)</f>
        <v>208676583</v>
      </c>
      <c r="G48" s="17">
        <f t="shared" ref="G48:O48" si="15">SUM(G47)</f>
        <v>0</v>
      </c>
      <c r="H48" s="17">
        <f t="shared" si="15"/>
        <v>0</v>
      </c>
      <c r="I48" s="185">
        <f t="shared" si="15"/>
        <v>208676583</v>
      </c>
      <c r="J48" s="16">
        <f t="shared" si="15"/>
        <v>15692803.819999998</v>
      </c>
      <c r="K48" s="16">
        <f t="shared" si="15"/>
        <v>-565853.05745451886</v>
      </c>
      <c r="L48" s="16">
        <f t="shared" si="15"/>
        <v>71904</v>
      </c>
      <c r="M48" s="16">
        <f>SUM(M47)</f>
        <v>0</v>
      </c>
      <c r="N48" s="16">
        <f t="shared" si="15"/>
        <v>-493949.05745451886</v>
      </c>
      <c r="O48" s="16">
        <f t="shared" si="15"/>
        <v>15198854.762545479</v>
      </c>
      <c r="Q48" s="5"/>
      <c r="R48" s="5"/>
      <c r="S48" s="33"/>
    </row>
    <row r="49" spans="2:19" ht="15.75" customHeight="1">
      <c r="D49" s="68"/>
      <c r="E49" s="183"/>
      <c r="F49" s="183"/>
      <c r="G49" s="183" t="s">
        <v>29</v>
      </c>
      <c r="H49" s="183" t="s">
        <v>29</v>
      </c>
      <c r="I49" s="184" t="s">
        <v>29</v>
      </c>
      <c r="J49" s="16" t="s">
        <v>29</v>
      </c>
      <c r="K49" s="16" t="s">
        <v>29</v>
      </c>
      <c r="L49" s="16" t="s">
        <v>29</v>
      </c>
      <c r="M49" s="16" t="s">
        <v>29</v>
      </c>
      <c r="N49" s="16"/>
      <c r="O49" s="16" t="s">
        <v>29</v>
      </c>
      <c r="Q49" s="5"/>
      <c r="R49" s="5"/>
      <c r="S49" s="33"/>
    </row>
    <row r="50" spans="2:19" ht="15.75" customHeight="1">
      <c r="B50" s="200" t="s">
        <v>52</v>
      </c>
      <c r="D50" s="68" t="s">
        <v>139</v>
      </c>
      <c r="E50" s="17">
        <f>SUMIFS('305 Inputs'!$G:$G,'305 Inputs'!$J:$J,$D50,'305 Inputs'!$C:$C,$D$38)/12</f>
        <v>1236.5</v>
      </c>
      <c r="F50" s="17">
        <f>SUMIFS('305 Inputs'!$H:$H,'305 Inputs'!$J:$J,$D50,'305 Inputs'!$C:$C,$D$38)</f>
        <v>1982115</v>
      </c>
      <c r="G50" s="17">
        <v>0</v>
      </c>
      <c r="H50" s="17">
        <f>G50</f>
        <v>0</v>
      </c>
      <c r="I50" s="185">
        <f>H50+F50</f>
        <v>1982115</v>
      </c>
      <c r="J50" s="16">
        <f>'Table 3'!E50</f>
        <v>294226.97000000003</v>
      </c>
      <c r="K50" s="16">
        <f>'Table 3'!J50</f>
        <v>-2968.3967159901053</v>
      </c>
      <c r="L50" s="16">
        <f>'Table 3'!N50</f>
        <v>1379</v>
      </c>
      <c r="M50" s="16">
        <f>'Table 3'!R50</f>
        <v>0</v>
      </c>
      <c r="N50" s="16">
        <f>K50+L50+M50</f>
        <v>-1589.3967159901053</v>
      </c>
      <c r="O50" s="16">
        <f>N50+J50</f>
        <v>292637.57328400994</v>
      </c>
      <c r="Q50" s="5"/>
      <c r="R50" s="5"/>
      <c r="S50" s="33"/>
    </row>
    <row r="51" spans="2:19" ht="15.75" customHeight="1">
      <c r="B51" s="200" t="s">
        <v>53</v>
      </c>
      <c r="D51" s="68">
        <v>54</v>
      </c>
      <c r="E51" s="186">
        <f>SUMIFS('305 Inputs'!$G:$G,'305 Inputs'!$J:$J,$D51,'305 Inputs'!$C:$C,$D$38)/12</f>
        <v>27.333333333333332</v>
      </c>
      <c r="F51" s="186">
        <f>SUMIFS('305 Inputs'!$H:$H,'305 Inputs'!$J:$J,$D51,'305 Inputs'!$C:$C,$D$38)</f>
        <v>291359</v>
      </c>
      <c r="G51" s="186">
        <v>0</v>
      </c>
      <c r="H51" s="186">
        <f>G51</f>
        <v>0</v>
      </c>
      <c r="I51" s="187">
        <f>H51+F51</f>
        <v>291359</v>
      </c>
      <c r="J51" s="188">
        <f>'Table 3'!E51</f>
        <v>27763.8</v>
      </c>
      <c r="K51" s="188">
        <f>'Table 3'!J51</f>
        <v>-1101.1241676517111</v>
      </c>
      <c r="L51" s="188">
        <f>'Table 3'!N51</f>
        <v>126</v>
      </c>
      <c r="M51" s="188">
        <f>'Table 3'!R51</f>
        <v>0</v>
      </c>
      <c r="N51" s="188">
        <f>K51+L51+M51</f>
        <v>-975.1241676517111</v>
      </c>
      <c r="O51" s="188">
        <f>N51+J51</f>
        <v>26788.675832348286</v>
      </c>
      <c r="Q51" s="5"/>
      <c r="R51" s="5"/>
      <c r="S51" s="33"/>
    </row>
    <row r="52" spans="2:19" ht="15.75" customHeight="1">
      <c r="B52" s="2" t="s">
        <v>33</v>
      </c>
      <c r="D52" s="68"/>
      <c r="E52" s="17">
        <f>SUM(E50:E51)</f>
        <v>1263.8333333333333</v>
      </c>
      <c r="F52" s="17">
        <f>SUM(F50:F51)</f>
        <v>2273474</v>
      </c>
      <c r="G52" s="17">
        <f t="shared" ref="G52:O52" si="16">SUM(G50:G51)</f>
        <v>0</v>
      </c>
      <c r="H52" s="17">
        <f t="shared" si="16"/>
        <v>0</v>
      </c>
      <c r="I52" s="185">
        <f t="shared" si="16"/>
        <v>2273474</v>
      </c>
      <c r="J52" s="16">
        <f t="shared" si="16"/>
        <v>321990.77</v>
      </c>
      <c r="K52" s="16">
        <f t="shared" si="16"/>
        <v>-4069.5208836418165</v>
      </c>
      <c r="L52" s="16">
        <f t="shared" si="16"/>
        <v>1505</v>
      </c>
      <c r="M52" s="16">
        <f>SUM(M50:M51)</f>
        <v>0</v>
      </c>
      <c r="N52" s="16">
        <f t="shared" si="16"/>
        <v>-2564.5208836418165</v>
      </c>
      <c r="O52" s="16">
        <f t="shared" si="16"/>
        <v>319426.24911635823</v>
      </c>
      <c r="S52" s="33"/>
    </row>
    <row r="53" spans="2:19" ht="15.75" customHeight="1">
      <c r="D53" s="68"/>
      <c r="E53" s="183"/>
      <c r="F53" s="183"/>
      <c r="G53" s="183" t="s">
        <v>29</v>
      </c>
      <c r="H53" s="183" t="s">
        <v>29</v>
      </c>
      <c r="I53" s="184" t="s">
        <v>29</v>
      </c>
      <c r="J53" s="16" t="s">
        <v>29</v>
      </c>
      <c r="K53" s="16" t="s">
        <v>29</v>
      </c>
      <c r="L53" s="16" t="s">
        <v>29</v>
      </c>
      <c r="M53" s="16" t="s">
        <v>29</v>
      </c>
      <c r="N53" s="16"/>
      <c r="O53" s="5"/>
      <c r="Q53" s="5"/>
      <c r="R53" s="5"/>
      <c r="S53" s="33"/>
    </row>
    <row r="54" spans="2:19" s="6" customFormat="1" ht="15.75" customHeight="1">
      <c r="B54" s="2" t="s">
        <v>32</v>
      </c>
      <c r="D54" s="68" t="s">
        <v>138</v>
      </c>
      <c r="E54" s="186">
        <f>SUMIFS('305 Inputs'!$G:$G,'305 Inputs'!$I:$I,$D54,'305 Inputs'!$C:$C,$D$38)/12</f>
        <v>0</v>
      </c>
      <c r="F54" s="186">
        <f>SUMIFS('305 Inputs'!$H:$H,'305 Inputs'!$J:$J,$D54,'305 Inputs'!$C:$C,$D$38)</f>
        <v>0</v>
      </c>
      <c r="G54" s="186">
        <v>0</v>
      </c>
      <c r="H54" s="186">
        <f>G54</f>
        <v>0</v>
      </c>
      <c r="I54" s="187">
        <f>H54+F54</f>
        <v>0</v>
      </c>
      <c r="J54" s="188">
        <f>'Table 3'!E54</f>
        <v>429589.39</v>
      </c>
      <c r="K54" s="188">
        <f>'Table 3'!J54</f>
        <v>0</v>
      </c>
      <c r="L54" s="188">
        <f>'Table 3'!N54</f>
        <v>0</v>
      </c>
      <c r="M54" s="188">
        <f>'Table 3'!R54</f>
        <v>0</v>
      </c>
      <c r="N54" s="188">
        <f>K54+L54+M54</f>
        <v>0</v>
      </c>
      <c r="O54" s="188">
        <f>N54+J54</f>
        <v>429589.39</v>
      </c>
      <c r="Q54" s="7"/>
      <c r="R54" s="7"/>
      <c r="S54" s="10"/>
    </row>
    <row r="55" spans="2:19" s="6" customFormat="1" ht="15.75" customHeight="1">
      <c r="B55" s="2"/>
      <c r="D55" s="68"/>
      <c r="E55" s="186"/>
      <c r="F55" s="186"/>
      <c r="G55" s="186"/>
      <c r="H55" s="186"/>
      <c r="I55" s="187"/>
      <c r="J55" s="188"/>
      <c r="K55" s="188"/>
      <c r="L55" s="188"/>
      <c r="M55" s="188"/>
      <c r="N55" s="188"/>
      <c r="O55" s="188"/>
      <c r="Q55" s="7"/>
      <c r="R55" s="7"/>
      <c r="S55" s="10"/>
    </row>
    <row r="56" spans="2:19" ht="15.75" customHeight="1">
      <c r="B56" s="2" t="s">
        <v>235</v>
      </c>
      <c r="D56" s="68" t="s">
        <v>203</v>
      </c>
      <c r="E56" s="186">
        <f>SUMIFS('305 Inputs'!$G:$G,'305 Inputs'!$I:$I,$D56,'305 Inputs'!$C:$C,$D$38)/12</f>
        <v>0</v>
      </c>
      <c r="F56" s="186">
        <f>SUMIFS('305 Inputs'!$H:$H,'305 Inputs'!$J:$J,$D56,'305 Inputs'!$C:$C,$D$38)</f>
        <v>0</v>
      </c>
      <c r="G56" s="186">
        <v>0</v>
      </c>
      <c r="H56" s="186">
        <f t="shared" ref="H56:H59" si="17">G56</f>
        <v>0</v>
      </c>
      <c r="I56" s="187">
        <f t="shared" ref="I56:I59" si="18">H56+F56</f>
        <v>0</v>
      </c>
      <c r="J56" s="188">
        <f>'Table 3'!E56</f>
        <v>-9546572.8999999985</v>
      </c>
      <c r="K56" s="188">
        <f>'Table 3'!J56</f>
        <v>9546572.8999999985</v>
      </c>
      <c r="L56" s="188">
        <f>'Table 3'!N56</f>
        <v>0</v>
      </c>
      <c r="M56" s="188">
        <f>'Table 3'!R56</f>
        <v>0</v>
      </c>
      <c r="N56" s="188">
        <f t="shared" ref="N56:N59" si="19">K56+L56+M56</f>
        <v>9546572.8999999985</v>
      </c>
      <c r="O56" s="188">
        <f t="shared" ref="O56:O59" si="20">N56+J56</f>
        <v>0</v>
      </c>
      <c r="Q56" s="5"/>
      <c r="R56" s="5"/>
      <c r="S56" s="33"/>
    </row>
    <row r="57" spans="2:19" s="6" customFormat="1" ht="15.75" customHeight="1">
      <c r="B57" s="2" t="s">
        <v>281</v>
      </c>
      <c r="D57" s="68" t="s">
        <v>274</v>
      </c>
      <c r="E57" s="186">
        <f>SUMIFS('305 Inputs'!$G:$G,'305 Inputs'!$I:$I,$D57,'305 Inputs'!$C:$C,$D$38)/12</f>
        <v>0</v>
      </c>
      <c r="F57" s="186">
        <f>SUMIFS('305 Inputs'!$H:$H,'305 Inputs'!$J:$J,$D57,'305 Inputs'!$C:$C,$D$38)</f>
        <v>0</v>
      </c>
      <c r="G57" s="186">
        <v>0</v>
      </c>
      <c r="H57" s="186">
        <f t="shared" si="17"/>
        <v>0</v>
      </c>
      <c r="I57" s="187">
        <f t="shared" si="18"/>
        <v>0</v>
      </c>
      <c r="J57" s="188">
        <f>'Table 3'!E57</f>
        <v>4368260.92</v>
      </c>
      <c r="K57" s="188">
        <f>'Table 3'!J57</f>
        <v>-4368260.92</v>
      </c>
      <c r="L57" s="188">
        <f>'Table 3'!N57</f>
        <v>0</v>
      </c>
      <c r="M57" s="188">
        <f>'Table 3'!R57</f>
        <v>0</v>
      </c>
      <c r="N57" s="188">
        <f t="shared" si="19"/>
        <v>-4368260.92</v>
      </c>
      <c r="O57" s="188">
        <f t="shared" si="20"/>
        <v>0</v>
      </c>
      <c r="Q57" s="7"/>
      <c r="R57" s="7"/>
      <c r="S57" s="10"/>
    </row>
    <row r="58" spans="2:19" s="6" customFormat="1" ht="15.75" customHeight="1">
      <c r="B58" s="2" t="s">
        <v>277</v>
      </c>
      <c r="D58" s="68" t="s">
        <v>275</v>
      </c>
      <c r="E58" s="186">
        <v>0</v>
      </c>
      <c r="F58" s="186">
        <f>SUMIFS('305 Inputs'!$H:$H,'305 Inputs'!$J:$J,$D58,'305 Inputs'!$C:$C,$D$38)</f>
        <v>0</v>
      </c>
      <c r="G58" s="186">
        <v>0</v>
      </c>
      <c r="H58" s="186">
        <f t="shared" si="17"/>
        <v>0</v>
      </c>
      <c r="I58" s="187">
        <f t="shared" si="18"/>
        <v>0</v>
      </c>
      <c r="J58" s="188">
        <f>'Table 3'!E58</f>
        <v>11079.71</v>
      </c>
      <c r="K58" s="188">
        <f>'Table 3'!J58</f>
        <v>-11079.71</v>
      </c>
      <c r="L58" s="188">
        <f>'Table 3'!N58</f>
        <v>0</v>
      </c>
      <c r="M58" s="188">
        <f>'Table 3'!R58</f>
        <v>0</v>
      </c>
      <c r="N58" s="188">
        <f t="shared" si="19"/>
        <v>-11079.71</v>
      </c>
      <c r="O58" s="188">
        <f t="shared" si="20"/>
        <v>0</v>
      </c>
      <c r="Q58" s="7"/>
      <c r="R58" s="7"/>
      <c r="S58" s="10"/>
    </row>
    <row r="59" spans="2:19" s="6" customFormat="1" ht="15.75" customHeight="1">
      <c r="B59" s="2" t="s">
        <v>88</v>
      </c>
      <c r="D59" s="68" t="s">
        <v>140</v>
      </c>
      <c r="E59" s="186">
        <f>SUMIFS('305 Inputs'!$G:$G,'305 Inputs'!$I:$I,$D59,'305 Inputs'!$C:$C,$D$38)/12</f>
        <v>0</v>
      </c>
      <c r="F59" s="186">
        <f>SUMIFS('305 Inputs'!$H:$H,'305 Inputs'!$J:$J,$D59,'305 Inputs'!$C:$C,$D$38)</f>
        <v>0</v>
      </c>
      <c r="G59" s="186">
        <v>0</v>
      </c>
      <c r="H59" s="186">
        <f t="shared" si="17"/>
        <v>0</v>
      </c>
      <c r="I59" s="187">
        <f t="shared" si="18"/>
        <v>0</v>
      </c>
      <c r="J59" s="188">
        <f>'Table 3'!E59</f>
        <v>14786.15</v>
      </c>
      <c r="K59" s="188">
        <f>'Table 3'!J59</f>
        <v>-14786.15</v>
      </c>
      <c r="L59" s="188">
        <f>'Table 3'!N59</f>
        <v>0</v>
      </c>
      <c r="M59" s="188">
        <f>'Table 3'!R59</f>
        <v>0</v>
      </c>
      <c r="N59" s="188">
        <f t="shared" si="19"/>
        <v>-14786.15</v>
      </c>
      <c r="O59" s="188">
        <f t="shared" si="20"/>
        <v>0</v>
      </c>
      <c r="Q59" s="7"/>
      <c r="R59" s="7"/>
      <c r="S59" s="10"/>
    </row>
    <row r="60" spans="2:19" s="6" customFormat="1" ht="15.75" customHeight="1">
      <c r="B60" s="2" t="s">
        <v>423</v>
      </c>
      <c r="D60" s="68" t="s">
        <v>424</v>
      </c>
      <c r="E60" s="186">
        <f>SUMIFS('305 Inputs'!$G:$G,'305 Inputs'!$I:$I,$D60,'305 Inputs'!$C:$C,$D$38)/12</f>
        <v>0</v>
      </c>
      <c r="F60" s="186">
        <f>SUMIFS('305 Inputs'!$H:$H,'305 Inputs'!$J:$J,$D60,'305 Inputs'!$C:$C,$D$38)</f>
        <v>0</v>
      </c>
      <c r="G60" s="186">
        <v>0</v>
      </c>
      <c r="H60" s="186">
        <f t="shared" ref="H60:H61" si="21">G60</f>
        <v>0</v>
      </c>
      <c r="I60" s="187">
        <f t="shared" ref="I60:I61" si="22">H60+F60</f>
        <v>0</v>
      </c>
      <c r="J60" s="188">
        <f>'Table 3'!E60</f>
        <v>-3149364</v>
      </c>
      <c r="K60" s="188">
        <f>'Table 3'!J60</f>
        <v>3149364</v>
      </c>
      <c r="L60" s="188">
        <f>'Table 3'!N60</f>
        <v>0</v>
      </c>
      <c r="M60" s="188">
        <f>'Table 3'!R60</f>
        <v>0</v>
      </c>
      <c r="N60" s="188">
        <f t="shared" ref="N60:N61" si="23">K60+L60+M60</f>
        <v>3149364</v>
      </c>
      <c r="O60" s="188">
        <f t="shared" ref="O60:O61" si="24">N60+J60</f>
        <v>0</v>
      </c>
      <c r="Q60" s="7"/>
      <c r="R60" s="7"/>
      <c r="S60" s="10"/>
    </row>
    <row r="61" spans="2:19" s="6" customFormat="1" ht="15.75" customHeight="1">
      <c r="B61" s="2" t="s">
        <v>422</v>
      </c>
      <c r="D61" s="68" t="s">
        <v>425</v>
      </c>
      <c r="E61" s="186">
        <f>SUMIFS('305 Inputs'!$G:$G,'305 Inputs'!$I:$I,$D61,'305 Inputs'!$C:$C,$D$38)/12</f>
        <v>0</v>
      </c>
      <c r="F61" s="186">
        <f>SUMIFS('305 Inputs'!$H:$H,'305 Inputs'!$J:$J,$D61,'305 Inputs'!$C:$C,$D$38)</f>
        <v>0</v>
      </c>
      <c r="G61" s="186">
        <v>0</v>
      </c>
      <c r="H61" s="186">
        <f t="shared" si="21"/>
        <v>0</v>
      </c>
      <c r="I61" s="187">
        <f t="shared" si="22"/>
        <v>0</v>
      </c>
      <c r="J61" s="188">
        <f>'Table 3'!E61</f>
        <v>-1120942.1299999999</v>
      </c>
      <c r="K61" s="188">
        <f>'Table 3'!J61</f>
        <v>1120942.1299999999</v>
      </c>
      <c r="L61" s="188">
        <f>'Table 3'!N61</f>
        <v>0</v>
      </c>
      <c r="M61" s="188">
        <f>'Table 3'!R61</f>
        <v>0</v>
      </c>
      <c r="N61" s="188">
        <f t="shared" si="23"/>
        <v>1120942.1299999999</v>
      </c>
      <c r="O61" s="188">
        <f t="shared" si="24"/>
        <v>0</v>
      </c>
      <c r="Q61" s="7"/>
      <c r="R61" s="7"/>
      <c r="S61" s="10"/>
    </row>
    <row r="62" spans="2:19" ht="15.75" customHeight="1">
      <c r="B62" s="6"/>
      <c r="D62" s="68"/>
      <c r="E62" s="183"/>
      <c r="F62" s="183"/>
      <c r="G62" s="183"/>
      <c r="H62" s="183"/>
      <c r="I62" s="184"/>
      <c r="J62" s="16"/>
      <c r="K62" s="75"/>
      <c r="L62" s="16"/>
      <c r="M62" s="16"/>
      <c r="N62" s="16"/>
      <c r="O62" s="16"/>
      <c r="Q62" s="5"/>
      <c r="R62" s="5"/>
      <c r="S62" s="33"/>
    </row>
    <row r="63" spans="2:19" s="6" customFormat="1" ht="15.75" customHeight="1">
      <c r="B63" s="2" t="s">
        <v>74</v>
      </c>
      <c r="D63" s="68" t="s">
        <v>141</v>
      </c>
      <c r="E63" s="186">
        <f>SUMIFS('305 Inputs'!$G:$G,'305 Inputs'!$I:$I,$D63,'305 Inputs'!$C:$C,$D$38)/12</f>
        <v>0</v>
      </c>
      <c r="F63" s="186">
        <f>SUMIFS('305 Inputs'!$H:$H,'305 Inputs'!$J:$J,$D63,'305 Inputs'!$C:$C,$D$38)</f>
        <v>-1881000</v>
      </c>
      <c r="G63" s="186">
        <v>0</v>
      </c>
      <c r="H63" s="186">
        <f>G63</f>
        <v>0</v>
      </c>
      <c r="I63" s="187">
        <f>H63+F63</f>
        <v>-1881000</v>
      </c>
      <c r="J63" s="188">
        <f>'Table 3'!E63</f>
        <v>-161000</v>
      </c>
      <c r="K63" s="188">
        <f>'Table 3'!J63</f>
        <v>161000</v>
      </c>
      <c r="L63" s="188">
        <f>'Table 3'!N63</f>
        <v>0</v>
      </c>
      <c r="M63" s="188">
        <f>'Table 3'!R63</f>
        <v>0</v>
      </c>
      <c r="N63" s="188">
        <f>K63+L63+M63</f>
        <v>161000</v>
      </c>
      <c r="O63" s="188">
        <f>N63+J63</f>
        <v>0</v>
      </c>
      <c r="Q63" s="7"/>
      <c r="R63" s="7"/>
      <c r="S63" s="10"/>
    </row>
    <row r="64" spans="2:19" ht="15.75" customHeight="1">
      <c r="B64" s="6"/>
      <c r="D64" s="68"/>
      <c r="E64" s="183"/>
      <c r="F64" s="183"/>
      <c r="G64" s="183"/>
      <c r="H64" s="183"/>
      <c r="I64" s="194"/>
      <c r="J64" s="16"/>
      <c r="K64" s="75"/>
      <c r="L64" s="75"/>
      <c r="M64" s="75"/>
      <c r="N64" s="75"/>
      <c r="O64" s="5"/>
      <c r="Q64" s="5"/>
      <c r="R64" s="5"/>
      <c r="S64" s="33"/>
    </row>
    <row r="65" spans="1:19" ht="15.75" customHeight="1">
      <c r="B65" s="18" t="s">
        <v>8</v>
      </c>
      <c r="C65" s="19"/>
      <c r="D65" s="331"/>
      <c r="E65" s="192">
        <f t="shared" ref="E65:O65" si="25">+E42+E45+E48+E52+E54+SUM(E56:E63)</f>
        <v>18154.666666666664</v>
      </c>
      <c r="F65" s="192">
        <f t="shared" si="25"/>
        <v>1561150891</v>
      </c>
      <c r="G65" s="192">
        <f t="shared" si="25"/>
        <v>0</v>
      </c>
      <c r="H65" s="192">
        <f t="shared" si="25"/>
        <v>0</v>
      </c>
      <c r="I65" s="315">
        <f t="shared" si="25"/>
        <v>1561150891</v>
      </c>
      <c r="J65" s="193">
        <f t="shared" si="25"/>
        <v>124651721.28</v>
      </c>
      <c r="K65" s="193">
        <f t="shared" si="25"/>
        <v>4996453.8457643669</v>
      </c>
      <c r="L65" s="193">
        <f t="shared" si="25"/>
        <v>614215</v>
      </c>
      <c r="M65" s="193">
        <f t="shared" si="25"/>
        <v>0</v>
      </c>
      <c r="N65" s="193">
        <f t="shared" si="25"/>
        <v>5610668.8457643669</v>
      </c>
      <c r="O65" s="193">
        <f t="shared" si="25"/>
        <v>130262390.12576438</v>
      </c>
      <c r="Q65" s="5"/>
      <c r="R65" s="5"/>
      <c r="S65" s="33"/>
    </row>
    <row r="66" spans="1:19" ht="15.75" customHeight="1">
      <c r="D66" s="68"/>
      <c r="E66" s="17"/>
      <c r="F66" s="17"/>
      <c r="G66" s="17"/>
      <c r="H66" s="17"/>
      <c r="I66" s="185"/>
      <c r="J66" s="16"/>
      <c r="K66" s="16"/>
      <c r="L66" s="16"/>
      <c r="M66" s="16"/>
      <c r="N66" s="16"/>
      <c r="O66" s="75" t="s">
        <v>29</v>
      </c>
      <c r="S66" s="33"/>
    </row>
    <row r="67" spans="1:19" ht="15.75" customHeight="1">
      <c r="A67" s="3" t="s">
        <v>28</v>
      </c>
      <c r="B67" s="3"/>
      <c r="D67" s="157" t="s">
        <v>114</v>
      </c>
      <c r="E67" s="183"/>
      <c r="F67" s="183"/>
      <c r="G67" s="183"/>
      <c r="H67" s="183"/>
      <c r="I67" s="184"/>
      <c r="J67" s="16"/>
      <c r="K67" s="16"/>
      <c r="L67" s="16"/>
      <c r="M67" s="16"/>
      <c r="N67" s="16"/>
      <c r="O67" s="5" t="s">
        <v>29</v>
      </c>
      <c r="Q67" s="5"/>
      <c r="R67" s="5"/>
      <c r="S67" s="33"/>
    </row>
    <row r="68" spans="1:19" ht="15.75" customHeight="1">
      <c r="B68" s="200" t="s">
        <v>48</v>
      </c>
      <c r="D68" s="68">
        <v>24</v>
      </c>
      <c r="E68" s="17">
        <f>SUMIFS('305 Inputs'!$G:$G,'305 Inputs'!$J:$J,$D68,'305 Inputs'!$C:$C,$D$67)/12</f>
        <v>370.25</v>
      </c>
      <c r="F68" s="17">
        <f>SUMIFS('305 Inputs'!$H:$H,'305 Inputs'!$J:$J,$D68,'305 Inputs'!$C:$C,$D$67)</f>
        <v>16169029</v>
      </c>
      <c r="G68" s="17">
        <v>0</v>
      </c>
      <c r="H68" s="17">
        <f>G68</f>
        <v>0</v>
      </c>
      <c r="I68" s="185">
        <f>H68+F68</f>
        <v>16169029</v>
      </c>
      <c r="J68" s="16">
        <f>'Table 3'!E68</f>
        <v>1575037.01</v>
      </c>
      <c r="K68" s="16">
        <f>'Table 3'!J68</f>
        <v>-25.206546444308515</v>
      </c>
      <c r="L68" s="16">
        <f>'Table 3'!N68</f>
        <v>7487</v>
      </c>
      <c r="M68" s="16">
        <f>'Table 3'!R68</f>
        <v>0</v>
      </c>
      <c r="N68" s="16">
        <f>K68+L68+M68</f>
        <v>7461.7934535556915</v>
      </c>
      <c r="O68" s="16">
        <f>N68+J68</f>
        <v>1582498.8034535558</v>
      </c>
      <c r="Q68" s="5"/>
      <c r="R68" s="5"/>
      <c r="S68" s="33"/>
    </row>
    <row r="69" spans="1:19" s="6" customFormat="1" ht="15.75" customHeight="1">
      <c r="B69" s="200" t="s">
        <v>49</v>
      </c>
      <c r="D69" s="68" t="s">
        <v>137</v>
      </c>
      <c r="E69" s="17">
        <f>SUMIFS('305 Inputs'!$G:$G,'305 Inputs'!$J:$J,$D69,'305 Inputs'!$C:$C,$D$67)/12</f>
        <v>4</v>
      </c>
      <c r="F69" s="17">
        <f>SUMIFS('305 Inputs'!$H:$H,'305 Inputs'!$J:$J,$D69,'305 Inputs'!$C:$C,$D$67)</f>
        <v>33312</v>
      </c>
      <c r="G69" s="17">
        <v>0</v>
      </c>
      <c r="H69" s="17">
        <f>G69</f>
        <v>0</v>
      </c>
      <c r="I69" s="185">
        <f>H69+F69</f>
        <v>33312</v>
      </c>
      <c r="J69" s="16">
        <f>'Table 3'!E69</f>
        <v>8856.41</v>
      </c>
      <c r="K69" s="16">
        <f>'Table 3'!J69</f>
        <v>297.38594573149783</v>
      </c>
      <c r="L69" s="16">
        <f>'Table 3'!N69</f>
        <v>44</v>
      </c>
      <c r="M69" s="16">
        <f>'Table 3'!R69</f>
        <v>0</v>
      </c>
      <c r="N69" s="16">
        <f>K69+L69+M69</f>
        <v>341.38594573149783</v>
      </c>
      <c r="O69" s="16">
        <f>N69+J69</f>
        <v>9197.7959457314973</v>
      </c>
      <c r="Q69" s="7"/>
      <c r="R69" s="7"/>
      <c r="S69" s="10"/>
    </row>
    <row r="70" spans="1:19" ht="15.75" customHeight="1">
      <c r="B70" s="200" t="s">
        <v>54</v>
      </c>
      <c r="C70" s="6"/>
      <c r="D70" s="68" t="s">
        <v>144</v>
      </c>
      <c r="E70" s="186">
        <f>SUMIFS('305 Inputs'!$G:$G,'305 Inputs'!$J:$J,$D70,'305 Inputs'!$C:$C,$D$67)/12</f>
        <v>1</v>
      </c>
      <c r="F70" s="186">
        <f>SUMIFS('305 Inputs'!$H:$H,'305 Inputs'!$J:$J,$D70,'305 Inputs'!$C:$C,$D$67)</f>
        <v>3274</v>
      </c>
      <c r="G70" s="186">
        <v>0</v>
      </c>
      <c r="H70" s="186">
        <f>G70</f>
        <v>0</v>
      </c>
      <c r="I70" s="187">
        <f>H70+F70</f>
        <v>3274</v>
      </c>
      <c r="J70" s="188">
        <f>'Table 3'!E70</f>
        <v>2058.8900000000003</v>
      </c>
      <c r="K70" s="188">
        <f>'Table 3'!J70</f>
        <v>95.714666282062794</v>
      </c>
      <c r="L70" s="188">
        <f>'Table 3'!N70</f>
        <v>10</v>
      </c>
      <c r="M70" s="188">
        <f>'Table 3'!R70</f>
        <v>0</v>
      </c>
      <c r="N70" s="188">
        <f>K70+L70+M70</f>
        <v>105.71466628206279</v>
      </c>
      <c r="O70" s="188">
        <f>N70+J70</f>
        <v>2164.6046662820631</v>
      </c>
      <c r="Q70" s="5"/>
      <c r="R70" s="5"/>
      <c r="S70" s="33"/>
    </row>
    <row r="71" spans="1:19" ht="15.75" customHeight="1">
      <c r="B71" s="2" t="s">
        <v>33</v>
      </c>
      <c r="D71" s="68"/>
      <c r="E71" s="17">
        <f>SUM(E68:E70)</f>
        <v>375.25</v>
      </c>
      <c r="F71" s="17">
        <f>SUM(F68:F70)</f>
        <v>16205615</v>
      </c>
      <c r="G71" s="17">
        <f t="shared" ref="G71:O71" si="26">SUM(G68:G70)</f>
        <v>0</v>
      </c>
      <c r="H71" s="17">
        <f t="shared" si="26"/>
        <v>0</v>
      </c>
      <c r="I71" s="185">
        <f t="shared" si="26"/>
        <v>16205615</v>
      </c>
      <c r="J71" s="16">
        <f t="shared" si="26"/>
        <v>1585952.3099999998</v>
      </c>
      <c r="K71" s="16">
        <f t="shared" si="26"/>
        <v>367.89406556925212</v>
      </c>
      <c r="L71" s="16">
        <f t="shared" si="26"/>
        <v>7541</v>
      </c>
      <c r="M71" s="16">
        <f>SUM(M68:M70)</f>
        <v>0</v>
      </c>
      <c r="N71" s="16">
        <f t="shared" si="26"/>
        <v>7908.8940655692513</v>
      </c>
      <c r="O71" s="16">
        <f t="shared" si="26"/>
        <v>1593861.2040655692</v>
      </c>
      <c r="S71" s="33"/>
    </row>
    <row r="72" spans="1:19" ht="15.75" customHeight="1">
      <c r="D72" s="68"/>
      <c r="E72" s="183"/>
      <c r="F72" s="183"/>
      <c r="G72" s="183" t="s">
        <v>29</v>
      </c>
      <c r="H72" s="183" t="s">
        <v>29</v>
      </c>
      <c r="I72" s="184" t="s">
        <v>29</v>
      </c>
      <c r="J72" s="16" t="s">
        <v>29</v>
      </c>
      <c r="K72" s="16" t="s">
        <v>29</v>
      </c>
      <c r="L72" s="16" t="s">
        <v>29</v>
      </c>
      <c r="M72" s="16" t="s">
        <v>29</v>
      </c>
      <c r="N72" s="16"/>
      <c r="O72" s="5"/>
      <c r="Q72" s="5"/>
      <c r="R72" s="5"/>
      <c r="S72" s="33"/>
    </row>
    <row r="73" spans="1:19" s="6" customFormat="1" ht="15.75" customHeight="1">
      <c r="B73" s="200" t="s">
        <v>50</v>
      </c>
      <c r="C73" s="2"/>
      <c r="D73" s="68">
        <v>36</v>
      </c>
      <c r="E73" s="186">
        <f>SUMIFS('305 Inputs'!$G:$G,'305 Inputs'!$J:$J,$D73,'305 Inputs'!$C:$C,$D$67)/12</f>
        <v>105.58333333333333</v>
      </c>
      <c r="F73" s="186">
        <f>SUMIFS('305 Inputs'!$H:$H,'305 Inputs'!$J:$J,$D73,'305 Inputs'!$C:$C,$D$67)</f>
        <v>94261904</v>
      </c>
      <c r="G73" s="186">
        <v>0</v>
      </c>
      <c r="H73" s="186">
        <f>G73</f>
        <v>0</v>
      </c>
      <c r="I73" s="187">
        <f>H73+F73</f>
        <v>94261904</v>
      </c>
      <c r="J73" s="188">
        <f>'Table 3'!E73</f>
        <v>8159869.1699999999</v>
      </c>
      <c r="K73" s="188">
        <f>'Table 3'!J73</f>
        <v>-14595.325817948275</v>
      </c>
      <c r="L73" s="188">
        <f>'Table 3'!N73</f>
        <v>38717</v>
      </c>
      <c r="M73" s="188">
        <f>'Table 3'!R73</f>
        <v>0</v>
      </c>
      <c r="N73" s="188">
        <f>K73+L73+M73</f>
        <v>24121.674182051727</v>
      </c>
      <c r="O73" s="188">
        <f>N73+J73</f>
        <v>8183990.8441820517</v>
      </c>
      <c r="Q73" s="7"/>
      <c r="R73" s="7"/>
      <c r="S73" s="10"/>
    </row>
    <row r="74" spans="1:19" ht="15.75" customHeight="1">
      <c r="B74" s="2" t="s">
        <v>33</v>
      </c>
      <c r="D74" s="68"/>
      <c r="E74" s="17">
        <f>SUM(E73:E73)</f>
        <v>105.58333333333333</v>
      </c>
      <c r="F74" s="17">
        <f>SUM(F73:F73)</f>
        <v>94261904</v>
      </c>
      <c r="G74" s="17">
        <v>0</v>
      </c>
      <c r="H74" s="17">
        <v>0</v>
      </c>
      <c r="I74" s="185">
        <f>SUM(I73)</f>
        <v>94261904</v>
      </c>
      <c r="J74" s="16">
        <f>SUM(J73)</f>
        <v>8159869.1699999999</v>
      </c>
      <c r="K74" s="16">
        <f>SUM(K73)</f>
        <v>-14595.325817948275</v>
      </c>
      <c r="L74" s="16">
        <f>SUM(L73:L73)</f>
        <v>38717</v>
      </c>
      <c r="M74" s="16">
        <f>SUM(M73:M73)</f>
        <v>0</v>
      </c>
      <c r="N74" s="16">
        <f>SUM(N73)</f>
        <v>24121.674182051727</v>
      </c>
      <c r="O74" s="16">
        <f>SUM(O73)</f>
        <v>8183990.8441820517</v>
      </c>
      <c r="Q74" s="5"/>
      <c r="R74" s="5"/>
      <c r="S74" s="33"/>
    </row>
    <row r="75" spans="1:19" ht="15.75" customHeight="1">
      <c r="D75" s="68"/>
      <c r="E75" s="183"/>
      <c r="F75" s="183"/>
      <c r="G75" s="183"/>
      <c r="H75" s="183"/>
      <c r="I75" s="184"/>
      <c r="J75" s="16"/>
      <c r="K75" s="16"/>
      <c r="L75" s="16"/>
      <c r="M75" s="16"/>
      <c r="N75" s="16"/>
      <c r="O75" s="5"/>
      <c r="Q75" s="5"/>
      <c r="R75" s="5"/>
      <c r="S75" s="33"/>
    </row>
    <row r="76" spans="1:19" ht="15.75" customHeight="1">
      <c r="B76" s="200" t="s">
        <v>153</v>
      </c>
      <c r="C76" s="6"/>
      <c r="D76" s="68">
        <v>47</v>
      </c>
      <c r="E76" s="17">
        <f>SUMIFS('305 Inputs'!$G:$G,'305 Inputs'!$J:$J,$D76,'305 Inputs'!$C:$C,$D$67)/12</f>
        <v>1</v>
      </c>
      <c r="F76" s="17">
        <f>SUMIFS('305 Inputs'!$H:$H,'305 Inputs'!$J:$J,$D76,'305 Inputs'!$C:$C,$D$67)</f>
        <v>2044000</v>
      </c>
      <c r="G76" s="17">
        <v>0</v>
      </c>
      <c r="H76" s="17">
        <f>G76</f>
        <v>0</v>
      </c>
      <c r="I76" s="185">
        <f>H76+F76</f>
        <v>2044000</v>
      </c>
      <c r="J76" s="16">
        <f>'Table 3'!E76</f>
        <v>331421.83</v>
      </c>
      <c r="K76" s="16">
        <f>'Table 3'!J76</f>
        <v>5763.6848076238366</v>
      </c>
      <c r="L76" s="16">
        <f>'Table 3'!N76</f>
        <v>1623</v>
      </c>
      <c r="M76" s="16">
        <f>'Table 3'!R76</f>
        <v>0</v>
      </c>
      <c r="N76" s="16">
        <f>K76+L76+M76</f>
        <v>7386.6848076238366</v>
      </c>
      <c r="O76" s="16">
        <f>N76+J76</f>
        <v>338808.51480762387</v>
      </c>
      <c r="Q76" s="5"/>
      <c r="R76" s="5"/>
      <c r="S76" s="33"/>
    </row>
    <row r="77" spans="1:19" ht="15.75" customHeight="1">
      <c r="B77" s="200" t="s">
        <v>57</v>
      </c>
      <c r="C77" s="6"/>
      <c r="D77" s="68" t="s">
        <v>142</v>
      </c>
      <c r="E77" s="17">
        <f>SUMIFS('305 Inputs'!$G:$G,'305 Inputs'!$J:$J,$D77,'305 Inputs'!$C:$C,$D$67)/12</f>
        <v>0</v>
      </c>
      <c r="F77" s="17">
        <f>SUMIFS('305 Inputs'!$H:$H,'305 Inputs'!$J:$J,$D77,'305 Inputs'!$C:$C,$D$67)</f>
        <v>0</v>
      </c>
      <c r="G77" s="17">
        <v>0</v>
      </c>
      <c r="H77" s="17">
        <f>G77</f>
        <v>0</v>
      </c>
      <c r="I77" s="185">
        <f>H77+F77</f>
        <v>0</v>
      </c>
      <c r="J77" s="16">
        <f>'Table 3'!E77</f>
        <v>0</v>
      </c>
      <c r="K77" s="16">
        <f>'Table 3'!J77</f>
        <v>0</v>
      </c>
      <c r="L77" s="16">
        <f>'Table 3'!N77</f>
        <v>0</v>
      </c>
      <c r="M77" s="16">
        <f>'Table 3'!R77</f>
        <v>0</v>
      </c>
      <c r="N77" s="16">
        <f>K77+L77+M77</f>
        <v>0</v>
      </c>
      <c r="O77" s="16">
        <f>N77+J77</f>
        <v>0</v>
      </c>
      <c r="Q77" s="5"/>
      <c r="R77" s="5"/>
      <c r="S77" s="33"/>
    </row>
    <row r="78" spans="1:19" ht="15.75" customHeight="1">
      <c r="B78" s="200" t="s">
        <v>51</v>
      </c>
      <c r="C78" s="6"/>
      <c r="D78" s="68" t="s">
        <v>446</v>
      </c>
      <c r="E78" s="17">
        <v>1</v>
      </c>
      <c r="F78" s="17">
        <v>405954000</v>
      </c>
      <c r="G78" s="17">
        <v>0</v>
      </c>
      <c r="H78" s="17">
        <f>G78</f>
        <v>0</v>
      </c>
      <c r="I78" s="185">
        <f>H78+F78</f>
        <v>405954000</v>
      </c>
      <c r="J78" s="16">
        <f>'Table 3'!E78</f>
        <v>25495655.259999998</v>
      </c>
      <c r="K78" s="16">
        <f>'Table 3'!J78</f>
        <v>-1061327.7</v>
      </c>
      <c r="L78" s="16">
        <f>'Table 3'!N78</f>
        <v>116145</v>
      </c>
      <c r="M78" s="16">
        <f>'Table 3'!R78</f>
        <v>0</v>
      </c>
      <c r="N78" s="16">
        <f>K78+L78+M78</f>
        <v>-945182.7</v>
      </c>
      <c r="O78" s="16">
        <f>N78+J78</f>
        <v>24550472.559999999</v>
      </c>
      <c r="S78" s="33"/>
    </row>
    <row r="79" spans="1:19" ht="15.75" customHeight="1">
      <c r="B79" s="200" t="s">
        <v>51</v>
      </c>
      <c r="C79" s="6"/>
      <c r="D79" s="68" t="s">
        <v>143</v>
      </c>
      <c r="E79" s="186">
        <f>SUMIFS('305 Inputs'!$G:$G,'305 Inputs'!$J:$J,$D79,'305 Inputs'!$C:$C,$D$67)/12-E78</f>
        <v>31.25</v>
      </c>
      <c r="F79" s="186">
        <f>SUMIFS('305 Inputs'!$H:$H,'305 Inputs'!$J:$J,$D79,'305 Inputs'!$C:$C,$D$67)-F78</f>
        <v>214320951</v>
      </c>
      <c r="G79" s="186">
        <v>0</v>
      </c>
      <c r="H79" s="186">
        <f>G79</f>
        <v>0</v>
      </c>
      <c r="I79" s="187">
        <f>H79+F79</f>
        <v>214320951</v>
      </c>
      <c r="J79" s="188">
        <f>'Table 3'!E79</f>
        <v>15993567.090000004</v>
      </c>
      <c r="K79" s="188">
        <f>'Table 3'!J79</f>
        <v>-26012.338761468767</v>
      </c>
      <c r="L79" s="188">
        <f>'Table 3'!N79</f>
        <v>75899</v>
      </c>
      <c r="M79" s="188">
        <f>'Table 3'!R79</f>
        <v>0</v>
      </c>
      <c r="N79" s="188">
        <f>K79+L79+M79</f>
        <v>49886.661238531233</v>
      </c>
      <c r="O79" s="188">
        <f>N79+J79</f>
        <v>16043453.751238534</v>
      </c>
      <c r="S79" s="33"/>
    </row>
    <row r="80" spans="1:19" ht="15.75" customHeight="1">
      <c r="B80" s="2" t="s">
        <v>33</v>
      </c>
      <c r="D80" s="68"/>
      <c r="E80" s="17">
        <f>SUM(E76:E79)</f>
        <v>33.25</v>
      </c>
      <c r="F80" s="17">
        <f>SUM(F76:F79)</f>
        <v>622318951</v>
      </c>
      <c r="G80" s="17">
        <f t="shared" ref="G80:O80" si="27">SUM(G76:G79)</f>
        <v>0</v>
      </c>
      <c r="H80" s="17">
        <f t="shared" si="27"/>
        <v>0</v>
      </c>
      <c r="I80" s="185">
        <f t="shared" si="27"/>
        <v>622318951</v>
      </c>
      <c r="J80" s="16">
        <f t="shared" si="27"/>
        <v>41820644.18</v>
      </c>
      <c r="K80" s="16">
        <f t="shared" si="27"/>
        <v>-1081576.3539538449</v>
      </c>
      <c r="L80" s="16">
        <f t="shared" si="27"/>
        <v>193667</v>
      </c>
      <c r="M80" s="16">
        <f>SUM(M76:M79)</f>
        <v>0</v>
      </c>
      <c r="N80" s="16">
        <f t="shared" si="27"/>
        <v>-887909.35395384487</v>
      </c>
      <c r="O80" s="16">
        <f t="shared" si="27"/>
        <v>40932734.826046154</v>
      </c>
      <c r="Q80" s="5"/>
      <c r="R80" s="5"/>
      <c r="S80" s="33"/>
    </row>
    <row r="81" spans="2:19" ht="15.75" customHeight="1">
      <c r="D81" s="68"/>
      <c r="E81" s="183"/>
      <c r="F81" s="183"/>
      <c r="G81" s="183"/>
      <c r="H81" s="17"/>
      <c r="I81" s="184"/>
      <c r="J81" s="16"/>
      <c r="K81" s="16"/>
      <c r="L81" s="16"/>
      <c r="M81" s="16"/>
      <c r="N81" s="16"/>
      <c r="O81" s="5"/>
      <c r="Q81" s="5"/>
      <c r="R81" s="5"/>
      <c r="S81" s="33"/>
    </row>
    <row r="82" spans="2:19" ht="15.75" customHeight="1">
      <c r="B82" s="200" t="s">
        <v>52</v>
      </c>
      <c r="D82" s="68" t="s">
        <v>139</v>
      </c>
      <c r="E82" s="186">
        <f>SUMIFS('305 Inputs'!$G:$G,'305 Inputs'!$J:$J,$D82,'305 Inputs'!$C:$C,$D$67)/12</f>
        <v>51.5</v>
      </c>
      <c r="F82" s="186">
        <f>SUMIFS('305 Inputs'!$H:$H,'305 Inputs'!$J:$J,$D82,'305 Inputs'!$C:$C,$D$67)</f>
        <v>123555</v>
      </c>
      <c r="G82" s="186">
        <v>0</v>
      </c>
      <c r="H82" s="186">
        <f>G82</f>
        <v>0</v>
      </c>
      <c r="I82" s="187">
        <f>H82+F82</f>
        <v>123555</v>
      </c>
      <c r="J82" s="188">
        <f>'Table 3'!E82</f>
        <v>17225.27</v>
      </c>
      <c r="K82" s="188">
        <f>'Table 3'!J82</f>
        <v>374.50015033745274</v>
      </c>
      <c r="L82" s="188">
        <f>'Table 3'!N82</f>
        <v>83</v>
      </c>
      <c r="M82" s="188">
        <f>'Table 3'!R82</f>
        <v>0</v>
      </c>
      <c r="N82" s="188">
        <f>K82+L82+M82</f>
        <v>457.50015033745274</v>
      </c>
      <c r="O82" s="188">
        <f>N82+J82</f>
        <v>17682.770150337452</v>
      </c>
      <c r="Q82" s="5"/>
      <c r="R82" s="5"/>
      <c r="S82" s="33"/>
    </row>
    <row r="83" spans="2:19" ht="15.75" customHeight="1">
      <c r="B83" s="2" t="s">
        <v>33</v>
      </c>
      <c r="D83" s="68"/>
      <c r="E83" s="17">
        <f>SUM(E82:E82)</f>
        <v>51.5</v>
      </c>
      <c r="F83" s="17">
        <f>SUM(F82:F82)</f>
        <v>123555</v>
      </c>
      <c r="G83" s="17">
        <v>0</v>
      </c>
      <c r="H83" s="17">
        <v>0</v>
      </c>
      <c r="I83" s="185">
        <f>SUM(I82)</f>
        <v>123555</v>
      </c>
      <c r="J83" s="16">
        <f>SUM(J82)</f>
        <v>17225.27</v>
      </c>
      <c r="K83" s="16">
        <f>SUM(K82)</f>
        <v>374.50015033745274</v>
      </c>
      <c r="L83" s="16">
        <f>SUM(L82:L82)</f>
        <v>83</v>
      </c>
      <c r="M83" s="16">
        <f>SUM(M82:M82)</f>
        <v>0</v>
      </c>
      <c r="N83" s="16">
        <f>SUM(N82)</f>
        <v>457.50015033745274</v>
      </c>
      <c r="O83" s="16">
        <f>SUM(O82)</f>
        <v>17682.770150337452</v>
      </c>
      <c r="S83" s="33"/>
    </row>
    <row r="84" spans="2:19" ht="15.75" customHeight="1">
      <c r="D84" s="68"/>
      <c r="E84" s="183"/>
      <c r="F84" s="183"/>
      <c r="G84" s="183" t="s">
        <v>29</v>
      </c>
      <c r="H84" s="183" t="s">
        <v>29</v>
      </c>
      <c r="I84" s="184" t="s">
        <v>29</v>
      </c>
      <c r="J84" s="16" t="s">
        <v>29</v>
      </c>
      <c r="K84" s="16"/>
      <c r="L84" s="16"/>
      <c r="M84" s="16"/>
      <c r="N84" s="16"/>
      <c r="O84" s="5"/>
      <c r="Q84" s="5"/>
      <c r="R84" s="5"/>
      <c r="S84" s="33"/>
    </row>
    <row r="85" spans="2:19" s="6" customFormat="1" ht="15.75" customHeight="1">
      <c r="B85" s="2" t="s">
        <v>32</v>
      </c>
      <c r="D85" s="68" t="s">
        <v>138</v>
      </c>
      <c r="E85" s="186">
        <f>SUMIFS('305 Inputs'!$G:$G,'305 Inputs'!$I:$I,$D85,'305 Inputs'!$C:$C,$D$67)/12</f>
        <v>0</v>
      </c>
      <c r="F85" s="186">
        <f>SUMIFS('305 Inputs'!$H:$H,'305 Inputs'!$J:$J,$D85,'305 Inputs'!$C:$C,$D$67)</f>
        <v>0</v>
      </c>
      <c r="G85" s="186">
        <v>0</v>
      </c>
      <c r="H85" s="186">
        <f>G85</f>
        <v>0</v>
      </c>
      <c r="I85" s="187">
        <f>H85+F85</f>
        <v>0</v>
      </c>
      <c r="J85" s="188">
        <f>'Table 3'!E85</f>
        <v>25144.080000000002</v>
      </c>
      <c r="K85" s="188">
        <f>'Table 3'!J85</f>
        <v>0</v>
      </c>
      <c r="L85" s="188">
        <f>'Table 3'!N85</f>
        <v>0</v>
      </c>
      <c r="M85" s="188">
        <f>'Table 3'!R85</f>
        <v>0</v>
      </c>
      <c r="N85" s="188">
        <f>K85+L85+M85</f>
        <v>0</v>
      </c>
      <c r="O85" s="188">
        <f>N85+J85</f>
        <v>25144.080000000002</v>
      </c>
      <c r="Q85" s="7"/>
      <c r="R85" s="7"/>
      <c r="S85" s="10"/>
    </row>
    <row r="86" spans="2:19" s="6" customFormat="1" ht="15.75" customHeight="1">
      <c r="B86" s="2"/>
      <c r="D86" s="68"/>
      <c r="E86" s="186"/>
      <c r="F86" s="186"/>
      <c r="G86" s="186"/>
      <c r="H86" s="186"/>
      <c r="I86" s="187"/>
      <c r="J86" s="188"/>
      <c r="K86" s="188"/>
      <c r="L86" s="188"/>
      <c r="M86" s="188"/>
      <c r="N86" s="188"/>
      <c r="O86" s="188"/>
      <c r="Q86" s="7"/>
      <c r="R86" s="7"/>
      <c r="S86" s="10"/>
    </row>
    <row r="87" spans="2:19" ht="15.75" customHeight="1">
      <c r="B87" s="2" t="s">
        <v>235</v>
      </c>
      <c r="D87" s="68" t="s">
        <v>203</v>
      </c>
      <c r="E87" s="186">
        <f>SUMIFS('305 Inputs'!$G:$G,'305 Inputs'!$I:$I,$D87,'305 Inputs'!$C:$C,$D$67)/12</f>
        <v>0</v>
      </c>
      <c r="F87" s="186">
        <f>SUMIFS('305 Inputs'!$H:$H,'305 Inputs'!$J:$J,$D87,'305 Inputs'!$C:$C,$D$67)</f>
        <v>0</v>
      </c>
      <c r="G87" s="186">
        <v>0</v>
      </c>
      <c r="H87" s="186">
        <f t="shared" ref="H87:H90" si="28">G87</f>
        <v>0</v>
      </c>
      <c r="I87" s="187">
        <f t="shared" ref="I87:I90" si="29">H87+F87</f>
        <v>0</v>
      </c>
      <c r="J87" s="188">
        <f>'Table 3'!E87</f>
        <v>-4144795.23</v>
      </c>
      <c r="K87" s="188">
        <f>'Table 3'!J87</f>
        <v>4144795.23</v>
      </c>
      <c r="L87" s="188">
        <f>'Table 3'!N87</f>
        <v>0</v>
      </c>
      <c r="M87" s="188">
        <f>'Table 3'!R87</f>
        <v>0</v>
      </c>
      <c r="N87" s="188">
        <f t="shared" ref="N87:N90" si="30">K87+L87+M87</f>
        <v>4144795.23</v>
      </c>
      <c r="O87" s="188">
        <f t="shared" ref="O87:O90" si="31">N87+J87</f>
        <v>0</v>
      </c>
      <c r="Q87" s="5"/>
      <c r="R87" s="5"/>
      <c r="S87" s="33"/>
    </row>
    <row r="88" spans="2:19" s="6" customFormat="1" ht="15.75" customHeight="1">
      <c r="B88" s="2" t="s">
        <v>281</v>
      </c>
      <c r="D88" s="68" t="s">
        <v>274</v>
      </c>
      <c r="E88" s="186">
        <f>SUMIFS('305 Inputs'!$G:$G,'305 Inputs'!$I:$I,$D88,'305 Inputs'!$C:$C,$D$67)/12</f>
        <v>0</v>
      </c>
      <c r="F88" s="186">
        <f>SUMIFS('305 Inputs'!$H:$H,'305 Inputs'!$J:$J,$D88,'305 Inputs'!$C:$C,$D$67)</f>
        <v>0</v>
      </c>
      <c r="G88" s="186">
        <v>0</v>
      </c>
      <c r="H88" s="186">
        <f t="shared" si="28"/>
        <v>0</v>
      </c>
      <c r="I88" s="187">
        <f t="shared" si="29"/>
        <v>0</v>
      </c>
      <c r="J88" s="188">
        <f>'Table 3'!E88</f>
        <v>1665639.08</v>
      </c>
      <c r="K88" s="188">
        <f>'Table 3'!J88</f>
        <v>-1665639.08</v>
      </c>
      <c r="L88" s="188">
        <f>'Table 3'!N88</f>
        <v>0</v>
      </c>
      <c r="M88" s="188">
        <f>'Table 3'!R88</f>
        <v>0</v>
      </c>
      <c r="N88" s="188">
        <f t="shared" si="30"/>
        <v>-1665639.08</v>
      </c>
      <c r="O88" s="188">
        <f t="shared" si="31"/>
        <v>0</v>
      </c>
      <c r="Q88" s="7"/>
      <c r="R88" s="7"/>
      <c r="S88" s="10"/>
    </row>
    <row r="89" spans="2:19" s="6" customFormat="1" ht="15.75" customHeight="1">
      <c r="B89" s="2" t="s">
        <v>277</v>
      </c>
      <c r="D89" s="68" t="s">
        <v>275</v>
      </c>
      <c r="E89" s="186">
        <f>SUMIFS('305 Inputs'!$G:$G,'305 Inputs'!$I:$I,$D89,'305 Inputs'!$C:$C,$D$67)/12</f>
        <v>2</v>
      </c>
      <c r="F89" s="186">
        <f>SUMIFS('305 Inputs'!$H:$H,'305 Inputs'!$J:$J,$D89,'305 Inputs'!$C:$C,$D$67)</f>
        <v>0</v>
      </c>
      <c r="G89" s="186">
        <v>0</v>
      </c>
      <c r="H89" s="186">
        <f t="shared" si="28"/>
        <v>0</v>
      </c>
      <c r="I89" s="187">
        <f t="shared" si="29"/>
        <v>0</v>
      </c>
      <c r="J89" s="188">
        <f>'Table 3'!E89</f>
        <v>33.92</v>
      </c>
      <c r="K89" s="188">
        <f>'Table 3'!J89</f>
        <v>-33.92</v>
      </c>
      <c r="L89" s="188">
        <f>'Table 3'!N89</f>
        <v>0</v>
      </c>
      <c r="M89" s="188">
        <f>'Table 3'!R89</f>
        <v>0</v>
      </c>
      <c r="N89" s="188">
        <f t="shared" si="30"/>
        <v>-33.92</v>
      </c>
      <c r="O89" s="188">
        <f t="shared" si="31"/>
        <v>0</v>
      </c>
      <c r="Q89" s="7"/>
      <c r="R89" s="7"/>
      <c r="S89" s="10"/>
    </row>
    <row r="90" spans="2:19" s="6" customFormat="1" ht="15.75" customHeight="1">
      <c r="B90" s="2" t="s">
        <v>89</v>
      </c>
      <c r="D90" s="68" t="s">
        <v>140</v>
      </c>
      <c r="E90" s="186">
        <f>SUMIFS('305 Inputs'!$G:$G,'305 Inputs'!$I:$I,$D90,'305 Inputs'!$C:$C,$D$67)/12</f>
        <v>0</v>
      </c>
      <c r="F90" s="186">
        <f>SUMIFS('305 Inputs'!$H:$H,'305 Inputs'!$J:$J,$D90,'305 Inputs'!$C:$C,$D$67)</f>
        <v>0</v>
      </c>
      <c r="G90" s="186">
        <v>0</v>
      </c>
      <c r="H90" s="186">
        <f t="shared" si="28"/>
        <v>0</v>
      </c>
      <c r="I90" s="187">
        <f t="shared" si="29"/>
        <v>0</v>
      </c>
      <c r="J90" s="188">
        <f>'Table 3'!E90</f>
        <v>221.5</v>
      </c>
      <c r="K90" s="188">
        <f>'Table 3'!J90</f>
        <v>-221.5</v>
      </c>
      <c r="L90" s="188">
        <f>'Table 3'!N90</f>
        <v>0</v>
      </c>
      <c r="M90" s="188">
        <f>'Table 3'!R90</f>
        <v>0</v>
      </c>
      <c r="N90" s="188">
        <f t="shared" si="30"/>
        <v>-221.5</v>
      </c>
      <c r="O90" s="188">
        <f t="shared" si="31"/>
        <v>0</v>
      </c>
      <c r="Q90" s="7"/>
      <c r="R90" s="7"/>
      <c r="S90" s="10"/>
    </row>
    <row r="91" spans="2:19" s="6" customFormat="1" ht="15.75" customHeight="1">
      <c r="B91" s="2" t="s">
        <v>423</v>
      </c>
      <c r="D91" s="68" t="s">
        <v>424</v>
      </c>
      <c r="E91" s="186">
        <f>SUMIFS('305 Inputs'!$G:$G,'305 Inputs'!$I:$I,$D91,'305 Inputs'!$C:$C,$D$67)/12</f>
        <v>0</v>
      </c>
      <c r="F91" s="186">
        <f>SUMIFS('305 Inputs'!$H:$H,'305 Inputs'!$J:$J,$D91,'305 Inputs'!$C:$C,$D$67)</f>
        <v>0</v>
      </c>
      <c r="G91" s="186">
        <v>0</v>
      </c>
      <c r="H91" s="186">
        <f t="shared" ref="H91:H92" si="32">G91</f>
        <v>0</v>
      </c>
      <c r="I91" s="187">
        <f t="shared" ref="I91:I92" si="33">H91+F91</f>
        <v>0</v>
      </c>
      <c r="J91" s="188">
        <f>'Table 3'!E91</f>
        <v>-1650105.3</v>
      </c>
      <c r="K91" s="188">
        <f>'Table 3'!J91</f>
        <v>1650105.3</v>
      </c>
      <c r="L91" s="188">
        <f>'Table 3'!N91</f>
        <v>0</v>
      </c>
      <c r="M91" s="188">
        <f>'Table 3'!R91</f>
        <v>0</v>
      </c>
      <c r="N91" s="188">
        <f t="shared" ref="N91:N92" si="34">K91+L91+M91</f>
        <v>1650105.3</v>
      </c>
      <c r="O91" s="188">
        <f t="shared" ref="O91:O92" si="35">N91+J91</f>
        <v>0</v>
      </c>
      <c r="Q91" s="7"/>
      <c r="R91" s="7"/>
      <c r="S91" s="10"/>
    </row>
    <row r="92" spans="2:19" s="6" customFormat="1" ht="15.75" customHeight="1">
      <c r="B92" s="2" t="s">
        <v>422</v>
      </c>
      <c r="D92" s="68" t="s">
        <v>425</v>
      </c>
      <c r="E92" s="186">
        <f>SUMIFS('305 Inputs'!$G:$G,'305 Inputs'!$I:$I,$D92,'305 Inputs'!$C:$C,$D$67)/12</f>
        <v>0</v>
      </c>
      <c r="F92" s="186">
        <f>SUMIFS('305 Inputs'!$H:$H,'305 Inputs'!$J:$J,$D92,'305 Inputs'!$C:$C,$D$67)</f>
        <v>0</v>
      </c>
      <c r="G92" s="186">
        <v>0</v>
      </c>
      <c r="H92" s="186">
        <f t="shared" si="32"/>
        <v>0</v>
      </c>
      <c r="I92" s="187">
        <f t="shared" si="33"/>
        <v>0</v>
      </c>
      <c r="J92" s="188">
        <f>'Table 3'!E92</f>
        <v>-30381.040000000001</v>
      </c>
      <c r="K92" s="188">
        <f>'Table 3'!J92</f>
        <v>30381.040000000001</v>
      </c>
      <c r="L92" s="188">
        <f>'Table 3'!N92</f>
        <v>0</v>
      </c>
      <c r="M92" s="188">
        <f>'Table 3'!R92</f>
        <v>0</v>
      </c>
      <c r="N92" s="188">
        <f t="shared" si="34"/>
        <v>30381.040000000001</v>
      </c>
      <c r="O92" s="188">
        <f t="shared" si="35"/>
        <v>0</v>
      </c>
      <c r="Q92" s="7"/>
      <c r="R92" s="7"/>
      <c r="S92" s="10"/>
    </row>
    <row r="93" spans="2:19" ht="15.75" customHeight="1">
      <c r="D93" s="68"/>
      <c r="E93" s="183"/>
      <c r="F93" s="183"/>
      <c r="G93" s="183"/>
      <c r="H93" s="183"/>
      <c r="I93" s="184"/>
      <c r="J93" s="16"/>
      <c r="K93" s="16"/>
      <c r="L93" s="16"/>
      <c r="M93" s="16"/>
      <c r="N93" s="16"/>
      <c r="O93" s="16"/>
      <c r="Q93" s="5"/>
      <c r="R93" s="5"/>
      <c r="S93" s="33"/>
    </row>
    <row r="94" spans="2:19" s="6" customFormat="1" ht="15.75" customHeight="1">
      <c r="B94" s="2" t="s">
        <v>74</v>
      </c>
      <c r="D94" s="68" t="s">
        <v>141</v>
      </c>
      <c r="E94" s="186">
        <f>SUMIFS('305 Inputs'!$G:$G,'305 Inputs'!$I:$I,$D94,'305 Inputs'!$C:$C,$D$67)/12</f>
        <v>0</v>
      </c>
      <c r="F94" s="186">
        <f>SUMIFS('305 Inputs'!$H:$H,'305 Inputs'!$J:$J,$D94,'305 Inputs'!$C:$C,$D$67)</f>
        <v>5650000</v>
      </c>
      <c r="G94" s="186">
        <v>0</v>
      </c>
      <c r="H94" s="186">
        <f>G94</f>
        <v>0</v>
      </c>
      <c r="I94" s="187">
        <f>H94+F94</f>
        <v>5650000</v>
      </c>
      <c r="J94" s="188">
        <f>'Table 3'!E94</f>
        <v>876000</v>
      </c>
      <c r="K94" s="188">
        <f>'Table 3'!J94</f>
        <v>-876000</v>
      </c>
      <c r="L94" s="188">
        <f>'Table 3'!N94</f>
        <v>0</v>
      </c>
      <c r="M94" s="188">
        <f>'Table 3'!R94</f>
        <v>0</v>
      </c>
      <c r="N94" s="188">
        <f>K94+L94+M94</f>
        <v>-876000</v>
      </c>
      <c r="O94" s="188">
        <f>N94+J94</f>
        <v>0</v>
      </c>
      <c r="Q94" s="7"/>
      <c r="R94" s="7"/>
      <c r="S94" s="10"/>
    </row>
    <row r="95" spans="2:19" ht="15.75" customHeight="1">
      <c r="B95" s="6"/>
      <c r="D95" s="68"/>
      <c r="E95" s="183"/>
      <c r="F95" s="183"/>
      <c r="G95" s="183"/>
      <c r="H95" s="183"/>
      <c r="I95" s="184"/>
      <c r="J95" s="16"/>
      <c r="K95" s="75"/>
      <c r="L95" s="75"/>
      <c r="M95" s="75"/>
      <c r="N95" s="75"/>
      <c r="O95" s="5"/>
      <c r="Q95" s="5"/>
      <c r="R95" s="5"/>
      <c r="S95" s="33"/>
    </row>
    <row r="96" spans="2:19" ht="15.75" customHeight="1">
      <c r="B96" s="18" t="s">
        <v>8</v>
      </c>
      <c r="C96" s="19"/>
      <c r="D96" s="331"/>
      <c r="E96" s="192">
        <f t="shared" ref="E96:O96" si="36">+E71+E74+E80+E83+E85+SUM(E87:E94)</f>
        <v>567.58333333333326</v>
      </c>
      <c r="F96" s="192">
        <f t="shared" si="36"/>
        <v>738560025</v>
      </c>
      <c r="G96" s="192">
        <f t="shared" si="36"/>
        <v>0</v>
      </c>
      <c r="H96" s="192">
        <f t="shared" si="36"/>
        <v>0</v>
      </c>
      <c r="I96" s="315">
        <f t="shared" si="36"/>
        <v>738560025</v>
      </c>
      <c r="J96" s="193">
        <f t="shared" si="36"/>
        <v>48325447.939999998</v>
      </c>
      <c r="K96" s="193">
        <f t="shared" si="36"/>
        <v>2187957.7844441137</v>
      </c>
      <c r="L96" s="193">
        <f t="shared" si="36"/>
        <v>240008</v>
      </c>
      <c r="M96" s="193">
        <f t="shared" si="36"/>
        <v>0</v>
      </c>
      <c r="N96" s="193">
        <f t="shared" si="36"/>
        <v>2427965.7844441137</v>
      </c>
      <c r="O96" s="193">
        <f t="shared" si="36"/>
        <v>50753413.724444114</v>
      </c>
      <c r="Q96" s="5"/>
      <c r="R96" s="5"/>
      <c r="S96" s="33"/>
    </row>
    <row r="97" spans="1:19" ht="15.75" customHeight="1">
      <c r="B97" s="4"/>
      <c r="C97" s="4"/>
      <c r="D97" s="220"/>
      <c r="E97" s="183"/>
      <c r="F97" s="183"/>
      <c r="G97" s="183"/>
      <c r="H97" s="183"/>
      <c r="I97" s="184"/>
      <c r="J97" s="16" t="s">
        <v>29</v>
      </c>
      <c r="K97" s="183"/>
      <c r="L97" s="183"/>
      <c r="M97" s="183"/>
      <c r="N97" s="183"/>
      <c r="O97" s="183"/>
      <c r="Q97" s="5"/>
      <c r="R97" s="5"/>
      <c r="S97" s="33"/>
    </row>
    <row r="98" spans="1:19" ht="15.75" customHeight="1">
      <c r="A98" s="3" t="s">
        <v>171</v>
      </c>
      <c r="B98" s="200"/>
      <c r="D98" s="68"/>
      <c r="E98" s="183"/>
      <c r="F98" s="183"/>
      <c r="G98" s="183"/>
      <c r="H98" s="183"/>
      <c r="I98" s="184"/>
      <c r="J98" s="16"/>
      <c r="K98" s="16"/>
      <c r="L98" s="16"/>
      <c r="M98" s="16"/>
      <c r="N98" s="16"/>
      <c r="O98" s="16"/>
      <c r="S98" s="33"/>
    </row>
    <row r="99" spans="1:19" ht="15.75" customHeight="1">
      <c r="A99" s="3"/>
      <c r="B99" s="200"/>
      <c r="D99" s="157" t="s">
        <v>117</v>
      </c>
      <c r="E99" s="183"/>
      <c r="F99" s="183"/>
      <c r="G99" s="183"/>
      <c r="H99" s="183"/>
      <c r="I99" s="184"/>
      <c r="J99" s="16"/>
      <c r="K99" s="16"/>
      <c r="L99" s="16"/>
      <c r="M99" s="16"/>
      <c r="N99" s="16"/>
      <c r="O99" s="16"/>
      <c r="S99" s="33"/>
    </row>
    <row r="100" spans="1:19" ht="15.75" customHeight="1">
      <c r="B100" s="200" t="s">
        <v>55</v>
      </c>
      <c r="D100" s="68">
        <v>40</v>
      </c>
      <c r="E100" s="17">
        <f>SUMIFS('305 Inputs'!$G:$G,'305 Inputs'!$J:$J,$D100,'305 Inputs'!$C:$C,$D$99)/12</f>
        <v>3032.1666666666665</v>
      </c>
      <c r="F100" s="17">
        <f>SUMIFS('305 Inputs'!$H:$H,'305 Inputs'!$J:$J,$D100,'305 Inputs'!$C:$C,$D$99)</f>
        <v>110925210</v>
      </c>
      <c r="G100" s="17">
        <v>0</v>
      </c>
      <c r="H100" s="17">
        <f>G100</f>
        <v>0</v>
      </c>
      <c r="I100" s="185">
        <f>H100+F100</f>
        <v>110925210</v>
      </c>
      <c r="J100" s="16">
        <f>'Table 3'!E100</f>
        <v>9273330.9900000002</v>
      </c>
      <c r="K100" s="16">
        <f>'Table 3'!J100</f>
        <v>196461.8830229399</v>
      </c>
      <c r="L100" s="16">
        <f>'Table 3'!N100</f>
        <v>45013</v>
      </c>
      <c r="M100" s="16">
        <f>'Table 3'!R100</f>
        <v>0</v>
      </c>
      <c r="N100" s="16">
        <f>K100+L100+M100</f>
        <v>241474.8830229399</v>
      </c>
      <c r="O100" s="16">
        <f>N100+J100</f>
        <v>9514805.87302294</v>
      </c>
      <c r="Q100" s="5"/>
      <c r="R100" s="5"/>
      <c r="S100" s="33"/>
    </row>
    <row r="101" spans="1:19" ht="15.75" customHeight="1">
      <c r="B101" s="200" t="s">
        <v>56</v>
      </c>
      <c r="D101" s="68" t="s">
        <v>145</v>
      </c>
      <c r="E101" s="186">
        <f>SUMIFS('305 Inputs'!$G:$G,'305 Inputs'!$J:$J,$D101,'305 Inputs'!$C:$C,$D$99)/12</f>
        <v>2139</v>
      </c>
      <c r="F101" s="186">
        <f>SUMIFS('305 Inputs'!$H:$H,'305 Inputs'!$J:$J,$D101,'305 Inputs'!$C:$C,$D$99)</f>
        <v>53865785</v>
      </c>
      <c r="G101" s="186">
        <v>0</v>
      </c>
      <c r="H101" s="186">
        <f>G101</f>
        <v>0</v>
      </c>
      <c r="I101" s="187">
        <f>H101+F101</f>
        <v>53865785</v>
      </c>
      <c r="J101" s="188">
        <f>'Table 3'!E101</f>
        <v>4984701.6899999995</v>
      </c>
      <c r="K101" s="188">
        <f>'Table 3'!J101</f>
        <v>-114321.34356911853</v>
      </c>
      <c r="L101" s="188">
        <f>'Table 3'!N101</f>
        <v>23151</v>
      </c>
      <c r="M101" s="188">
        <f>'Table 3'!R101</f>
        <v>0</v>
      </c>
      <c r="N101" s="188">
        <f>K101+L101+M101</f>
        <v>-91170.34356911853</v>
      </c>
      <c r="O101" s="188">
        <f>N101+J101</f>
        <v>4893531.3464308809</v>
      </c>
      <c r="Q101" s="5"/>
      <c r="R101" s="5"/>
      <c r="S101" s="33"/>
    </row>
    <row r="102" spans="1:19" ht="15.75" customHeight="1">
      <c r="B102" s="2" t="s">
        <v>33</v>
      </c>
      <c r="D102" s="68"/>
      <c r="E102" s="17">
        <f>SUM(E100:E101)</f>
        <v>5171.1666666666661</v>
      </c>
      <c r="F102" s="17">
        <f>SUM(F100:F101)</f>
        <v>164790995</v>
      </c>
      <c r="G102" s="17">
        <f t="shared" ref="G102:O102" si="37">SUM(G100:G101)</f>
        <v>0</v>
      </c>
      <c r="H102" s="17">
        <f t="shared" si="37"/>
        <v>0</v>
      </c>
      <c r="I102" s="185">
        <f t="shared" si="37"/>
        <v>164790995</v>
      </c>
      <c r="J102" s="16">
        <f t="shared" si="37"/>
        <v>14258032.68</v>
      </c>
      <c r="K102" s="16">
        <f t="shared" si="37"/>
        <v>82140.539453821373</v>
      </c>
      <c r="L102" s="16">
        <f>SUM(L100:L101)</f>
        <v>68164</v>
      </c>
      <c r="M102" s="16">
        <f>SUM(M100:M101)</f>
        <v>0</v>
      </c>
      <c r="N102" s="16">
        <f t="shared" si="37"/>
        <v>150304.53945382137</v>
      </c>
      <c r="O102" s="16">
        <f t="shared" si="37"/>
        <v>14408337.219453821</v>
      </c>
      <c r="Q102" s="5"/>
      <c r="R102" s="5"/>
      <c r="S102" s="33"/>
    </row>
    <row r="103" spans="1:19" s="6" customFormat="1" ht="15.75" customHeight="1">
      <c r="A103" s="2"/>
      <c r="B103" s="2"/>
      <c r="C103" s="2"/>
      <c r="D103" s="68"/>
      <c r="E103" s="183"/>
      <c r="F103" s="183"/>
      <c r="G103" s="183" t="s">
        <v>29</v>
      </c>
      <c r="H103" s="183" t="s">
        <v>29</v>
      </c>
      <c r="I103" s="184" t="s">
        <v>29</v>
      </c>
      <c r="J103" s="16" t="s">
        <v>29</v>
      </c>
      <c r="K103" s="16" t="s">
        <v>29</v>
      </c>
      <c r="L103" s="16" t="s">
        <v>29</v>
      </c>
      <c r="M103" s="16" t="s">
        <v>29</v>
      </c>
      <c r="N103" s="16"/>
      <c r="O103" s="183"/>
      <c r="P103" s="6" t="s">
        <v>29</v>
      </c>
      <c r="Q103" s="7"/>
      <c r="R103" s="7"/>
      <c r="S103" s="10"/>
    </row>
    <row r="104" spans="1:19" s="6" customFormat="1" ht="15.75" customHeight="1">
      <c r="B104" s="2" t="s">
        <v>32</v>
      </c>
      <c r="D104" s="68" t="s">
        <v>138</v>
      </c>
      <c r="E104" s="186">
        <f>SUMIFS('305 Inputs'!$G:$G,'305 Inputs'!$I:$I,$D104,'305 Inputs'!$C:$C,$D$99)/12</f>
        <v>0</v>
      </c>
      <c r="F104" s="186">
        <f>SUMIFS('305 Inputs'!$H:$H,'305 Inputs'!$J:$J,$D104,'305 Inputs'!$C:$C,$D$99)</f>
        <v>0</v>
      </c>
      <c r="G104" s="186">
        <v>0</v>
      </c>
      <c r="H104" s="186">
        <v>0</v>
      </c>
      <c r="I104" s="187">
        <f>H104+F104</f>
        <v>0</v>
      </c>
      <c r="J104" s="188">
        <f>'Table 3'!E104</f>
        <v>235993.83000000002</v>
      </c>
      <c r="K104" s="188">
        <f>'Table 3'!J104</f>
        <v>0</v>
      </c>
      <c r="L104" s="188">
        <f>'Table 3'!N104</f>
        <v>0</v>
      </c>
      <c r="M104" s="188">
        <f>'Table 3'!R104</f>
        <v>0</v>
      </c>
      <c r="N104" s="188">
        <f>K104+L104+M104</f>
        <v>0</v>
      </c>
      <c r="O104" s="188">
        <f>N104+J104</f>
        <v>235993.83000000002</v>
      </c>
      <c r="Q104" s="7"/>
      <c r="R104" s="7"/>
      <c r="S104" s="10"/>
    </row>
    <row r="105" spans="1:19" s="6" customFormat="1" ht="15.75" customHeight="1">
      <c r="B105" s="2"/>
      <c r="D105" s="68"/>
      <c r="E105" s="186"/>
      <c r="F105" s="186"/>
      <c r="G105" s="186"/>
      <c r="H105" s="186"/>
      <c r="I105" s="187"/>
      <c r="J105" s="188"/>
      <c r="K105" s="188"/>
      <c r="L105" s="188"/>
      <c r="M105" s="188"/>
      <c r="N105" s="188"/>
      <c r="O105" s="188"/>
      <c r="Q105" s="7"/>
      <c r="R105" s="7"/>
      <c r="S105" s="10"/>
    </row>
    <row r="106" spans="1:19" s="6" customFormat="1" ht="15.75" customHeight="1">
      <c r="B106" s="2" t="s">
        <v>237</v>
      </c>
      <c r="D106" s="68" t="s">
        <v>350</v>
      </c>
      <c r="E106" s="186">
        <f>SUMIFS('305 Inputs'!$G:$G,'305 Inputs'!$I:$I,$D106,'305 Inputs'!$C:$C,$D$99)/12</f>
        <v>0</v>
      </c>
      <c r="F106" s="186">
        <f>SUMIFS('305 Inputs'!$H:$H,'305 Inputs'!$J:$J,$D106,'305 Inputs'!$C:$C,$D$99)</f>
        <v>0</v>
      </c>
      <c r="G106" s="186">
        <v>0</v>
      </c>
      <c r="H106" s="186">
        <v>0</v>
      </c>
      <c r="I106" s="187">
        <f t="shared" ref="I106:I111" si="38">H106+F106</f>
        <v>0</v>
      </c>
      <c r="J106" s="188">
        <f>'Table 3'!E106</f>
        <v>43000</v>
      </c>
      <c r="K106" s="188">
        <f>'Table 3'!J106</f>
        <v>-43000</v>
      </c>
      <c r="L106" s="188">
        <f>'Table 3'!N106</f>
        <v>0</v>
      </c>
      <c r="M106" s="188">
        <f>'Table 3'!R106</f>
        <v>0</v>
      </c>
      <c r="N106" s="188">
        <f t="shared" ref="N106:N111" si="39">K106+L106+M106</f>
        <v>-43000</v>
      </c>
      <c r="O106" s="188">
        <f t="shared" ref="O106:O111" si="40">N106+J106</f>
        <v>0</v>
      </c>
      <c r="Q106" s="7"/>
      <c r="R106" s="7"/>
      <c r="S106" s="10"/>
    </row>
    <row r="107" spans="1:19" ht="15.75" customHeight="1">
      <c r="B107" s="2" t="s">
        <v>235</v>
      </c>
      <c r="D107" s="68" t="s">
        <v>203</v>
      </c>
      <c r="E107" s="186">
        <f>SUMIFS('305 Inputs'!$G:$G,'305 Inputs'!$I:$I,$D107,'305 Inputs'!$C:$C,$D$99)/12</f>
        <v>0</v>
      </c>
      <c r="F107" s="186">
        <f>SUMIFS('305 Inputs'!$H:$H,'305 Inputs'!$J:$J,$D107,'305 Inputs'!$C:$C,$D$99)</f>
        <v>0</v>
      </c>
      <c r="G107" s="186">
        <v>0</v>
      </c>
      <c r="H107" s="186">
        <v>0</v>
      </c>
      <c r="I107" s="187">
        <f t="shared" si="38"/>
        <v>0</v>
      </c>
      <c r="J107" s="188">
        <f>'Table 3'!E107</f>
        <v>-1589085.9500000002</v>
      </c>
      <c r="K107" s="188">
        <f>'Table 3'!J107</f>
        <v>1589085.9500000002</v>
      </c>
      <c r="L107" s="188">
        <f>'Table 3'!N107</f>
        <v>0</v>
      </c>
      <c r="M107" s="188">
        <f>'Table 3'!R107</f>
        <v>0</v>
      </c>
      <c r="N107" s="188">
        <f t="shared" si="39"/>
        <v>1589085.9500000002</v>
      </c>
      <c r="O107" s="188">
        <f t="shared" si="40"/>
        <v>0</v>
      </c>
      <c r="Q107" s="5"/>
      <c r="R107" s="5"/>
      <c r="S107" s="33"/>
    </row>
    <row r="108" spans="1:19" s="6" customFormat="1" ht="15.75" customHeight="1">
      <c r="B108" s="2" t="s">
        <v>281</v>
      </c>
      <c r="D108" s="68" t="s">
        <v>274</v>
      </c>
      <c r="E108" s="186">
        <f>SUMIFS('305 Inputs'!$G:$G,'305 Inputs'!$I:$I,$D108,'305 Inputs'!$C:$C,$D$99)/12</f>
        <v>0</v>
      </c>
      <c r="F108" s="186">
        <f>SUMIFS('305 Inputs'!$H:$H,'305 Inputs'!$J:$J,$D108,'305 Inputs'!$C:$C,$D$99)</f>
        <v>0</v>
      </c>
      <c r="G108" s="186">
        <v>0</v>
      </c>
      <c r="H108" s="186">
        <v>0</v>
      </c>
      <c r="I108" s="187">
        <f t="shared" si="38"/>
        <v>0</v>
      </c>
      <c r="J108" s="188">
        <f>'Table 3'!E108</f>
        <v>495123.91</v>
      </c>
      <c r="K108" s="188">
        <f>'Table 3'!J108</f>
        <v>-495123.91</v>
      </c>
      <c r="L108" s="188">
        <f>'Table 3'!N108</f>
        <v>0</v>
      </c>
      <c r="M108" s="188">
        <f>'Table 3'!R108</f>
        <v>0</v>
      </c>
      <c r="N108" s="188">
        <f t="shared" si="39"/>
        <v>-495123.91</v>
      </c>
      <c r="O108" s="188">
        <f t="shared" si="40"/>
        <v>0</v>
      </c>
      <c r="Q108" s="7"/>
      <c r="R108" s="7"/>
      <c r="S108" s="10"/>
    </row>
    <row r="109" spans="1:19" s="6" customFormat="1" ht="15.75" customHeight="1">
      <c r="B109" s="2" t="s">
        <v>277</v>
      </c>
      <c r="D109" s="68" t="s">
        <v>275</v>
      </c>
      <c r="E109" s="186">
        <f>SUMIFS('305 Inputs'!$G:$G,'305 Inputs'!$I:$I,$D109,'305 Inputs'!$C:$C,$D$99)/12</f>
        <v>0</v>
      </c>
      <c r="F109" s="186">
        <f>SUMIFS('305 Inputs'!$H:$H,'305 Inputs'!$J:$J,$D109,'305 Inputs'!$C:$C,$D$99)</f>
        <v>0</v>
      </c>
      <c r="G109" s="186">
        <v>0</v>
      </c>
      <c r="H109" s="186">
        <v>0</v>
      </c>
      <c r="I109" s="187">
        <f t="shared" si="38"/>
        <v>0</v>
      </c>
      <c r="J109" s="188">
        <f>'Table 3'!E109</f>
        <v>207.88</v>
      </c>
      <c r="K109" s="188">
        <f>'Table 3'!J109</f>
        <v>-207.88</v>
      </c>
      <c r="L109" s="188">
        <f>'Table 3'!N109</f>
        <v>0</v>
      </c>
      <c r="M109" s="188">
        <f>'Table 3'!R109</f>
        <v>0</v>
      </c>
      <c r="N109" s="188">
        <f t="shared" si="39"/>
        <v>-207.88</v>
      </c>
      <c r="O109" s="188">
        <f t="shared" si="40"/>
        <v>0</v>
      </c>
      <c r="Q109" s="7"/>
      <c r="R109" s="7"/>
      <c r="S109" s="10"/>
    </row>
    <row r="110" spans="1:19" s="6" customFormat="1" ht="15.75" customHeight="1">
      <c r="B110" s="2" t="s">
        <v>89</v>
      </c>
      <c r="D110" s="68" t="s">
        <v>140</v>
      </c>
      <c r="E110" s="186">
        <f>SUMIFS('305 Inputs'!$G:$G,'305 Inputs'!$I:$I,$D110,'305 Inputs'!$C:$C,$D$99)/12</f>
        <v>0</v>
      </c>
      <c r="F110" s="186">
        <f>SUMIFS('305 Inputs'!$H:$H,'305 Inputs'!$J:$J,$D110,'305 Inputs'!$C:$C,$D$99)</f>
        <v>0</v>
      </c>
      <c r="G110" s="186">
        <v>0</v>
      </c>
      <c r="H110" s="186">
        <v>0</v>
      </c>
      <c r="I110" s="187">
        <f t="shared" si="38"/>
        <v>0</v>
      </c>
      <c r="J110" s="188">
        <f>'Table 3'!E110</f>
        <v>4417.13</v>
      </c>
      <c r="K110" s="188">
        <f>'Table 3'!J110</f>
        <v>-4417.13</v>
      </c>
      <c r="L110" s="188">
        <f>'Table 3'!N110</f>
        <v>0</v>
      </c>
      <c r="M110" s="188">
        <f>'Table 3'!R110</f>
        <v>0</v>
      </c>
      <c r="N110" s="188">
        <f t="shared" si="39"/>
        <v>-4417.13</v>
      </c>
      <c r="O110" s="188">
        <f t="shared" si="40"/>
        <v>0</v>
      </c>
      <c r="Q110" s="7"/>
      <c r="R110" s="7"/>
      <c r="S110" s="10"/>
    </row>
    <row r="111" spans="1:19" s="6" customFormat="1" ht="15.75" customHeight="1">
      <c r="B111" s="2" t="s">
        <v>152</v>
      </c>
      <c r="D111" s="68" t="s">
        <v>225</v>
      </c>
      <c r="E111" s="186">
        <f>SUMIFS('305 Inputs'!$G:$G,'305 Inputs'!$I:$I,$D111,'305 Inputs'!$C:$C,$D$99)/12</f>
        <v>0</v>
      </c>
      <c r="F111" s="186">
        <v>0</v>
      </c>
      <c r="G111" s="186">
        <v>0</v>
      </c>
      <c r="H111" s="186">
        <v>0</v>
      </c>
      <c r="I111" s="187">
        <f t="shared" si="38"/>
        <v>0</v>
      </c>
      <c r="J111" s="188">
        <f>'Table 3'!E111</f>
        <v>108720.5</v>
      </c>
      <c r="K111" s="188">
        <f>'Table 3'!J111</f>
        <v>-108720.5</v>
      </c>
      <c r="L111" s="188">
        <f>'Table 3'!N111</f>
        <v>0</v>
      </c>
      <c r="M111" s="188">
        <f>'Table 3'!R111</f>
        <v>0</v>
      </c>
      <c r="N111" s="188">
        <f t="shared" si="39"/>
        <v>-108720.5</v>
      </c>
      <c r="O111" s="188">
        <f t="shared" si="40"/>
        <v>0</v>
      </c>
      <c r="Q111" s="7"/>
      <c r="R111" s="7"/>
      <c r="S111" s="10"/>
    </row>
    <row r="112" spans="1:19" s="6" customFormat="1" ht="15.75" customHeight="1">
      <c r="B112" s="2" t="s">
        <v>423</v>
      </c>
      <c r="D112" s="68" t="s">
        <v>424</v>
      </c>
      <c r="E112" s="186">
        <f>SUMIFS('305 Inputs'!$G:$G,'305 Inputs'!$I:$I,$D112,'305 Inputs'!$C:$C,$D$99)/12</f>
        <v>0</v>
      </c>
      <c r="F112" s="186">
        <f>SUMIFS('305 Inputs'!$H:$H,'305 Inputs'!$J:$J,$D112,'305 Inputs'!$C:$C,$D$99)</f>
        <v>0</v>
      </c>
      <c r="G112" s="186">
        <v>0</v>
      </c>
      <c r="H112" s="186">
        <v>0</v>
      </c>
      <c r="I112" s="187">
        <f t="shared" ref="I112:I113" si="41">H112+F112</f>
        <v>0</v>
      </c>
      <c r="J112" s="188">
        <f>'Table 3'!E112</f>
        <v>-288287.46000000002</v>
      </c>
      <c r="K112" s="188">
        <f>'Table 3'!J112</f>
        <v>288287.46000000002</v>
      </c>
      <c r="L112" s="188">
        <f>'Table 3'!N112</f>
        <v>0</v>
      </c>
      <c r="M112" s="188">
        <f>'Table 3'!R112</f>
        <v>0</v>
      </c>
      <c r="N112" s="188">
        <f t="shared" ref="N112:N113" si="42">K112+L112+M112</f>
        <v>288287.46000000002</v>
      </c>
      <c r="O112" s="188">
        <f t="shared" ref="O112:O113" si="43">N112+J112</f>
        <v>0</v>
      </c>
      <c r="Q112" s="7"/>
      <c r="R112" s="7"/>
      <c r="S112" s="10"/>
    </row>
    <row r="113" spans="1:19" s="6" customFormat="1" ht="15.75" customHeight="1">
      <c r="B113" s="2" t="s">
        <v>422</v>
      </c>
      <c r="D113" s="68" t="s">
        <v>425</v>
      </c>
      <c r="E113" s="186">
        <f>SUMIFS('305 Inputs'!$G:$G,'305 Inputs'!$I:$I,$D113,'305 Inputs'!$C:$C,$D$99)/12</f>
        <v>0</v>
      </c>
      <c r="F113" s="186">
        <f>SUMIFS('305 Inputs'!$H:$H,'305 Inputs'!$J:$J,$D113,'305 Inputs'!$C:$C,$D$99)</f>
        <v>0</v>
      </c>
      <c r="G113" s="186">
        <v>0</v>
      </c>
      <c r="H113" s="186">
        <v>0</v>
      </c>
      <c r="I113" s="187">
        <f t="shared" si="41"/>
        <v>0</v>
      </c>
      <c r="J113" s="188">
        <f>'Table 3'!E113</f>
        <v>393142.91</v>
      </c>
      <c r="K113" s="188">
        <f>'Table 3'!J113</f>
        <v>-393142.91</v>
      </c>
      <c r="L113" s="188">
        <f>'Table 3'!N113</f>
        <v>0</v>
      </c>
      <c r="M113" s="188">
        <f>'Table 3'!R113</f>
        <v>0</v>
      </c>
      <c r="N113" s="188">
        <f t="shared" si="42"/>
        <v>-393142.91</v>
      </c>
      <c r="O113" s="188">
        <f t="shared" si="43"/>
        <v>0</v>
      </c>
      <c r="Q113" s="7"/>
      <c r="R113" s="7"/>
      <c r="S113" s="10"/>
    </row>
    <row r="114" spans="1:19" ht="15.75" customHeight="1">
      <c r="D114" s="68"/>
      <c r="E114" s="183"/>
      <c r="F114" s="183"/>
      <c r="G114" s="183"/>
      <c r="H114" s="183"/>
      <c r="I114" s="184"/>
      <c r="J114" s="16"/>
      <c r="K114" s="16"/>
      <c r="L114" s="16"/>
      <c r="M114" s="16"/>
      <c r="N114" s="16"/>
      <c r="O114" s="16"/>
      <c r="Q114" s="5"/>
      <c r="R114" s="5"/>
      <c r="S114" s="33"/>
    </row>
    <row r="115" spans="1:19" s="6" customFormat="1" ht="15.75" customHeight="1">
      <c r="B115" s="2" t="s">
        <v>74</v>
      </c>
      <c r="D115" s="68" t="s">
        <v>141</v>
      </c>
      <c r="E115" s="186">
        <f>SUMIFS('305 Inputs'!$G:$G,'305 Inputs'!$I:$I,$D115,'305 Inputs'!$C:$C,$D$99)/12</f>
        <v>0</v>
      </c>
      <c r="F115" s="186">
        <f>SUMIFS('305 Inputs'!$H:$H,'305 Inputs'!$J:$J,$D115,'305 Inputs'!$C:$C,$D$99)</f>
        <v>-6008000</v>
      </c>
      <c r="G115" s="186">
        <v>0</v>
      </c>
      <c r="H115" s="186">
        <v>0</v>
      </c>
      <c r="I115" s="187">
        <f>H115+F115</f>
        <v>-6008000</v>
      </c>
      <c r="J115" s="188">
        <f>'Table 3'!E115</f>
        <v>-327000</v>
      </c>
      <c r="K115" s="188">
        <f>'Table 3'!J115</f>
        <v>327000</v>
      </c>
      <c r="L115" s="188">
        <f>'Table 3'!N115</f>
        <v>0</v>
      </c>
      <c r="M115" s="188">
        <f>'Table 3'!R115</f>
        <v>0</v>
      </c>
      <c r="N115" s="188">
        <f>K115+L115+M115</f>
        <v>327000</v>
      </c>
      <c r="O115" s="188">
        <f>N115+J115</f>
        <v>0</v>
      </c>
      <c r="Q115" s="7"/>
      <c r="R115" s="7"/>
      <c r="S115" s="10"/>
    </row>
    <row r="116" spans="1:19" ht="15.75" customHeight="1">
      <c r="B116" s="200"/>
      <c r="D116" s="68"/>
      <c r="E116" s="17"/>
      <c r="F116" s="17"/>
      <c r="G116" s="17"/>
      <c r="H116" s="17"/>
      <c r="I116" s="185"/>
      <c r="J116" s="16"/>
      <c r="K116" s="16"/>
      <c r="L116" s="16"/>
      <c r="M116" s="16"/>
      <c r="N116" s="16"/>
      <c r="O116" s="16"/>
      <c r="Q116" s="5"/>
      <c r="R116" s="5"/>
      <c r="S116" s="33"/>
    </row>
    <row r="117" spans="1:19" ht="15.75" customHeight="1">
      <c r="B117" s="18" t="s">
        <v>8</v>
      </c>
      <c r="C117" s="19"/>
      <c r="D117" s="331"/>
      <c r="E117" s="192">
        <f t="shared" ref="E117:O117" si="44">E102+E104+SUM(E106:E115)</f>
        <v>5171.1666666666661</v>
      </c>
      <c r="F117" s="192">
        <f t="shared" si="44"/>
        <v>158782995</v>
      </c>
      <c r="G117" s="192">
        <f t="shared" si="44"/>
        <v>0</v>
      </c>
      <c r="H117" s="192">
        <f t="shared" si="44"/>
        <v>0</v>
      </c>
      <c r="I117" s="315">
        <f t="shared" si="44"/>
        <v>158782995</v>
      </c>
      <c r="J117" s="193">
        <f t="shared" si="44"/>
        <v>13334265.43</v>
      </c>
      <c r="K117" s="193">
        <f t="shared" si="44"/>
        <v>1241901.6194538218</v>
      </c>
      <c r="L117" s="193">
        <f t="shared" si="44"/>
        <v>68164</v>
      </c>
      <c r="M117" s="193">
        <f t="shared" si="44"/>
        <v>0</v>
      </c>
      <c r="N117" s="193">
        <f t="shared" si="44"/>
        <v>1310065.6194538218</v>
      </c>
      <c r="O117" s="193">
        <f t="shared" si="44"/>
        <v>14644331.049453821</v>
      </c>
      <c r="Q117" s="5"/>
      <c r="R117" s="5"/>
      <c r="S117" s="33"/>
    </row>
    <row r="118" spans="1:19" ht="15.75" customHeight="1">
      <c r="B118" s="200"/>
      <c r="D118" s="68"/>
      <c r="E118" s="17"/>
      <c r="F118" s="17"/>
      <c r="G118" s="17"/>
      <c r="H118" s="17"/>
      <c r="I118" s="185"/>
      <c r="J118" s="16"/>
      <c r="K118" s="16"/>
      <c r="L118" s="16"/>
      <c r="M118" s="16"/>
      <c r="N118" s="16"/>
      <c r="O118" s="16"/>
      <c r="Q118" s="5"/>
      <c r="R118" s="5"/>
      <c r="S118" s="33"/>
    </row>
    <row r="119" spans="1:19" ht="15.75" customHeight="1">
      <c r="A119" s="3" t="s">
        <v>34</v>
      </c>
      <c r="B119" s="200"/>
      <c r="D119" s="68"/>
      <c r="E119" s="183"/>
      <c r="F119" s="183"/>
      <c r="G119" s="183"/>
      <c r="H119" s="183"/>
      <c r="I119" s="184"/>
      <c r="J119" s="16"/>
      <c r="K119" s="16"/>
      <c r="L119" s="16"/>
      <c r="M119" s="16"/>
      <c r="N119" s="16"/>
      <c r="O119" s="16"/>
      <c r="S119" s="33"/>
    </row>
    <row r="120" spans="1:19" ht="15.75" customHeight="1">
      <c r="A120" s="3"/>
      <c r="B120" s="200"/>
      <c r="D120" s="157" t="s">
        <v>124</v>
      </c>
      <c r="E120" s="183"/>
      <c r="F120" s="183"/>
      <c r="G120" s="183"/>
      <c r="H120" s="183"/>
      <c r="I120" s="184"/>
      <c r="J120" s="16"/>
      <c r="K120" s="16"/>
      <c r="L120" s="16"/>
      <c r="M120" s="16"/>
      <c r="N120" s="16"/>
      <c r="O120" s="16"/>
      <c r="S120" s="33"/>
    </row>
    <row r="121" spans="1:19" ht="15.75" customHeight="1">
      <c r="B121" s="200" t="s">
        <v>58</v>
      </c>
      <c r="D121" s="68">
        <v>52</v>
      </c>
      <c r="E121" s="17">
        <f>SUMIFS('305 Inputs'!$G:$G,'305 Inputs'!$J:$J,$D121,'305 Inputs'!$C:$C,$D$120)/12</f>
        <v>14</v>
      </c>
      <c r="F121" s="17">
        <f>SUMIFS('305 Inputs'!$H:$H,'305 Inputs'!$J:$J,$D121,'305 Inputs'!$C:$C,$D$120)</f>
        <v>146910</v>
      </c>
      <c r="G121" s="17">
        <v>0</v>
      </c>
      <c r="H121" s="17">
        <f t="shared" ref="H121:H126" si="45">G121</f>
        <v>0</v>
      </c>
      <c r="I121" s="185">
        <f t="shared" ref="I121:I126" si="46">H121+F121</f>
        <v>146910</v>
      </c>
      <c r="J121" s="16">
        <f>'Table 3'!E121</f>
        <v>31380.01</v>
      </c>
      <c r="K121" s="16">
        <f>'Table 3'!J121</f>
        <v>2335.1443605566224</v>
      </c>
      <c r="L121" s="16">
        <f>'Table 3'!N121</f>
        <v>160</v>
      </c>
      <c r="M121" s="16">
        <f>'Table 3'!R121</f>
        <v>0</v>
      </c>
      <c r="N121" s="16">
        <f t="shared" ref="N121:N126" si="47">K121+L121+M121</f>
        <v>2495.1443605566224</v>
      </c>
      <c r="O121" s="16">
        <f t="shared" ref="O121:O126" si="48">N121+J121</f>
        <v>33875.154360556618</v>
      </c>
      <c r="Q121" s="5"/>
      <c r="R121" s="5"/>
      <c r="S121" s="33"/>
    </row>
    <row r="122" spans="1:19" ht="15.75" customHeight="1">
      <c r="B122" s="200" t="s">
        <v>59</v>
      </c>
      <c r="D122" s="68" t="s">
        <v>146</v>
      </c>
      <c r="E122" s="17">
        <f>SUMIFS('305 Inputs'!$G:$G,'305 Inputs'!$J:$J,$D122,'305 Inputs'!$C:$C,$D$120)/12</f>
        <v>118</v>
      </c>
      <c r="F122" s="17">
        <f>SUMIFS('305 Inputs'!$H:$H,'305 Inputs'!$J:$J,$D122,'305 Inputs'!$C:$C,$D$120)</f>
        <v>3125255</v>
      </c>
      <c r="G122" s="17">
        <v>0</v>
      </c>
      <c r="H122" s="17">
        <f t="shared" si="45"/>
        <v>0</v>
      </c>
      <c r="I122" s="185">
        <f t="shared" si="46"/>
        <v>3125255</v>
      </c>
      <c r="J122" s="16">
        <f>'Table 3'!E122</f>
        <v>237050.68</v>
      </c>
      <c r="K122" s="16">
        <f>'Table 3'!J122</f>
        <v>8106.6993998519793</v>
      </c>
      <c r="L122" s="16">
        <f>'Table 3'!N122</f>
        <v>1165</v>
      </c>
      <c r="M122" s="16">
        <f>'Table 3'!R122</f>
        <v>0</v>
      </c>
      <c r="N122" s="16">
        <f t="shared" si="47"/>
        <v>9271.6993998519793</v>
      </c>
      <c r="O122" s="16">
        <f t="shared" si="48"/>
        <v>246322.37939985198</v>
      </c>
      <c r="Q122" s="5"/>
      <c r="R122" s="5"/>
      <c r="S122" s="33"/>
    </row>
    <row r="123" spans="1:19" ht="15.75" customHeight="1">
      <c r="B123" s="200" t="s">
        <v>60</v>
      </c>
      <c r="D123" s="68" t="s">
        <v>147</v>
      </c>
      <c r="E123" s="17">
        <f>SUMIFS('305 Inputs'!$G:$G,'305 Inputs'!$J:$J,$D123,'305 Inputs'!$C:$C,$D$120)/12</f>
        <v>107.25</v>
      </c>
      <c r="F123" s="17">
        <f>SUMIFS('305 Inputs'!$H:$H,'305 Inputs'!$J:$J,$D123,'305 Inputs'!$C:$C,$D$120)</f>
        <v>805949</v>
      </c>
      <c r="G123" s="17">
        <v>0</v>
      </c>
      <c r="H123" s="17">
        <f t="shared" si="45"/>
        <v>0</v>
      </c>
      <c r="I123" s="185">
        <f t="shared" si="46"/>
        <v>805949</v>
      </c>
      <c r="J123" s="16">
        <f>'Table 3'!E123</f>
        <v>60523.53</v>
      </c>
      <c r="K123" s="16">
        <f>'Table 3'!J123</f>
        <v>5457.7710427776783</v>
      </c>
      <c r="L123" s="16">
        <f>'Table 3'!N123</f>
        <v>314</v>
      </c>
      <c r="M123" s="16">
        <f>'Table 3'!R123</f>
        <v>0</v>
      </c>
      <c r="N123" s="16">
        <f t="shared" si="47"/>
        <v>5771.7710427776783</v>
      </c>
      <c r="O123" s="16">
        <f t="shared" si="48"/>
        <v>66295.301042777675</v>
      </c>
      <c r="Q123" s="5"/>
      <c r="R123" s="5"/>
      <c r="S123" s="33"/>
    </row>
    <row r="124" spans="1:19" ht="15.75" customHeight="1">
      <c r="B124" s="200" t="s">
        <v>61</v>
      </c>
      <c r="D124" s="68">
        <v>51</v>
      </c>
      <c r="E124" s="17">
        <f>SUMIFS('305 Inputs'!$G:$G,'305 Inputs'!$J:$J,$D124,'305 Inputs'!$C:$C,$D$120)/12</f>
        <v>200.25</v>
      </c>
      <c r="F124" s="17">
        <f>SUMIFS('305 Inputs'!$H:$H,'305 Inputs'!$J:$J,$D124,'305 Inputs'!$C:$C,$D$120)</f>
        <v>3856345</v>
      </c>
      <c r="G124" s="17">
        <v>0</v>
      </c>
      <c r="H124" s="17">
        <f t="shared" si="45"/>
        <v>0</v>
      </c>
      <c r="I124" s="185">
        <f t="shared" si="46"/>
        <v>3856345</v>
      </c>
      <c r="J124" s="16">
        <f>'Table 3'!E124</f>
        <v>821077.89</v>
      </c>
      <c r="K124" s="16">
        <f>'Table 3'!J124</f>
        <v>61053.983355004959</v>
      </c>
      <c r="L124" s="16">
        <f>'Table 3'!N124</f>
        <v>4158</v>
      </c>
      <c r="M124" s="16">
        <f>'Table 3'!R124</f>
        <v>0</v>
      </c>
      <c r="N124" s="16">
        <f t="shared" si="47"/>
        <v>65211.983355004959</v>
      </c>
      <c r="O124" s="16">
        <f t="shared" si="48"/>
        <v>886289.87335500494</v>
      </c>
      <c r="Q124" s="5"/>
      <c r="R124" s="5"/>
      <c r="S124" s="33"/>
    </row>
    <row r="125" spans="1:19" s="6" customFormat="1" ht="15.75" customHeight="1">
      <c r="B125" s="200" t="s">
        <v>62</v>
      </c>
      <c r="D125" s="68">
        <v>57</v>
      </c>
      <c r="E125" s="17">
        <f>SUMIFS('305 Inputs'!$G:$G,'305 Inputs'!$J:$J,$D125,'305 Inputs'!$C:$C,$D$120)/12</f>
        <v>40.25</v>
      </c>
      <c r="F125" s="17">
        <f>SUMIFS('305 Inputs'!$H:$H,'305 Inputs'!$J:$J,$D125,'305 Inputs'!$C:$C,$D$120)</f>
        <v>1612610</v>
      </c>
      <c r="G125" s="17">
        <v>0</v>
      </c>
      <c r="H125" s="17">
        <f t="shared" si="45"/>
        <v>0</v>
      </c>
      <c r="I125" s="185">
        <f t="shared" si="46"/>
        <v>1612610</v>
      </c>
      <c r="J125" s="16">
        <f>'Table 3'!E125</f>
        <v>213876.04</v>
      </c>
      <c r="K125" s="16">
        <f>'Table 3'!J125</f>
        <v>13855.716299265136</v>
      </c>
      <c r="L125" s="16">
        <f>'Table 3'!N125</f>
        <v>1073</v>
      </c>
      <c r="M125" s="16">
        <f>'Table 3'!R125</f>
        <v>0</v>
      </c>
      <c r="N125" s="16">
        <f t="shared" si="47"/>
        <v>14928.716299265136</v>
      </c>
      <c r="O125" s="16">
        <f t="shared" si="48"/>
        <v>228804.75629926514</v>
      </c>
      <c r="Q125" s="7"/>
      <c r="R125" s="7"/>
      <c r="S125" s="10"/>
    </row>
    <row r="126" spans="1:19" s="6" customFormat="1" ht="15.75" customHeight="1">
      <c r="B126" s="200" t="s">
        <v>238</v>
      </c>
      <c r="D126" s="68">
        <v>12</v>
      </c>
      <c r="E126" s="186">
        <f>SUMIFS('305 Inputs'!$G:$G,'305 Inputs'!$J:$J,$D126,'305 Inputs'!$C:$C,$D$120)/12</f>
        <v>0</v>
      </c>
      <c r="F126" s="186">
        <f>SUMIFS('305 Inputs'!$H:$H,'305 Inputs'!$J:$J,$D126,'305 Inputs'!$C:$C,$D$120)</f>
        <v>0</v>
      </c>
      <c r="G126" s="186">
        <v>0</v>
      </c>
      <c r="H126" s="186">
        <f t="shared" si="45"/>
        <v>0</v>
      </c>
      <c r="I126" s="187">
        <f t="shared" si="46"/>
        <v>0</v>
      </c>
      <c r="J126" s="188">
        <f>'Table 3'!E126</f>
        <v>90.84</v>
      </c>
      <c r="K126" s="188">
        <f>'Table 3'!J126</f>
        <v>8.1915896433325077</v>
      </c>
      <c r="L126" s="188">
        <f>'Table 3'!N126</f>
        <v>0</v>
      </c>
      <c r="M126" s="188">
        <f>'Table 3'!R126</f>
        <v>0</v>
      </c>
      <c r="N126" s="188">
        <f t="shared" si="47"/>
        <v>8.1915896433325077</v>
      </c>
      <c r="O126" s="188">
        <f t="shared" si="48"/>
        <v>99.031589643332509</v>
      </c>
      <c r="Q126" s="7"/>
      <c r="R126" s="7"/>
      <c r="S126" s="10"/>
    </row>
    <row r="127" spans="1:19" ht="15.75" customHeight="1">
      <c r="B127" s="2" t="s">
        <v>65</v>
      </c>
      <c r="D127" s="68"/>
      <c r="E127" s="17">
        <f>SUM(E121:E126)</f>
        <v>479.75</v>
      </c>
      <c r="F127" s="17">
        <f>SUM(F121:F126)</f>
        <v>9547069</v>
      </c>
      <c r="G127" s="17">
        <f t="shared" ref="G127:O127" si="49">SUM(G121:G126)</f>
        <v>0</v>
      </c>
      <c r="H127" s="17">
        <f t="shared" si="49"/>
        <v>0</v>
      </c>
      <c r="I127" s="185">
        <f t="shared" si="49"/>
        <v>9547069</v>
      </c>
      <c r="J127" s="16">
        <f t="shared" si="49"/>
        <v>1363998.99</v>
      </c>
      <c r="K127" s="16">
        <f t="shared" si="49"/>
        <v>90817.506047099712</v>
      </c>
      <c r="L127" s="16">
        <f>SUM(L121:L126)</f>
        <v>6870</v>
      </c>
      <c r="M127" s="16">
        <f>SUM(M121:M126)</f>
        <v>0</v>
      </c>
      <c r="N127" s="16">
        <f t="shared" si="49"/>
        <v>97687.506047099712</v>
      </c>
      <c r="O127" s="16">
        <f t="shared" si="49"/>
        <v>1461686.4960470998</v>
      </c>
      <c r="Q127" s="5"/>
      <c r="R127" s="5"/>
      <c r="S127" s="33"/>
    </row>
    <row r="128" spans="1:19" ht="15.75" customHeight="1">
      <c r="D128" s="68"/>
      <c r="E128" s="183"/>
      <c r="F128" s="183"/>
      <c r="G128" s="183"/>
      <c r="H128" s="183"/>
      <c r="I128" s="184"/>
      <c r="J128" s="16"/>
      <c r="K128" s="16"/>
      <c r="L128" s="16"/>
      <c r="M128" s="16"/>
      <c r="N128" s="16"/>
      <c r="O128" s="16"/>
      <c r="Q128" s="5"/>
      <c r="R128" s="5"/>
      <c r="S128" s="33"/>
    </row>
    <row r="129" spans="1:19" ht="15.75" customHeight="1">
      <c r="B129" s="200" t="s">
        <v>32</v>
      </c>
      <c r="D129" s="68" t="s">
        <v>138</v>
      </c>
      <c r="E129" s="186">
        <f>SUMIFS('305 Inputs'!$G:$G,'305 Inputs'!$I:$I,$D129,'305 Inputs'!$C:$C,$D$120)/12</f>
        <v>0</v>
      </c>
      <c r="F129" s="186">
        <f>SUMIFS('305 Inputs'!$H:$H,'305 Inputs'!$J:$J,$D129,'305 Inputs'!$C:$C,$D$120)</f>
        <v>0</v>
      </c>
      <c r="G129" s="186">
        <v>0</v>
      </c>
      <c r="H129" s="186">
        <f>G129</f>
        <v>0</v>
      </c>
      <c r="I129" s="187">
        <f>H129+F129</f>
        <v>0</v>
      </c>
      <c r="J129" s="188">
        <f>'Table 3'!E129</f>
        <v>0</v>
      </c>
      <c r="K129" s="188">
        <f>'Table 3'!J129</f>
        <v>0</v>
      </c>
      <c r="L129" s="188">
        <f>'Table 3'!N129</f>
        <v>0</v>
      </c>
      <c r="M129" s="188">
        <f>'Table 3'!R129</f>
        <v>0</v>
      </c>
      <c r="N129" s="188">
        <f>K129+L129+M129</f>
        <v>0</v>
      </c>
      <c r="O129" s="188">
        <f>N129+J129</f>
        <v>0</v>
      </c>
      <c r="Q129" s="5"/>
      <c r="R129" s="5"/>
      <c r="S129" s="33"/>
    </row>
    <row r="130" spans="1:19" ht="15.75" customHeight="1">
      <c r="B130" s="200"/>
      <c r="D130" s="68"/>
      <c r="E130" s="186"/>
      <c r="F130" s="186"/>
      <c r="G130" s="186"/>
      <c r="H130" s="186"/>
      <c r="I130" s="187"/>
      <c r="J130" s="188"/>
      <c r="K130" s="188"/>
      <c r="L130" s="188"/>
      <c r="M130" s="188"/>
      <c r="N130" s="188"/>
      <c r="O130" s="188"/>
      <c r="Q130" s="5"/>
      <c r="R130" s="5"/>
      <c r="S130" s="33"/>
    </row>
    <row r="131" spans="1:19" ht="15.75" customHeight="1">
      <c r="B131" s="2" t="s">
        <v>235</v>
      </c>
      <c r="D131" s="68" t="s">
        <v>203</v>
      </c>
      <c r="E131" s="186">
        <f>SUMIFS('305 Inputs'!$G:$G,'305 Inputs'!$I:$I,$D131,'305 Inputs'!$C:$C,$D$120)/12</f>
        <v>0</v>
      </c>
      <c r="F131" s="186">
        <f>SUMIFS('305 Inputs'!$H:$H,'305 Inputs'!$J:$J,$D131,'305 Inputs'!$C:$C,$D$120)</f>
        <v>0</v>
      </c>
      <c r="G131" s="186">
        <v>0</v>
      </c>
      <c r="H131" s="186">
        <f>G131</f>
        <v>0</v>
      </c>
      <c r="I131" s="187">
        <f>H131+F131</f>
        <v>0</v>
      </c>
      <c r="J131" s="188">
        <f>'Table 3'!E131</f>
        <v>-75451.87</v>
      </c>
      <c r="K131" s="188">
        <f>'Table 3'!J131</f>
        <v>75451.87</v>
      </c>
      <c r="L131" s="188">
        <f>'Table 3'!N131</f>
        <v>0</v>
      </c>
      <c r="M131" s="188">
        <f>'Table 3'!R131</f>
        <v>0</v>
      </c>
      <c r="N131" s="188">
        <f>K131+L131+M131</f>
        <v>75451.87</v>
      </c>
      <c r="O131" s="188">
        <f>N131+J131</f>
        <v>0</v>
      </c>
      <c r="Q131" s="5"/>
      <c r="R131" s="5"/>
      <c r="S131" s="33"/>
    </row>
    <row r="132" spans="1:19" ht="15.75" customHeight="1">
      <c r="B132" s="2" t="s">
        <v>281</v>
      </c>
      <c r="D132" s="68" t="s">
        <v>274</v>
      </c>
      <c r="E132" s="186">
        <f>SUMIFS('305 Inputs'!$G:$G,'305 Inputs'!$I:$I,$D132,'305 Inputs'!$C:$C,$D$120)/12</f>
        <v>0</v>
      </c>
      <c r="F132" s="186">
        <f>SUMIFS('305 Inputs'!$H:$H,'305 Inputs'!$J:$J,$D132,'305 Inputs'!$C:$C,$D$120)</f>
        <v>0</v>
      </c>
      <c r="G132" s="186">
        <v>0</v>
      </c>
      <c r="H132" s="186">
        <f>G132</f>
        <v>0</v>
      </c>
      <c r="I132" s="187">
        <f>H132+F132</f>
        <v>0</v>
      </c>
      <c r="J132" s="188">
        <f>'Table 3'!E132</f>
        <v>26679.19</v>
      </c>
      <c r="K132" s="188">
        <f>'Table 3'!J132</f>
        <v>-26679.19</v>
      </c>
      <c r="L132" s="188">
        <f>'Table 3'!N132</f>
        <v>0</v>
      </c>
      <c r="M132" s="188">
        <f>'Table 3'!R132</f>
        <v>0</v>
      </c>
      <c r="N132" s="188">
        <f>K132+L132+M132</f>
        <v>-26679.19</v>
      </c>
      <c r="O132" s="188">
        <f>N132+J132</f>
        <v>0</v>
      </c>
      <c r="Q132" s="5"/>
      <c r="R132" s="5"/>
      <c r="S132" s="33"/>
    </row>
    <row r="133" spans="1:19" ht="15.75" customHeight="1">
      <c r="B133" s="2" t="s">
        <v>423</v>
      </c>
      <c r="D133" s="68" t="s">
        <v>424</v>
      </c>
      <c r="E133" s="186">
        <f>SUMIFS('305 Inputs'!$G:$G,'305 Inputs'!$I:$I,$D133,'305 Inputs'!$C:$C,$D$120)/12</f>
        <v>0</v>
      </c>
      <c r="F133" s="186">
        <f>SUMIFS('305 Inputs'!$H:$H,'305 Inputs'!$J:$J,$D133,'305 Inputs'!$C:$C,$D$120)</f>
        <v>0</v>
      </c>
      <c r="G133" s="186">
        <v>0</v>
      </c>
      <c r="H133" s="186">
        <f>G133</f>
        <v>0</v>
      </c>
      <c r="I133" s="187">
        <f>H133+F133</f>
        <v>0</v>
      </c>
      <c r="J133" s="188">
        <f>'Table 3'!E133</f>
        <v>-23884.2</v>
      </c>
      <c r="K133" s="188">
        <f>'Table 3'!J133</f>
        <v>23884.2</v>
      </c>
      <c r="L133" s="188">
        <f>'Table 3'!N133</f>
        <v>0</v>
      </c>
      <c r="M133" s="188">
        <f>'Table 3'!R133</f>
        <v>0</v>
      </c>
      <c r="N133" s="188">
        <f>K133+L133+M133</f>
        <v>23884.2</v>
      </c>
      <c r="O133" s="188">
        <f>N133+J133</f>
        <v>0</v>
      </c>
      <c r="Q133" s="5"/>
      <c r="R133" s="5"/>
      <c r="S133" s="33"/>
    </row>
    <row r="134" spans="1:19" ht="15.75" customHeight="1">
      <c r="B134" s="6"/>
      <c r="D134" s="68"/>
      <c r="E134" s="183"/>
      <c r="F134" s="183"/>
      <c r="G134" s="183"/>
      <c r="H134" s="183"/>
      <c r="I134" s="184"/>
      <c r="J134" s="16"/>
      <c r="K134" s="75"/>
      <c r="L134" s="75"/>
      <c r="M134" s="75"/>
      <c r="N134" s="75"/>
      <c r="O134" s="5"/>
      <c r="Q134" s="5"/>
      <c r="R134" s="5"/>
      <c r="S134" s="33"/>
    </row>
    <row r="135" spans="1:19" s="6" customFormat="1" ht="15.75" customHeight="1">
      <c r="B135" s="2" t="s">
        <v>74</v>
      </c>
      <c r="D135" s="68" t="s">
        <v>141</v>
      </c>
      <c r="E135" s="186">
        <f>SUMIFS('305 Inputs'!$G:$G,'305 Inputs'!$I:$I,$D135,'305 Inputs'!$C:$C,$D$120)/12</f>
        <v>0</v>
      </c>
      <c r="F135" s="186">
        <f>SUMIFS('305 Inputs'!$H:$H,'305 Inputs'!$J:$J,$D135,'305 Inputs'!$C:$C,$D$120)</f>
        <v>747000</v>
      </c>
      <c r="G135" s="186">
        <v>0</v>
      </c>
      <c r="H135" s="186">
        <f>G135</f>
        <v>0</v>
      </c>
      <c r="I135" s="187">
        <f>H135+F135</f>
        <v>747000</v>
      </c>
      <c r="J135" s="188">
        <f>'Table 3'!E135</f>
        <v>123000</v>
      </c>
      <c r="K135" s="188">
        <f>'Table 3'!J135</f>
        <v>-123000</v>
      </c>
      <c r="L135" s="188">
        <f>'Table 3'!N135</f>
        <v>0</v>
      </c>
      <c r="M135" s="188">
        <f>'Table 3'!R135</f>
        <v>0</v>
      </c>
      <c r="N135" s="188">
        <f>K135+L135+M135</f>
        <v>-123000</v>
      </c>
      <c r="O135" s="188">
        <f>N135+J135</f>
        <v>0</v>
      </c>
      <c r="Q135" s="7"/>
      <c r="R135" s="7"/>
      <c r="S135" s="10"/>
    </row>
    <row r="136" spans="1:19" ht="15.75" customHeight="1">
      <c r="B136" s="6"/>
      <c r="E136" s="183"/>
      <c r="F136" s="183"/>
      <c r="G136" s="183"/>
      <c r="H136" s="183"/>
      <c r="I136" s="184"/>
      <c r="J136" s="16"/>
      <c r="K136" s="75"/>
      <c r="L136" s="75"/>
      <c r="M136" s="75"/>
      <c r="N136" s="75"/>
      <c r="O136" s="5"/>
      <c r="Q136" s="5"/>
      <c r="R136" s="5"/>
      <c r="S136" s="33"/>
    </row>
    <row r="137" spans="1:19" ht="15.75" customHeight="1">
      <c r="B137" s="18" t="s">
        <v>8</v>
      </c>
      <c r="C137" s="19"/>
      <c r="D137" s="19"/>
      <c r="E137" s="192">
        <f t="shared" ref="E137:O137" si="50">E127+E129+SUM(E131:E135)</f>
        <v>479.75</v>
      </c>
      <c r="F137" s="192">
        <f t="shared" si="50"/>
        <v>10294069</v>
      </c>
      <c r="G137" s="192">
        <f t="shared" si="50"/>
        <v>0</v>
      </c>
      <c r="H137" s="192">
        <f t="shared" si="50"/>
        <v>0</v>
      </c>
      <c r="I137" s="315">
        <f t="shared" si="50"/>
        <v>10294069</v>
      </c>
      <c r="J137" s="193">
        <f t="shared" si="50"/>
        <v>1414342.11</v>
      </c>
      <c r="K137" s="193">
        <f t="shared" si="50"/>
        <v>40474.386047099702</v>
      </c>
      <c r="L137" s="193">
        <f t="shared" si="50"/>
        <v>6870</v>
      </c>
      <c r="M137" s="193">
        <f t="shared" si="50"/>
        <v>0</v>
      </c>
      <c r="N137" s="193">
        <f t="shared" si="50"/>
        <v>47344.386047099702</v>
      </c>
      <c r="O137" s="193">
        <f t="shared" si="50"/>
        <v>1461686.4960470998</v>
      </c>
      <c r="Q137" s="5"/>
      <c r="R137" s="5"/>
      <c r="S137" s="33"/>
    </row>
    <row r="138" spans="1:19" ht="15.75" customHeight="1">
      <c r="B138" s="4"/>
      <c r="C138" s="4"/>
      <c r="D138" s="4"/>
      <c r="E138" s="183"/>
      <c r="F138" s="183"/>
      <c r="G138" s="183"/>
      <c r="H138" s="183"/>
      <c r="I138" s="184"/>
      <c r="J138" s="16" t="s">
        <v>29</v>
      </c>
      <c r="K138" s="183"/>
      <c r="L138" s="183"/>
      <c r="M138" s="183"/>
      <c r="N138" s="183"/>
      <c r="O138" s="183"/>
      <c r="Q138" s="5"/>
      <c r="R138" s="5"/>
      <c r="S138" s="33"/>
    </row>
    <row r="139" spans="1:19" ht="15.75" customHeight="1" thickBot="1">
      <c r="E139" s="183"/>
      <c r="F139" s="183"/>
      <c r="G139" s="183"/>
      <c r="H139" s="183"/>
      <c r="I139" s="184"/>
      <c r="J139" s="16"/>
      <c r="K139" s="183"/>
      <c r="L139" s="183"/>
      <c r="M139" s="183"/>
      <c r="N139" s="183"/>
      <c r="O139" s="5" t="s">
        <v>29</v>
      </c>
      <c r="Q139" s="5"/>
      <c r="R139" s="5"/>
      <c r="S139" s="33"/>
    </row>
    <row r="140" spans="1:19" s="8" customFormat="1" ht="15.75" customHeight="1" thickTop="1" thickBot="1">
      <c r="A140" s="29"/>
      <c r="B140" s="20" t="s">
        <v>8</v>
      </c>
      <c r="C140" s="21"/>
      <c r="D140" s="21"/>
      <c r="E140" s="195">
        <f t="shared" ref="E140:O140" si="51">E36+E65+E96+E117+E137</f>
        <v>136277.5</v>
      </c>
      <c r="F140" s="195">
        <f t="shared" si="51"/>
        <v>4044611260</v>
      </c>
      <c r="G140" s="195">
        <f t="shared" si="51"/>
        <v>0</v>
      </c>
      <c r="H140" s="195">
        <f t="shared" si="51"/>
        <v>0</v>
      </c>
      <c r="I140" s="195">
        <f t="shared" si="51"/>
        <v>4044611260</v>
      </c>
      <c r="J140" s="195">
        <f t="shared" si="51"/>
        <v>320750613.12000006</v>
      </c>
      <c r="K140" s="195">
        <f t="shared" si="51"/>
        <v>24513943.501150306</v>
      </c>
      <c r="L140" s="196">
        <f t="shared" si="51"/>
        <v>1637837</v>
      </c>
      <c r="M140" s="196">
        <f t="shared" si="51"/>
        <v>0</v>
      </c>
      <c r="N140" s="195">
        <f t="shared" si="51"/>
        <v>26151780.501150306</v>
      </c>
      <c r="O140" s="195">
        <f t="shared" si="51"/>
        <v>346902393.62115031</v>
      </c>
      <c r="Q140" s="11"/>
      <c r="R140" s="11"/>
      <c r="S140" s="12"/>
    </row>
    <row r="141" spans="1:19" ht="15.75" customHeight="1" thickTop="1">
      <c r="A141" s="4"/>
      <c r="B141" s="4"/>
      <c r="C141" s="4"/>
      <c r="D141" s="4"/>
      <c r="E141" s="4"/>
      <c r="F141" s="4"/>
      <c r="G141" s="4"/>
      <c r="H141" s="4"/>
      <c r="I141" s="78" t="s">
        <v>29</v>
      </c>
      <c r="J141" s="16" t="s">
        <v>29</v>
      </c>
      <c r="K141" s="4" t="s">
        <v>29</v>
      </c>
      <c r="L141" s="4"/>
      <c r="M141" s="4"/>
      <c r="N141" s="4"/>
      <c r="O141" s="75" t="s">
        <v>29</v>
      </c>
    </row>
    <row r="142" spans="1:19" ht="15.75" customHeight="1">
      <c r="A142" s="4"/>
      <c r="B142" s="4"/>
      <c r="C142" s="4"/>
      <c r="D142" s="4"/>
      <c r="E142" s="4"/>
      <c r="F142" s="17"/>
      <c r="G142" s="4"/>
      <c r="H142" s="4"/>
      <c r="J142" s="16" t="s">
        <v>29</v>
      </c>
      <c r="K142" s="16"/>
      <c r="L142" s="4"/>
      <c r="M142" s="4"/>
      <c r="N142" s="17"/>
      <c r="O142" s="4"/>
    </row>
    <row r="143" spans="1:19" ht="15.75" customHeight="1">
      <c r="A143" s="4"/>
      <c r="B143" s="182" t="s">
        <v>241</v>
      </c>
      <c r="C143" s="4"/>
      <c r="D143" s="4"/>
      <c r="E143" s="4"/>
      <c r="F143" s="17"/>
      <c r="G143" s="4"/>
      <c r="H143" s="4"/>
      <c r="I143" s="4"/>
      <c r="J143" s="4"/>
      <c r="K143" s="4"/>
      <c r="L143" s="4"/>
      <c r="M143" s="4"/>
      <c r="N143" s="16"/>
      <c r="O143" s="4"/>
    </row>
    <row r="144" spans="1:19" ht="15.75" customHeight="1">
      <c r="A144" s="4"/>
      <c r="B144" s="182" t="s">
        <v>261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2:9" ht="15.75" customHeight="1">
      <c r="B145" s="26" t="s">
        <v>443</v>
      </c>
      <c r="I145" s="4"/>
    </row>
    <row r="146" spans="2:9" ht="15.75" customHeight="1">
      <c r="B146" s="2" t="s">
        <v>442</v>
      </c>
      <c r="I146" s="4"/>
    </row>
    <row r="147" spans="2:9" ht="15.75" customHeight="1">
      <c r="B147" s="26" t="s">
        <v>421</v>
      </c>
      <c r="I147" s="4"/>
    </row>
    <row r="148" spans="2:9" ht="18.600000000000001">
      <c r="B148" s="26" t="s">
        <v>29</v>
      </c>
    </row>
  </sheetData>
  <phoneticPr fontId="0" type="noConversion"/>
  <printOptions horizontalCentered="1"/>
  <pageMargins left="0.5" right="0.5" top="1" bottom="1" header="0.5" footer="0.5"/>
  <pageSetup scale="36" fitToHeight="0" orientation="portrait" r:id="rId1"/>
  <headerFooter alignWithMargins="0">
    <oddFooter>&amp;LPrepared by Pricing &amp;D&amp;CPage &amp;P of &amp;N&amp;R&amp;F&amp;A</oddFooter>
  </headerFooter>
  <rowBreaks count="1" manualBreakCount="1">
    <brk id="97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A156"/>
  <sheetViews>
    <sheetView view="pageBreakPreview" topLeftCell="A3" zoomScale="85" zoomScaleNormal="70" zoomScaleSheetLayoutView="85" workbookViewId="0">
      <pane xSplit="4" ySplit="9" topLeftCell="O12" activePane="bottomRight" state="frozen"/>
      <selection pane="topRight"/>
      <selection pane="bottomLeft"/>
      <selection pane="bottomRight" activeCell="V143" sqref="V143"/>
    </sheetView>
  </sheetViews>
  <sheetFormatPr defaultColWidth="9" defaultRowHeight="15.6"/>
  <cols>
    <col min="1" max="1" width="5.19921875" style="2" customWidth="1"/>
    <col min="2" max="2" width="22.69921875" style="2" customWidth="1"/>
    <col min="3" max="3" width="6.19921875" style="2" customWidth="1"/>
    <col min="4" max="4" width="21.69921875" style="68" customWidth="1"/>
    <col min="5" max="5" width="17.59765625" style="2" customWidth="1"/>
    <col min="6" max="7" width="20.09765625" style="2" customWidth="1"/>
    <col min="8" max="8" width="15.59765625" style="2" customWidth="1"/>
    <col min="9" max="10" width="14.19921875" style="2" customWidth="1"/>
    <col min="11" max="11" width="15.09765625" style="2" bestFit="1" customWidth="1"/>
    <col min="12" max="12" width="10" style="2" customWidth="1"/>
    <col min="13" max="13" width="18.19921875" style="2" customWidth="1"/>
    <col min="14" max="14" width="15.8984375" style="2" customWidth="1"/>
    <col min="15" max="15" width="26.19921875" style="2" bestFit="1" customWidth="1"/>
    <col min="16" max="16" width="15.8984375" style="2" hidden="1" customWidth="1"/>
    <col min="17" max="17" width="19" style="2" hidden="1" customWidth="1"/>
    <col min="18" max="18" width="17.3984375" style="2" hidden="1" customWidth="1"/>
    <col min="19" max="19" width="20.69921875" style="2" bestFit="1" customWidth="1"/>
    <col min="20" max="20" width="2.69921875" style="2" customWidth="1"/>
    <col min="21" max="21" width="11.5" style="2" bestFit="1" customWidth="1"/>
    <col min="22" max="22" width="13.5" style="2" bestFit="1" customWidth="1"/>
    <col min="23" max="23" width="33.3984375" style="2" customWidth="1"/>
    <col min="24" max="24" width="33.69921875" style="2" bestFit="1" customWidth="1"/>
    <col min="25" max="25" width="10.8984375" style="2" bestFit="1" customWidth="1"/>
    <col min="26" max="26" width="9" style="2"/>
    <col min="27" max="27" width="10.3984375" style="2" bestFit="1" customWidth="1"/>
    <col min="28" max="16384" width="9" style="2"/>
  </cols>
  <sheetData>
    <row r="1" spans="1:27">
      <c r="K1" s="4"/>
      <c r="O1" s="2" t="s">
        <v>323</v>
      </c>
      <c r="V1" s="2" t="s">
        <v>27</v>
      </c>
    </row>
    <row r="2" spans="1:27">
      <c r="K2" s="4"/>
      <c r="V2" s="2" t="s">
        <v>160</v>
      </c>
    </row>
    <row r="3" spans="1:27" ht="18">
      <c r="A3" s="132" t="s">
        <v>251</v>
      </c>
      <c r="B3" s="132"/>
      <c r="C3" s="132"/>
      <c r="D3" s="329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77"/>
    </row>
    <row r="4" spans="1:27" ht="18">
      <c r="A4" s="132" t="s">
        <v>44</v>
      </c>
      <c r="B4" s="132"/>
      <c r="C4" s="132"/>
      <c r="D4" s="329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77"/>
    </row>
    <row r="5" spans="1:27" ht="18">
      <c r="A5" s="132" t="s">
        <v>2</v>
      </c>
      <c r="B5" s="132"/>
      <c r="C5" s="132"/>
      <c r="D5" s="329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77"/>
      <c r="X5" s="2" t="s">
        <v>353</v>
      </c>
      <c r="Y5" s="211">
        <v>42917</v>
      </c>
    </row>
    <row r="6" spans="1:27" ht="18">
      <c r="A6" s="132" t="str">
        <f>'Table 1-Revenues'!A6</f>
        <v>12 Months Ended June 2018</v>
      </c>
      <c r="B6" s="132"/>
      <c r="C6" s="132"/>
      <c r="D6" s="329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77"/>
      <c r="X6" s="2" t="s">
        <v>354</v>
      </c>
      <c r="Y6" s="211">
        <v>43281</v>
      </c>
      <c r="AA6" s="211"/>
    </row>
    <row r="7" spans="1:27" ht="17.399999999999999">
      <c r="A7" s="132"/>
      <c r="B7" s="69"/>
      <c r="C7" s="69"/>
      <c r="D7" s="330"/>
      <c r="E7" s="69"/>
      <c r="F7" s="77"/>
      <c r="G7" s="77"/>
      <c r="H7" s="77"/>
      <c r="I7" s="77"/>
      <c r="J7" s="77"/>
      <c r="K7" s="71"/>
      <c r="L7" s="77"/>
      <c r="M7" s="77"/>
      <c r="N7" s="77"/>
      <c r="O7" s="77"/>
      <c r="P7" s="77"/>
      <c r="Q7" s="77"/>
      <c r="R7" s="77"/>
      <c r="S7" s="77"/>
      <c r="T7" s="77"/>
      <c r="U7" s="69"/>
      <c r="V7" s="69"/>
      <c r="W7" s="77"/>
      <c r="X7" s="2" t="s">
        <v>355</v>
      </c>
      <c r="Y7" s="2">
        <f>Y6-Y5</f>
        <v>364</v>
      </c>
    </row>
    <row r="8" spans="1:27" ht="17.399999999999999">
      <c r="A8" s="132"/>
      <c r="B8" s="69"/>
      <c r="C8" s="69"/>
      <c r="D8" s="330"/>
      <c r="E8" s="69"/>
      <c r="F8" s="77"/>
      <c r="G8" s="77"/>
      <c r="H8" s="77"/>
      <c r="I8" s="77"/>
      <c r="J8" s="77"/>
      <c r="K8" s="71"/>
      <c r="L8" s="77"/>
      <c r="M8" s="77"/>
      <c r="N8" s="23"/>
      <c r="O8" s="23" t="s">
        <v>29</v>
      </c>
      <c r="P8" s="23"/>
      <c r="Q8" s="23"/>
      <c r="R8" s="23"/>
      <c r="S8" s="23"/>
      <c r="T8" s="23"/>
      <c r="U8" s="77"/>
      <c r="V8" s="77"/>
      <c r="W8" s="77"/>
    </row>
    <row r="9" spans="1:27" ht="17.399999999999999">
      <c r="A9" s="132"/>
      <c r="B9" s="69"/>
      <c r="C9" s="69"/>
      <c r="D9" s="330"/>
      <c r="E9" s="77">
        <v>305</v>
      </c>
      <c r="F9" s="86" t="s">
        <v>246</v>
      </c>
      <c r="G9" s="86" t="s">
        <v>246</v>
      </c>
      <c r="H9" s="87"/>
      <c r="I9" s="87"/>
      <c r="J9" s="87"/>
      <c r="K9" s="88"/>
      <c r="L9" s="86" t="s">
        <v>352</v>
      </c>
      <c r="M9" s="87"/>
      <c r="N9" s="87"/>
      <c r="O9" s="88"/>
      <c r="P9" s="86" t="s">
        <v>358</v>
      </c>
      <c r="Q9" s="87"/>
      <c r="R9" s="87"/>
      <c r="S9" s="88"/>
      <c r="T9" s="87"/>
      <c r="U9" s="307"/>
      <c r="V9" s="76"/>
      <c r="W9" s="69"/>
      <c r="X9" s="2" t="s">
        <v>357</v>
      </c>
      <c r="Y9" s="211">
        <v>42993</v>
      </c>
      <c r="AA9" s="211"/>
    </row>
    <row r="10" spans="1:27" ht="18.600000000000001">
      <c r="A10" s="132"/>
      <c r="B10" s="69"/>
      <c r="C10" s="69"/>
      <c r="D10" s="330"/>
      <c r="E10" s="77"/>
      <c r="F10" s="286"/>
      <c r="G10" s="286"/>
      <c r="H10" s="209" t="s">
        <v>90</v>
      </c>
      <c r="I10" s="232"/>
      <c r="J10" s="71" t="s">
        <v>247</v>
      </c>
      <c r="K10" s="72" t="s">
        <v>79</v>
      </c>
      <c r="L10" s="320"/>
      <c r="M10" s="321" t="s">
        <v>324</v>
      </c>
      <c r="N10" s="322" t="s">
        <v>325</v>
      </c>
      <c r="O10" s="73" t="s">
        <v>326</v>
      </c>
      <c r="P10" s="320"/>
      <c r="Q10" s="321" t="s">
        <v>363</v>
      </c>
      <c r="R10" s="322" t="s">
        <v>362</v>
      </c>
      <c r="S10" s="73" t="s">
        <v>326</v>
      </c>
      <c r="T10" s="71"/>
      <c r="U10" s="77" t="s">
        <v>9</v>
      </c>
      <c r="V10" s="77" t="s">
        <v>12</v>
      </c>
      <c r="W10" s="69"/>
      <c r="X10" s="335" t="s">
        <v>356</v>
      </c>
      <c r="Y10" s="85">
        <f>Y6-(Y9-1)</f>
        <v>289</v>
      </c>
    </row>
    <row r="11" spans="1:27" ht="18.600000000000001">
      <c r="B11" s="3"/>
      <c r="C11" s="3"/>
      <c r="E11" s="15" t="s">
        <v>31</v>
      </c>
      <c r="F11" s="28" t="s">
        <v>445</v>
      </c>
      <c r="G11" s="28" t="s">
        <v>77</v>
      </c>
      <c r="H11" s="14" t="s">
        <v>42</v>
      </c>
      <c r="I11" s="14" t="s">
        <v>11</v>
      </c>
      <c r="J11" s="14" t="s">
        <v>80</v>
      </c>
      <c r="K11" s="70" t="s">
        <v>78</v>
      </c>
      <c r="L11" s="323" t="s">
        <v>327</v>
      </c>
      <c r="M11" s="323" t="s">
        <v>359</v>
      </c>
      <c r="N11" s="14" t="s">
        <v>80</v>
      </c>
      <c r="O11" s="70" t="s">
        <v>328</v>
      </c>
      <c r="P11" s="323" t="s">
        <v>327</v>
      </c>
      <c r="Q11" s="323" t="s">
        <v>359</v>
      </c>
      <c r="R11" s="14" t="s">
        <v>80</v>
      </c>
      <c r="S11" s="70" t="s">
        <v>411</v>
      </c>
      <c r="T11" s="307"/>
      <c r="U11" s="14" t="s">
        <v>13</v>
      </c>
      <c r="V11" s="14" t="s">
        <v>1</v>
      </c>
      <c r="W11" s="74"/>
    </row>
    <row r="12" spans="1:27">
      <c r="A12" s="3" t="s">
        <v>15</v>
      </c>
      <c r="B12" s="3"/>
      <c r="C12" s="3"/>
      <c r="D12" s="157" t="s">
        <v>131</v>
      </c>
      <c r="E12" s="63"/>
      <c r="F12" s="27"/>
      <c r="G12" s="27"/>
      <c r="H12" s="27"/>
      <c r="I12" s="27"/>
      <c r="J12" s="27"/>
      <c r="K12" s="89"/>
      <c r="L12" s="324"/>
      <c r="M12" s="324"/>
      <c r="N12" s="27"/>
      <c r="O12" s="325"/>
      <c r="P12" s="326"/>
      <c r="Q12" s="326"/>
      <c r="R12" s="326"/>
      <c r="S12" s="325"/>
      <c r="T12" s="326"/>
      <c r="U12" s="27"/>
      <c r="V12" s="74"/>
      <c r="W12" s="74"/>
      <c r="X12" s="2" t="s">
        <v>360</v>
      </c>
      <c r="Y12" s="211">
        <v>42736</v>
      </c>
      <c r="AA12" s="211"/>
    </row>
    <row r="13" spans="1:27">
      <c r="B13" s="2" t="s">
        <v>45</v>
      </c>
      <c r="D13" s="68">
        <v>16</v>
      </c>
      <c r="E13" s="201">
        <f>SUMIFS('305 Inputs'!$F:$F,'305 Inputs'!$I:$I,$D13,'305 Inputs'!$C:$C,$D$12)</f>
        <v>132507078.40000001</v>
      </c>
      <c r="F13" s="201">
        <f>E13/(SUM($E$13:$E$19,$E$22))*$E$34</f>
        <v>-41709.38301000862</v>
      </c>
      <c r="G13" s="16">
        <f>-SUMIFS('WA SBC'!$R:$R,'WA SBC'!$B:$B,$D13,'WA SBC'!$A:$A,$D$12)+SUMIFS('WA Decoupling'!F:F,'WA Decoupling'!A:A,$D$12,'WA Decoupling'!B:B,$D13)</f>
        <v>-6052369.0901056649</v>
      </c>
      <c r="H13" s="16">
        <f>-SUMIFS('305 Inputs'!$F:$F,'305 Inputs'!$I:$I,$D13,'305 Inputs'!$C:$C,$D$12,'305 Inputs'!$D:$D,"B")</f>
        <v>11741686.289999999</v>
      </c>
      <c r="I13" s="16">
        <v>0</v>
      </c>
      <c r="J13" s="16">
        <f>SUM(F13:I13)</f>
        <v>5647607.8168843258</v>
      </c>
      <c r="K13" s="201">
        <f t="shared" ref="K13:K19" si="0">E13+J13</f>
        <v>138154686.21688434</v>
      </c>
      <c r="L13" s="367">
        <v>2.35E-2</v>
      </c>
      <c r="M13" s="16">
        <f>ROUND(K13*L13*(($Y$7-$Y$10)/($Y$7+$Y$10*L13)),0)</f>
        <v>656697</v>
      </c>
      <c r="N13" s="16">
        <f t="shared" ref="N13:N19" si="1">SUM(M13:M13)</f>
        <v>656697</v>
      </c>
      <c r="O13" s="201">
        <f t="shared" ref="O13:O19" si="2">N13+K13</f>
        <v>138811383.21688434</v>
      </c>
      <c r="P13" s="367">
        <v>0</v>
      </c>
      <c r="Q13" s="16">
        <f t="shared" ref="Q13:Q19" si="3">ROUND(O13*P13*($Y$17/$Y$14),0)</f>
        <v>0</v>
      </c>
      <c r="R13" s="16">
        <f t="shared" ref="R13:R19" si="4">SUM(Q13:Q13)</f>
        <v>0</v>
      </c>
      <c r="S13" s="201">
        <f t="shared" ref="S13:S19" si="5">R13+O13</f>
        <v>138811383.21688434</v>
      </c>
      <c r="T13" s="16"/>
      <c r="U13" s="16">
        <f t="shared" ref="U13:U19" si="6">J13+N13+R13</f>
        <v>6304304.8168843258</v>
      </c>
      <c r="V13" s="75">
        <f t="shared" ref="V13:V19" si="7">+E13+U13</f>
        <v>138811383.21688434</v>
      </c>
      <c r="W13" s="66"/>
      <c r="X13" s="2" t="s">
        <v>361</v>
      </c>
      <c r="Y13" s="211">
        <v>43101</v>
      </c>
    </row>
    <row r="14" spans="1:27">
      <c r="B14" s="2" t="s">
        <v>86</v>
      </c>
      <c r="D14" s="68">
        <v>17</v>
      </c>
      <c r="E14" s="201">
        <f>SUMIFS('305 Inputs'!$F:$F,'305 Inputs'!$I:$I,$D14,'305 Inputs'!$C:$C,$D$12)</f>
        <v>6745183.6499999994</v>
      </c>
      <c r="F14" s="201">
        <f t="shared" ref="F14:F19" si="8">E14/(SUM($E$13:$E$19,$E$22))*$E$34</f>
        <v>-2123.1880721226275</v>
      </c>
      <c r="G14" s="16">
        <f>-SUMIFS('WA SBC'!$R:$R,'WA SBC'!$B:$B,$D14,'WA SBC'!$A:$A,$D$12)+SUMIFS('WA Decoupling'!F:F,'WA Decoupling'!A:A,$D$12,'WA Decoupling'!B:B,$D14)</f>
        <v>-304366.22046151879</v>
      </c>
      <c r="H14" s="16">
        <f>-SUMIFS('305 Inputs'!$F:$F,'305 Inputs'!$I:$I,$D14,'305 Inputs'!$C:$C,$D$12,'305 Inputs'!$D:$D,"B")</f>
        <v>600833.4</v>
      </c>
      <c r="I14" s="16">
        <v>0</v>
      </c>
      <c r="J14" s="16">
        <f t="shared" ref="J14:J19" si="9">SUM(F14:I14)</f>
        <v>294343.9914663586</v>
      </c>
      <c r="K14" s="201">
        <f t="shared" si="0"/>
        <v>7039527.6414663577</v>
      </c>
      <c r="L14" s="368">
        <f>$L$13</f>
        <v>2.35E-2</v>
      </c>
      <c r="M14" s="16">
        <f t="shared" ref="M14:M19" si="10">ROUND(K14*L14*(($Y$7-$Y$10)/($Y$7+$Y$10*L14)),0)</f>
        <v>33461</v>
      </c>
      <c r="N14" s="16">
        <f t="shared" si="1"/>
        <v>33461</v>
      </c>
      <c r="O14" s="201">
        <f t="shared" si="2"/>
        <v>7072988.6414663577</v>
      </c>
      <c r="P14" s="368">
        <f>$P$13</f>
        <v>0</v>
      </c>
      <c r="Q14" s="16">
        <f t="shared" si="3"/>
        <v>0</v>
      </c>
      <c r="R14" s="16">
        <f t="shared" si="4"/>
        <v>0</v>
      </c>
      <c r="S14" s="201">
        <f t="shared" si="5"/>
        <v>7072988.6414663577</v>
      </c>
      <c r="T14" s="16"/>
      <c r="U14" s="16">
        <f t="shared" si="6"/>
        <v>327804.9914663586</v>
      </c>
      <c r="V14" s="75">
        <f t="shared" si="7"/>
        <v>7072988.6414663577</v>
      </c>
      <c r="W14" s="66"/>
      <c r="X14" s="2" t="s">
        <v>355</v>
      </c>
      <c r="Y14" s="2">
        <f>Y13-Y12</f>
        <v>365</v>
      </c>
    </row>
    <row r="15" spans="1:27">
      <c r="B15" s="2" t="s">
        <v>46</v>
      </c>
      <c r="D15" s="68">
        <v>18</v>
      </c>
      <c r="E15" s="201">
        <f>SUMIFS('305 Inputs'!$F:$F,'305 Inputs'!$I:$I,$D15,'305 Inputs'!$C:$C,$D$12)</f>
        <v>214411.27000000002</v>
      </c>
      <c r="F15" s="201">
        <f t="shared" si="8"/>
        <v>-67.490445718652055</v>
      </c>
      <c r="G15" s="16">
        <f>-SUMIFS('WA SBC'!$R:$R,'WA SBC'!$B:$B,$D15,'WA SBC'!$A:$A,$D$12)+SUMIFS('WA Decoupling'!F:F,'WA Decoupling'!A:A,$D$12,'WA Decoupling'!B:B,$D15)</f>
        <v>-10260.464871296846</v>
      </c>
      <c r="H15" s="16">
        <f>-SUMIFS('305 Inputs'!$F:$F,'305 Inputs'!$I:$I,$D15,'305 Inputs'!$C:$C,$D$12,'305 Inputs'!$D:$D,"B")</f>
        <v>17138.150000000001</v>
      </c>
      <c r="I15" s="16">
        <v>0</v>
      </c>
      <c r="J15" s="16">
        <f t="shared" si="9"/>
        <v>6810.1946829845037</v>
      </c>
      <c r="K15" s="201">
        <f t="shared" si="0"/>
        <v>221221.46468298452</v>
      </c>
      <c r="L15" s="368">
        <f>$L$13</f>
        <v>2.35E-2</v>
      </c>
      <c r="M15" s="16">
        <f t="shared" si="10"/>
        <v>1052</v>
      </c>
      <c r="N15" s="16">
        <f t="shared" si="1"/>
        <v>1052</v>
      </c>
      <c r="O15" s="201">
        <f t="shared" si="2"/>
        <v>222273.46468298452</v>
      </c>
      <c r="P15" s="368">
        <f>$P$13</f>
        <v>0</v>
      </c>
      <c r="Q15" s="16">
        <f t="shared" si="3"/>
        <v>0</v>
      </c>
      <c r="R15" s="16">
        <f t="shared" si="4"/>
        <v>0</v>
      </c>
      <c r="S15" s="201">
        <f t="shared" si="5"/>
        <v>222273.46468298452</v>
      </c>
      <c r="T15" s="16"/>
      <c r="U15" s="16">
        <f t="shared" si="6"/>
        <v>7862.1946829845037</v>
      </c>
      <c r="V15" s="75">
        <f t="shared" si="7"/>
        <v>222273.46468298452</v>
      </c>
      <c r="W15" s="66"/>
      <c r="X15" s="211"/>
    </row>
    <row r="16" spans="1:27">
      <c r="B16" s="4" t="s">
        <v>150</v>
      </c>
      <c r="C16" s="4"/>
      <c r="D16" s="68" t="s">
        <v>149</v>
      </c>
      <c r="E16" s="201">
        <f>SUMIFS('305 Inputs'!$F:$F,'305 Inputs'!$I:$I,$D16,'305 Inputs'!$C:$C,$D$12)</f>
        <v>34154.43</v>
      </c>
      <c r="F16" s="201">
        <f t="shared" si="8"/>
        <v>-10.750823424377371</v>
      </c>
      <c r="G16" s="16">
        <f>-SUMIFS('WA SBC'!$R:$R,'WA SBC'!$B:$B,$D16,'WA SBC'!$A:$A,$D$12)+SUMIFS('WA Decoupling'!F:F,'WA Decoupling'!A:A,$D$12,'WA Decoupling'!B:B,$D16)</f>
        <v>0</v>
      </c>
      <c r="H16" s="16">
        <f>-SUMIFS('305 Inputs'!$F:$F,'305 Inputs'!$I:$I,$D16,'305 Inputs'!$C:$C,$D$12,'305 Inputs'!$D:$D,"B")</f>
        <v>2782.58</v>
      </c>
      <c r="I16" s="16">
        <v>0</v>
      </c>
      <c r="J16" s="16">
        <f t="shared" si="9"/>
        <v>2771.8291765756226</v>
      </c>
      <c r="K16" s="201">
        <f t="shared" si="0"/>
        <v>36926.259176575622</v>
      </c>
      <c r="L16" s="368">
        <f>$L$13</f>
        <v>2.35E-2</v>
      </c>
      <c r="M16" s="16">
        <f t="shared" si="10"/>
        <v>176</v>
      </c>
      <c r="N16" s="16">
        <f t="shared" si="1"/>
        <v>176</v>
      </c>
      <c r="O16" s="201">
        <f t="shared" si="2"/>
        <v>37102.259176575622</v>
      </c>
      <c r="P16" s="368">
        <f>$P$13</f>
        <v>0</v>
      </c>
      <c r="Q16" s="16">
        <f t="shared" si="3"/>
        <v>0</v>
      </c>
      <c r="R16" s="16">
        <f t="shared" si="4"/>
        <v>0</v>
      </c>
      <c r="S16" s="201">
        <f t="shared" si="5"/>
        <v>37102.259176575622</v>
      </c>
      <c r="T16" s="16"/>
      <c r="U16" s="16">
        <f t="shared" si="6"/>
        <v>2947.8291765756226</v>
      </c>
      <c r="V16" s="75">
        <f t="shared" si="7"/>
        <v>37102.259176575622</v>
      </c>
      <c r="W16" s="66"/>
      <c r="X16" s="2" t="s">
        <v>357</v>
      </c>
      <c r="Y16" s="211">
        <v>42993</v>
      </c>
    </row>
    <row r="17" spans="1:25">
      <c r="B17" s="4" t="s">
        <v>218</v>
      </c>
      <c r="C17" s="4"/>
      <c r="D17" s="68">
        <v>135</v>
      </c>
      <c r="E17" s="201">
        <f>SUMIFS('305 Inputs'!$F:$F,'305 Inputs'!$I:$I,$D17,'305 Inputs'!$C:$C,$D$12)</f>
        <v>820180.15</v>
      </c>
      <c r="F17" s="201">
        <f t="shared" si="8"/>
        <v>-258.16891011881461</v>
      </c>
      <c r="G17" s="16">
        <f>-SUMIFS('WA SBC'!$R:$R,'WA SBC'!$B:$B,$D17,'WA SBC'!$A:$A,$D$12)+SUMIFS('WA Decoupling'!F:F,'WA Decoupling'!A:A,$D$12,'WA Decoupling'!B:B,$D17)</f>
        <v>0</v>
      </c>
      <c r="H17" s="16">
        <f>-SUMIFS('305 Inputs'!$F:$F,'305 Inputs'!$I:$I,$D17,'305 Inputs'!$C:$C,$D$12,'305 Inputs'!$D:$D,"B")</f>
        <v>68248.350000000006</v>
      </c>
      <c r="I17" s="16">
        <v>0</v>
      </c>
      <c r="J17" s="16">
        <f t="shared" si="9"/>
        <v>67990.181089881196</v>
      </c>
      <c r="K17" s="201">
        <f t="shared" si="0"/>
        <v>888170.33108988125</v>
      </c>
      <c r="L17" s="368">
        <f>$L$13</f>
        <v>2.35E-2</v>
      </c>
      <c r="M17" s="16">
        <f t="shared" si="10"/>
        <v>4222</v>
      </c>
      <c r="N17" s="16">
        <f t="shared" si="1"/>
        <v>4222</v>
      </c>
      <c r="O17" s="201">
        <f t="shared" si="2"/>
        <v>892392.33108988125</v>
      </c>
      <c r="P17" s="368">
        <f>$P$13</f>
        <v>0</v>
      </c>
      <c r="Q17" s="16">
        <f t="shared" si="3"/>
        <v>0</v>
      </c>
      <c r="R17" s="16">
        <f t="shared" si="4"/>
        <v>0</v>
      </c>
      <c r="S17" s="201">
        <f t="shared" si="5"/>
        <v>892392.33108988125</v>
      </c>
      <c r="T17" s="16"/>
      <c r="U17" s="16">
        <f t="shared" si="6"/>
        <v>72212.181089881196</v>
      </c>
      <c r="V17" s="75">
        <f t="shared" si="7"/>
        <v>892392.33108988125</v>
      </c>
      <c r="W17" s="66"/>
      <c r="X17" s="335" t="s">
        <v>356</v>
      </c>
      <c r="Y17" s="85">
        <f>Y13-(Y16-1)</f>
        <v>109</v>
      </c>
    </row>
    <row r="18" spans="1:25">
      <c r="B18" s="4" t="s">
        <v>282</v>
      </c>
      <c r="C18" s="4"/>
      <c r="D18" s="68">
        <v>24</v>
      </c>
      <c r="E18" s="201">
        <f>SUMIFS('305 Inputs'!$F:$F,'305 Inputs'!$I:$I,$D18,'305 Inputs'!$C:$C,$D$12)</f>
        <v>2379428.9500000002</v>
      </c>
      <c r="F18" s="201">
        <f t="shared" si="8"/>
        <v>-748.97518396007933</v>
      </c>
      <c r="G18" s="16">
        <f>-SUMIFS('WA SBC'!$R:$R,'WA SBC'!$B:$B,$D18,'WA SBC'!$A:$A,$D$12)+SUMIFS('WA Decoupling'!F:F,'WA Decoupling'!A:A,$D$12,'WA Decoupling'!B:B,$D18)</f>
        <v>-76806.189796667953</v>
      </c>
      <c r="H18" s="16">
        <f>-SUMIFS('305 Inputs'!$F:$F,'305 Inputs'!$I:$I,$D18,'305 Inputs'!$C:$C,$D$12,'305 Inputs'!$D:$D,"B")</f>
        <v>158902.73000000001</v>
      </c>
      <c r="I18" s="16">
        <v>0</v>
      </c>
      <c r="J18" s="16">
        <f t="shared" si="9"/>
        <v>81347.565019371978</v>
      </c>
      <c r="K18" s="201">
        <f t="shared" si="0"/>
        <v>2460776.5150193721</v>
      </c>
      <c r="L18" s="368">
        <v>2.35E-2</v>
      </c>
      <c r="M18" s="16">
        <f t="shared" si="10"/>
        <v>11697</v>
      </c>
      <c r="N18" s="16">
        <f t="shared" si="1"/>
        <v>11697</v>
      </c>
      <c r="O18" s="201">
        <f t="shared" si="2"/>
        <v>2472473.5150193721</v>
      </c>
      <c r="P18" s="368">
        <v>0</v>
      </c>
      <c r="Q18" s="16">
        <f t="shared" si="3"/>
        <v>0</v>
      </c>
      <c r="R18" s="16">
        <f t="shared" si="4"/>
        <v>0</v>
      </c>
      <c r="S18" s="201">
        <f t="shared" si="5"/>
        <v>2472473.5150193721</v>
      </c>
      <c r="T18" s="188"/>
      <c r="U18" s="16">
        <f t="shared" si="6"/>
        <v>93044.565019371978</v>
      </c>
      <c r="V18" s="75">
        <f t="shared" si="7"/>
        <v>2472473.5150193721</v>
      </c>
      <c r="W18" s="66"/>
    </row>
    <row r="19" spans="1:25">
      <c r="B19" s="4" t="s">
        <v>373</v>
      </c>
      <c r="C19" s="4"/>
      <c r="D19" s="68">
        <v>36</v>
      </c>
      <c r="E19" s="202">
        <f>SUMIFS('305 Inputs'!$F:$F,'305 Inputs'!$I:$I,$D19,'305 Inputs'!$C:$C,$D$12)</f>
        <v>115050.89</v>
      </c>
      <c r="F19" s="202">
        <f t="shared" si="8"/>
        <v>-36.214681469064601</v>
      </c>
      <c r="G19" s="188">
        <f>-SUMIFS('WA SBC'!$R:$R,'WA SBC'!$B:$B,$D19,'WA SBC'!$A:$A,$D$12)+SUMIFS('WA Decoupling'!F:F,'WA Decoupling'!A:A,$D$12,'WA Decoupling'!B:B,$D19)</f>
        <v>-4902.5251654286076</v>
      </c>
      <c r="H19" s="188">
        <f>-SUMIFS('305 Inputs'!$F:$F,'305 Inputs'!$I:$I,$D19,'305 Inputs'!$C:$C,$D$12,'305 Inputs'!$D:$D,"B")</f>
        <v>8727.86</v>
      </c>
      <c r="I19" s="188">
        <v>0</v>
      </c>
      <c r="J19" s="188">
        <f t="shared" si="9"/>
        <v>3789.120153102328</v>
      </c>
      <c r="K19" s="202">
        <f t="shared" si="0"/>
        <v>118840.01015310232</v>
      </c>
      <c r="L19" s="369">
        <v>2.35E-2</v>
      </c>
      <c r="M19" s="188">
        <f t="shared" si="10"/>
        <v>565</v>
      </c>
      <c r="N19" s="188">
        <f t="shared" si="1"/>
        <v>565</v>
      </c>
      <c r="O19" s="201">
        <f t="shared" si="2"/>
        <v>119405.01015310232</v>
      </c>
      <c r="P19" s="369">
        <v>0</v>
      </c>
      <c r="Q19" s="188">
        <f t="shared" si="3"/>
        <v>0</v>
      </c>
      <c r="R19" s="188">
        <f t="shared" si="4"/>
        <v>0</v>
      </c>
      <c r="S19" s="202">
        <f t="shared" si="5"/>
        <v>119405.01015310232</v>
      </c>
      <c r="T19" s="188"/>
      <c r="U19" s="188">
        <f t="shared" si="6"/>
        <v>4354.120153102328</v>
      </c>
      <c r="V19" s="370">
        <f t="shared" si="7"/>
        <v>119405.01015310232</v>
      </c>
      <c r="W19" s="66"/>
      <c r="Y19" s="211"/>
    </row>
    <row r="20" spans="1:25">
      <c r="B20" s="2" t="s">
        <v>33</v>
      </c>
      <c r="E20" s="201">
        <f t="shared" ref="E20:K20" si="11">SUM(E13:E19)</f>
        <v>142815487.74000001</v>
      </c>
      <c r="F20" s="201">
        <f t="shared" ref="F20" si="12">SUM(F13:F19)</f>
        <v>-44954.171126822235</v>
      </c>
      <c r="G20" s="16">
        <f t="shared" si="11"/>
        <v>-6448704.490400576</v>
      </c>
      <c r="H20" s="16">
        <f t="shared" si="11"/>
        <v>12598319.359999999</v>
      </c>
      <c r="I20" s="16">
        <f t="shared" si="11"/>
        <v>0</v>
      </c>
      <c r="J20" s="16">
        <f t="shared" si="11"/>
        <v>6104660.6984725995</v>
      </c>
      <c r="K20" s="201">
        <f t="shared" si="11"/>
        <v>148920148.43847263</v>
      </c>
      <c r="L20" s="368"/>
      <c r="M20" s="16">
        <f>SUM(M13:M19)</f>
        <v>707870</v>
      </c>
      <c r="N20" s="16">
        <f>SUM(N13:N19)</f>
        <v>707870</v>
      </c>
      <c r="O20" s="201">
        <f>SUM(O13:O19)</f>
        <v>149628018.43847263</v>
      </c>
      <c r="P20" s="368"/>
      <c r="Q20" s="16">
        <f>SUM(Q13:Q19)</f>
        <v>0</v>
      </c>
      <c r="R20" s="16">
        <f>SUM(R13:R19)</f>
        <v>0</v>
      </c>
      <c r="S20" s="201">
        <f>SUM(S13:S19)</f>
        <v>149628018.43847263</v>
      </c>
      <c r="T20" s="16"/>
      <c r="U20" s="16">
        <f>SUM(U13:U19)</f>
        <v>6812530.6984725995</v>
      </c>
      <c r="V20" s="16">
        <f>SUM(V13:V19)</f>
        <v>149628018.43847263</v>
      </c>
      <c r="W20" s="66"/>
    </row>
    <row r="21" spans="1:25">
      <c r="E21" s="201"/>
      <c r="F21" s="201"/>
      <c r="G21" s="16"/>
      <c r="H21" s="16"/>
      <c r="I21" s="16"/>
      <c r="J21" s="16"/>
      <c r="K21" s="201"/>
      <c r="L21" s="368"/>
      <c r="M21" s="16"/>
      <c r="N21" s="16" t="s">
        <v>29</v>
      </c>
      <c r="O21" s="201"/>
      <c r="P21" s="368"/>
      <c r="Q21" s="16"/>
      <c r="R21" s="16" t="s">
        <v>29</v>
      </c>
      <c r="S21" s="201"/>
      <c r="T21" s="16"/>
      <c r="U21" s="16"/>
      <c r="V21" s="75"/>
      <c r="W21" s="66"/>
      <c r="X21" s="211"/>
      <c r="Y21" s="5"/>
    </row>
    <row r="22" spans="1:25" s="6" customFormat="1">
      <c r="B22" s="4" t="s">
        <v>47</v>
      </c>
      <c r="C22" s="4"/>
      <c r="D22" s="68" t="s">
        <v>148</v>
      </c>
      <c r="E22" s="188">
        <f>SUMIFS('305 Inputs'!$F:$F,'305 Inputs'!$I:$I,$D22,'305 Inputs'!$C:$C,$D$12)</f>
        <v>145594.34</v>
      </c>
      <c r="F22" s="188">
        <f>E22/(SUM($E$13:$E$19,$E$22))*$E$34</f>
        <v>-45.828873177762389</v>
      </c>
      <c r="G22" s="188">
        <f>-SUMIFS('WA SBC'!$R:$R,'WA SBC'!$B:$B,$D22,'WA SBC'!$A:$A,$D$12)+SUMIFS('WA Decoupling'!F:F,'WA Decoupling'!A:A,$D$12,'WA Decoupling'!B:B,$D22)</f>
        <v>-3260.5041585123381</v>
      </c>
      <c r="H22" s="188">
        <f>-SUMIFS('305 Inputs'!$F:$F,'305 Inputs'!$I:$I,$D22,'305 Inputs'!$C:$C,$D$12,'305 Inputs'!$D:$D,"B")</f>
        <v>7718.69</v>
      </c>
      <c r="I22" s="188">
        <v>0</v>
      </c>
      <c r="J22" s="188">
        <f>SUM(F22:I22)</f>
        <v>4412.3569683098995</v>
      </c>
      <c r="K22" s="202">
        <f>E22+J22</f>
        <v>150006.6969683099</v>
      </c>
      <c r="L22" s="369">
        <v>2.3400000000000001E-2</v>
      </c>
      <c r="M22" s="188">
        <f>ROUND(K22*L22*(($Y$7-$Y$10)/($Y$7+$Y$10*L22)),0)</f>
        <v>710</v>
      </c>
      <c r="N22" s="188">
        <f>SUM(M22:M22)</f>
        <v>710</v>
      </c>
      <c r="O22" s="202">
        <f>N22+K22</f>
        <v>150716.6969683099</v>
      </c>
      <c r="P22" s="369">
        <v>0</v>
      </c>
      <c r="Q22" s="188">
        <f>ROUND(O22*P22*($Y$17/$Y$14),0)</f>
        <v>0</v>
      </c>
      <c r="R22" s="188">
        <f>SUM(Q22:Q22)</f>
        <v>0</v>
      </c>
      <c r="S22" s="202">
        <f>R22+O22</f>
        <v>150716.6969683099</v>
      </c>
      <c r="T22" s="188"/>
      <c r="U22" s="188">
        <f>J22+N22+R22</f>
        <v>5122.3569683098995</v>
      </c>
      <c r="V22" s="370">
        <f>+E22+U22</f>
        <v>150716.6969683099</v>
      </c>
      <c r="W22" s="66"/>
      <c r="X22" s="7"/>
    </row>
    <row r="23" spans="1:25">
      <c r="B23" s="2" t="s">
        <v>33</v>
      </c>
      <c r="E23" s="201">
        <f t="shared" ref="E23:K23" si="13">SUM(E22:E22)</f>
        <v>145594.34</v>
      </c>
      <c r="F23" s="201">
        <f t="shared" ref="F23" si="14">SUM(F22:F22)</f>
        <v>-45.828873177762389</v>
      </c>
      <c r="G23" s="16">
        <f t="shared" si="13"/>
        <v>-3260.5041585123381</v>
      </c>
      <c r="H23" s="16">
        <f t="shared" si="13"/>
        <v>7718.69</v>
      </c>
      <c r="I23" s="16">
        <f t="shared" si="13"/>
        <v>0</v>
      </c>
      <c r="J23" s="16">
        <f t="shared" si="13"/>
        <v>4412.3569683098995</v>
      </c>
      <c r="K23" s="201">
        <f t="shared" si="13"/>
        <v>150006.6969683099</v>
      </c>
      <c r="L23" s="369"/>
      <c r="M23" s="16">
        <f>SUM(M22:M22)</f>
        <v>710</v>
      </c>
      <c r="N23" s="16">
        <f>SUM(N22:N22)</f>
        <v>710</v>
      </c>
      <c r="O23" s="201">
        <f>SUM(O22:O22)</f>
        <v>150716.6969683099</v>
      </c>
      <c r="P23" s="369"/>
      <c r="Q23" s="16">
        <f>SUM(Q22:Q22)</f>
        <v>0</v>
      </c>
      <c r="R23" s="16">
        <f>SUM(R22:R22)</f>
        <v>0</v>
      </c>
      <c r="S23" s="201">
        <f>SUM(S22:S22)</f>
        <v>150716.6969683099</v>
      </c>
      <c r="T23" s="16"/>
      <c r="U23" s="16">
        <f>SUM(U22:U22)</f>
        <v>5122.3569683098995</v>
      </c>
      <c r="V23" s="16">
        <f>SUM(V22:V22)</f>
        <v>150716.6969683099</v>
      </c>
      <c r="W23" s="66"/>
    </row>
    <row r="24" spans="1:25">
      <c r="E24" s="201"/>
      <c r="F24" s="201"/>
      <c r="G24" s="16"/>
      <c r="H24" s="16"/>
      <c r="I24" s="16"/>
      <c r="J24" s="16"/>
      <c r="K24" s="201"/>
      <c r="L24" s="369"/>
      <c r="M24" s="368"/>
      <c r="N24" s="368"/>
      <c r="O24" s="201"/>
      <c r="P24" s="369"/>
      <c r="Q24" s="368"/>
      <c r="R24" s="368"/>
      <c r="S24" s="201"/>
      <c r="T24" s="16"/>
      <c r="U24" s="16"/>
      <c r="V24" s="75"/>
      <c r="W24" s="66"/>
      <c r="X24" s="212"/>
    </row>
    <row r="25" spans="1:25" s="6" customFormat="1">
      <c r="A25" s="2"/>
      <c r="B25" s="2" t="s">
        <v>32</v>
      </c>
      <c r="C25" s="2"/>
      <c r="D25" s="68" t="s">
        <v>138</v>
      </c>
      <c r="E25" s="202">
        <f>SUMIFS('305 Inputs'!$F:$F,'305 Inputs'!$I:$I,$D25,'305 Inputs'!$C:$C,$D$12)</f>
        <v>1837.09</v>
      </c>
      <c r="F25" s="202">
        <v>0</v>
      </c>
      <c r="G25" s="188">
        <v>0</v>
      </c>
      <c r="H25" s="188">
        <v>0</v>
      </c>
      <c r="I25" s="188">
        <v>0</v>
      </c>
      <c r="J25" s="16">
        <f>SUM(F25:I25)</f>
        <v>0</v>
      </c>
      <c r="K25" s="202">
        <f>E25+J25</f>
        <v>1837.09</v>
      </c>
      <c r="L25" s="369">
        <v>0</v>
      </c>
      <c r="M25" s="16">
        <v>0</v>
      </c>
      <c r="N25" s="188">
        <f>SUM(M25:M25)</f>
        <v>0</v>
      </c>
      <c r="O25" s="202">
        <f>N25+K25</f>
        <v>1837.09</v>
      </c>
      <c r="P25" s="369">
        <v>0</v>
      </c>
      <c r="Q25" s="16">
        <v>0</v>
      </c>
      <c r="R25" s="188">
        <f>SUM(Q25:Q25)</f>
        <v>0</v>
      </c>
      <c r="S25" s="202">
        <f>R25+O25</f>
        <v>1837.09</v>
      </c>
      <c r="T25" s="16"/>
      <c r="U25" s="188">
        <f>J25+N25+R25</f>
        <v>0</v>
      </c>
      <c r="V25" s="370">
        <f>+E25+U25</f>
        <v>1837.09</v>
      </c>
      <c r="W25" s="66"/>
    </row>
    <row r="26" spans="1:25" s="6" customFormat="1">
      <c r="A26" s="2"/>
      <c r="D26" s="68"/>
      <c r="E26" s="202"/>
      <c r="F26" s="188"/>
      <c r="G26" s="188"/>
      <c r="H26" s="188"/>
      <c r="I26" s="188"/>
      <c r="J26" s="188"/>
      <c r="K26" s="202"/>
      <c r="L26" s="369"/>
      <c r="M26" s="188"/>
      <c r="N26" s="188"/>
      <c r="O26" s="202"/>
      <c r="P26" s="369"/>
      <c r="Q26" s="188"/>
      <c r="R26" s="188"/>
      <c r="S26" s="202"/>
      <c r="T26" s="188"/>
      <c r="U26" s="188"/>
      <c r="V26" s="370"/>
      <c r="W26" s="66"/>
    </row>
    <row r="27" spans="1:25" s="6" customFormat="1">
      <c r="A27" s="2"/>
      <c r="B27" s="2" t="s">
        <v>235</v>
      </c>
      <c r="C27" s="2"/>
      <c r="D27" s="68" t="s">
        <v>203</v>
      </c>
      <c r="E27" s="202">
        <f>SUMIFS('305 Inputs'!$F:$F,'305 Inputs'!$I:$I,$D27,'305 Inputs'!$C:$C,$D$12)</f>
        <v>-11153832.18</v>
      </c>
      <c r="F27" s="188">
        <v>0</v>
      </c>
      <c r="G27" s="188">
        <f t="shared" ref="G27:G29" si="15">-E27</f>
        <v>11153832.18</v>
      </c>
      <c r="H27" s="188">
        <v>0</v>
      </c>
      <c r="I27" s="188">
        <v>0</v>
      </c>
      <c r="J27" s="188">
        <f t="shared" ref="J27:J32" si="16">SUM(G27:I27)</f>
        <v>11153832.18</v>
      </c>
      <c r="K27" s="202">
        <f t="shared" ref="K27:K32" si="17">E27+J27</f>
        <v>0</v>
      </c>
      <c r="L27" s="369">
        <v>0</v>
      </c>
      <c r="M27" s="188">
        <v>0</v>
      </c>
      <c r="N27" s="188">
        <f t="shared" ref="N27:N32" si="18">SUM(M27:M27)</f>
        <v>0</v>
      </c>
      <c r="O27" s="202">
        <f t="shared" ref="O27:O32" si="19">N27+K27</f>
        <v>0</v>
      </c>
      <c r="P27" s="369">
        <v>0</v>
      </c>
      <c r="Q27" s="188">
        <v>0</v>
      </c>
      <c r="R27" s="188">
        <f t="shared" ref="R27:R30" si="20">SUM(Q27:Q27)</f>
        <v>0</v>
      </c>
      <c r="S27" s="202">
        <f t="shared" ref="S27:S30" si="21">R27+O27</f>
        <v>0</v>
      </c>
      <c r="T27" s="188"/>
      <c r="U27" s="188">
        <f t="shared" ref="U27:U32" si="22">J27+N27+R27</f>
        <v>11153832.18</v>
      </c>
      <c r="V27" s="370">
        <f t="shared" ref="V27:V32" si="23">+E27+U27</f>
        <v>0</v>
      </c>
      <c r="W27" s="66"/>
    </row>
    <row r="28" spans="1:25" s="6" customFormat="1">
      <c r="B28" s="2" t="s">
        <v>281</v>
      </c>
      <c r="C28" s="2"/>
      <c r="D28" s="68" t="s">
        <v>274</v>
      </c>
      <c r="E28" s="202">
        <f>SUMIFS('305 Inputs'!$F:$F,'305 Inputs'!$I:$I,$D28,'305 Inputs'!$C:$C,$D$12)</f>
        <v>5097891.55</v>
      </c>
      <c r="F28" s="188">
        <v>0</v>
      </c>
      <c r="G28" s="188">
        <f t="shared" si="15"/>
        <v>-5097891.55</v>
      </c>
      <c r="H28" s="188">
        <v>0</v>
      </c>
      <c r="I28" s="188">
        <v>0</v>
      </c>
      <c r="J28" s="188">
        <f t="shared" si="16"/>
        <v>-5097891.55</v>
      </c>
      <c r="K28" s="202">
        <f t="shared" si="17"/>
        <v>0</v>
      </c>
      <c r="L28" s="369">
        <v>0</v>
      </c>
      <c r="M28" s="188">
        <v>0</v>
      </c>
      <c r="N28" s="188">
        <f>SUM(M28:M28)</f>
        <v>0</v>
      </c>
      <c r="O28" s="202">
        <f t="shared" si="19"/>
        <v>0</v>
      </c>
      <c r="P28" s="369">
        <v>0</v>
      </c>
      <c r="Q28" s="188">
        <v>0</v>
      </c>
      <c r="R28" s="188">
        <f>SUM(Q28:Q28)</f>
        <v>0</v>
      </c>
      <c r="S28" s="202">
        <f t="shared" si="21"/>
        <v>0</v>
      </c>
      <c r="T28" s="188"/>
      <c r="U28" s="188">
        <f t="shared" si="22"/>
        <v>-5097891.55</v>
      </c>
      <c r="V28" s="370">
        <f t="shared" si="23"/>
        <v>0</v>
      </c>
      <c r="W28" s="7"/>
      <c r="X28" s="7"/>
    </row>
    <row r="29" spans="1:25" s="6" customFormat="1">
      <c r="B29" s="2" t="s">
        <v>277</v>
      </c>
      <c r="C29" s="2"/>
      <c r="D29" s="68" t="s">
        <v>275</v>
      </c>
      <c r="E29" s="202">
        <f>SUMIFS('305 Inputs'!$F:$F,'305 Inputs'!$I:$I,$D29,'305 Inputs'!$C:$C,$D$12)</f>
        <v>110218.9</v>
      </c>
      <c r="F29" s="188">
        <v>0</v>
      </c>
      <c r="G29" s="188">
        <f t="shared" si="15"/>
        <v>-110218.9</v>
      </c>
      <c r="H29" s="188">
        <v>0</v>
      </c>
      <c r="I29" s="188">
        <v>0</v>
      </c>
      <c r="J29" s="188">
        <f t="shared" si="16"/>
        <v>-110218.9</v>
      </c>
      <c r="K29" s="202">
        <f t="shared" si="17"/>
        <v>0</v>
      </c>
      <c r="L29" s="369">
        <v>0</v>
      </c>
      <c r="M29" s="188">
        <v>0</v>
      </c>
      <c r="N29" s="188">
        <f>SUM(M29:M29)</f>
        <v>0</v>
      </c>
      <c r="O29" s="202">
        <f t="shared" si="19"/>
        <v>0</v>
      </c>
      <c r="P29" s="369">
        <v>0</v>
      </c>
      <c r="Q29" s="188">
        <v>0</v>
      </c>
      <c r="R29" s="188">
        <f>SUM(Q29:Q29)</f>
        <v>0</v>
      </c>
      <c r="S29" s="202">
        <f t="shared" si="21"/>
        <v>0</v>
      </c>
      <c r="T29" s="188"/>
      <c r="U29" s="188">
        <f t="shared" si="22"/>
        <v>-110218.9</v>
      </c>
      <c r="V29" s="370">
        <f t="shared" si="23"/>
        <v>0</v>
      </c>
      <c r="W29" s="7"/>
      <c r="X29" s="7"/>
    </row>
    <row r="30" spans="1:25" s="6" customFormat="1">
      <c r="A30" s="2"/>
      <c r="B30" s="2" t="s">
        <v>87</v>
      </c>
      <c r="C30" s="2"/>
      <c r="D30" s="68" t="s">
        <v>140</v>
      </c>
      <c r="E30" s="202">
        <f>SUMIFS('305 Inputs'!$F:$F,'305 Inputs'!$I:$I,$D30,'305 Inputs'!$C:$C,$D$12)</f>
        <v>299892.59000000003</v>
      </c>
      <c r="F30" s="188">
        <v>0</v>
      </c>
      <c r="G30" s="188">
        <v>0</v>
      </c>
      <c r="H30" s="188">
        <f>-E30</f>
        <v>-299892.59000000003</v>
      </c>
      <c r="I30" s="188">
        <v>0</v>
      </c>
      <c r="J30" s="188">
        <f t="shared" si="16"/>
        <v>-299892.59000000003</v>
      </c>
      <c r="K30" s="202">
        <f t="shared" si="17"/>
        <v>0</v>
      </c>
      <c r="L30" s="369">
        <v>0</v>
      </c>
      <c r="M30" s="188">
        <v>0</v>
      </c>
      <c r="N30" s="188">
        <f t="shared" si="18"/>
        <v>0</v>
      </c>
      <c r="O30" s="202">
        <f t="shared" si="19"/>
        <v>0</v>
      </c>
      <c r="P30" s="369">
        <v>0</v>
      </c>
      <c r="Q30" s="188">
        <v>0</v>
      </c>
      <c r="R30" s="188">
        <f t="shared" si="20"/>
        <v>0</v>
      </c>
      <c r="S30" s="202">
        <f t="shared" si="21"/>
        <v>0</v>
      </c>
      <c r="T30" s="188"/>
      <c r="U30" s="188">
        <f t="shared" si="22"/>
        <v>-299892.59000000003</v>
      </c>
      <c r="V30" s="370">
        <f t="shared" si="23"/>
        <v>0</v>
      </c>
      <c r="W30" s="7"/>
    </row>
    <row r="31" spans="1:25" s="6" customFormat="1">
      <c r="A31" s="2"/>
      <c r="B31" s="2" t="s">
        <v>423</v>
      </c>
      <c r="C31" s="2"/>
      <c r="D31" s="68" t="s">
        <v>424</v>
      </c>
      <c r="E31" s="202">
        <f>SUMIFS('305 Inputs'!$F:$F,'305 Inputs'!$I:$I,$D31,'305 Inputs'!$C:$C,$D$12)</f>
        <v>-3444522.78</v>
      </c>
      <c r="F31" s="188">
        <v>0</v>
      </c>
      <c r="G31" s="188">
        <f>-E31</f>
        <v>3444522.78</v>
      </c>
      <c r="H31" s="188">
        <v>0</v>
      </c>
      <c r="I31" s="188">
        <v>0</v>
      </c>
      <c r="J31" s="188">
        <f t="shared" si="16"/>
        <v>3444522.78</v>
      </c>
      <c r="K31" s="202">
        <f t="shared" si="17"/>
        <v>0</v>
      </c>
      <c r="L31" s="369">
        <v>0</v>
      </c>
      <c r="M31" s="188">
        <v>0</v>
      </c>
      <c r="N31" s="188">
        <f t="shared" si="18"/>
        <v>0</v>
      </c>
      <c r="O31" s="202">
        <f t="shared" si="19"/>
        <v>0</v>
      </c>
      <c r="P31" s="369"/>
      <c r="Q31" s="188"/>
      <c r="R31" s="188"/>
      <c r="S31" s="202">
        <v>0</v>
      </c>
      <c r="T31" s="188"/>
      <c r="U31" s="188">
        <f t="shared" si="22"/>
        <v>3444522.78</v>
      </c>
      <c r="V31" s="370">
        <f t="shared" si="23"/>
        <v>0</v>
      </c>
      <c r="W31" s="7"/>
    </row>
    <row r="32" spans="1:25" s="6" customFormat="1">
      <c r="A32" s="2"/>
      <c r="B32" s="2" t="s">
        <v>422</v>
      </c>
      <c r="C32" s="2"/>
      <c r="D32" s="68" t="s">
        <v>425</v>
      </c>
      <c r="E32" s="202">
        <f>SUMIFS('305 Inputs'!$F:$F,'305 Inputs'!$I:$I,$D32,'305 Inputs'!$C:$C,$D$12)</f>
        <v>-802730.89</v>
      </c>
      <c r="F32" s="188">
        <v>0</v>
      </c>
      <c r="G32" s="188">
        <f>-E32</f>
        <v>802730.89</v>
      </c>
      <c r="H32" s="188">
        <v>0</v>
      </c>
      <c r="I32" s="188">
        <v>0</v>
      </c>
      <c r="J32" s="188">
        <f t="shared" si="16"/>
        <v>802730.89</v>
      </c>
      <c r="K32" s="202">
        <f t="shared" si="17"/>
        <v>0</v>
      </c>
      <c r="L32" s="369">
        <v>0</v>
      </c>
      <c r="M32" s="188">
        <v>0</v>
      </c>
      <c r="N32" s="188">
        <f t="shared" si="18"/>
        <v>0</v>
      </c>
      <c r="O32" s="202">
        <f t="shared" si="19"/>
        <v>0</v>
      </c>
      <c r="P32" s="369"/>
      <c r="Q32" s="188"/>
      <c r="R32" s="188"/>
      <c r="S32" s="202">
        <v>0</v>
      </c>
      <c r="T32" s="188"/>
      <c r="U32" s="188">
        <f t="shared" si="22"/>
        <v>802730.89</v>
      </c>
      <c r="V32" s="370">
        <f t="shared" si="23"/>
        <v>0</v>
      </c>
      <c r="W32" s="7"/>
    </row>
    <row r="33" spans="1:23" s="6" customFormat="1">
      <c r="A33" s="2"/>
      <c r="D33" s="68"/>
      <c r="E33" s="202"/>
      <c r="F33" s="188"/>
      <c r="G33" s="188"/>
      <c r="H33" s="188"/>
      <c r="I33" s="188"/>
      <c r="J33" s="188"/>
      <c r="K33" s="202"/>
      <c r="L33" s="369"/>
      <c r="M33" s="16"/>
      <c r="N33" s="188"/>
      <c r="O33" s="202"/>
      <c r="P33" s="369"/>
      <c r="Q33" s="16"/>
      <c r="R33" s="188"/>
      <c r="S33" s="202"/>
      <c r="T33" s="188"/>
      <c r="U33" s="188"/>
      <c r="V33" s="370"/>
      <c r="W33" s="7"/>
    </row>
    <row r="34" spans="1:23" s="6" customFormat="1">
      <c r="B34" s="2" t="s">
        <v>72</v>
      </c>
      <c r="C34" s="2"/>
      <c r="D34" s="68" t="s">
        <v>141</v>
      </c>
      <c r="E34" s="202">
        <f>SUMIFS('305 Inputs'!$F:$F,'305 Inputs'!$I:$I,$D34,'305 Inputs'!$C:$C,$D$12)</f>
        <v>-45000</v>
      </c>
      <c r="F34" s="188">
        <f>-E34</f>
        <v>45000</v>
      </c>
      <c r="G34" s="188">
        <v>0</v>
      </c>
      <c r="H34" s="188">
        <v>0</v>
      </c>
      <c r="I34" s="188">
        <v>0</v>
      </c>
      <c r="J34" s="188">
        <f>SUM(F34:I34)</f>
        <v>45000</v>
      </c>
      <c r="K34" s="202">
        <f>E34+J34</f>
        <v>0</v>
      </c>
      <c r="L34" s="369">
        <v>0</v>
      </c>
      <c r="M34" s="188">
        <v>0</v>
      </c>
      <c r="N34" s="188">
        <f>SUM(M34:M34)</f>
        <v>0</v>
      </c>
      <c r="O34" s="202">
        <f>N34+K34</f>
        <v>0</v>
      </c>
      <c r="P34" s="369">
        <v>0</v>
      </c>
      <c r="Q34" s="188">
        <v>0</v>
      </c>
      <c r="R34" s="188">
        <f>SUM(Q34:Q34)</f>
        <v>0</v>
      </c>
      <c r="S34" s="202">
        <f>R34+O34</f>
        <v>0</v>
      </c>
      <c r="T34" s="188"/>
      <c r="U34" s="188">
        <f>J34+N34+R34</f>
        <v>45000</v>
      </c>
      <c r="V34" s="370">
        <f>+E34+U34</f>
        <v>0</v>
      </c>
      <c r="W34" s="7"/>
    </row>
    <row r="35" spans="1:23" s="6" customFormat="1">
      <c r="A35" s="2"/>
      <c r="D35" s="68"/>
      <c r="E35" s="202"/>
      <c r="F35" s="188"/>
      <c r="G35" s="188"/>
      <c r="H35" s="188"/>
      <c r="I35" s="188"/>
      <c r="J35" s="188"/>
      <c r="K35" s="202"/>
      <c r="L35" s="369"/>
      <c r="M35" s="369"/>
      <c r="N35" s="369"/>
      <c r="O35" s="202"/>
      <c r="P35" s="369"/>
      <c r="Q35" s="369"/>
      <c r="R35" s="369"/>
      <c r="S35" s="202"/>
      <c r="T35" s="188"/>
      <c r="U35" s="188"/>
      <c r="V35" s="188"/>
      <c r="W35" s="7"/>
    </row>
    <row r="36" spans="1:23">
      <c r="B36" s="18" t="s">
        <v>8</v>
      </c>
      <c r="C36" s="19"/>
      <c r="D36" s="331"/>
      <c r="E36" s="203">
        <f t="shared" ref="E36:S36" si="24">+E20+E23+E25+SUM(E27:E34)</f>
        <v>133024836.36000001</v>
      </c>
      <c r="F36" s="193">
        <f t="shared" ref="F36" si="25">+F20+F23+F25+SUM(F27:F34)</f>
        <v>0</v>
      </c>
      <c r="G36" s="193">
        <f t="shared" si="24"/>
        <v>3741010.4054409117</v>
      </c>
      <c r="H36" s="193">
        <f t="shared" si="24"/>
        <v>12306145.459999999</v>
      </c>
      <c r="I36" s="193">
        <f t="shared" si="24"/>
        <v>0</v>
      </c>
      <c r="J36" s="193">
        <f t="shared" si="24"/>
        <v>16047155.865440909</v>
      </c>
      <c r="K36" s="203">
        <f t="shared" si="24"/>
        <v>149071992.22544095</v>
      </c>
      <c r="L36" s="193">
        <f t="shared" si="24"/>
        <v>0</v>
      </c>
      <c r="M36" s="193">
        <f t="shared" si="24"/>
        <v>708580</v>
      </c>
      <c r="N36" s="193">
        <f t="shared" si="24"/>
        <v>708580</v>
      </c>
      <c r="O36" s="203">
        <f t="shared" si="24"/>
        <v>149780572.22544095</v>
      </c>
      <c r="P36" s="193">
        <f t="shared" si="24"/>
        <v>0</v>
      </c>
      <c r="Q36" s="193">
        <f t="shared" si="24"/>
        <v>0</v>
      </c>
      <c r="R36" s="193">
        <f t="shared" si="24"/>
        <v>0</v>
      </c>
      <c r="S36" s="203">
        <f t="shared" si="24"/>
        <v>149780572.22544095</v>
      </c>
      <c r="T36" s="193"/>
      <c r="U36" s="193">
        <f>+U20+U23+U25+SUM(U27:U34)</f>
        <v>16755735.865440909</v>
      </c>
      <c r="V36" s="193">
        <f>+V20+V23+V25+SUM(V27:V34)</f>
        <v>149780572.22544095</v>
      </c>
      <c r="W36" s="5"/>
    </row>
    <row r="37" spans="1:23">
      <c r="E37" s="201"/>
      <c r="F37" s="16"/>
      <c r="G37" s="16"/>
      <c r="H37" s="16"/>
      <c r="I37" s="16"/>
      <c r="J37" s="16"/>
      <c r="K37" s="201"/>
      <c r="L37" s="16"/>
      <c r="M37" s="16"/>
      <c r="N37" s="16"/>
      <c r="O37" s="201"/>
      <c r="P37" s="16"/>
      <c r="Q37" s="16"/>
      <c r="R37" s="16"/>
      <c r="S37" s="201"/>
      <c r="T37" s="16"/>
      <c r="U37" s="183"/>
      <c r="V37" s="75"/>
      <c r="W37" s="5"/>
    </row>
    <row r="38" spans="1:23">
      <c r="A38" s="3" t="s">
        <v>16</v>
      </c>
      <c r="B38" s="3"/>
      <c r="C38" s="3"/>
      <c r="D38" s="157" t="s">
        <v>94</v>
      </c>
      <c r="E38" s="201"/>
      <c r="F38" s="16"/>
      <c r="G38" s="16"/>
      <c r="H38" s="16"/>
      <c r="I38" s="16"/>
      <c r="J38" s="16"/>
      <c r="K38" s="201"/>
      <c r="L38" s="16"/>
      <c r="M38" s="16"/>
      <c r="N38" s="16"/>
      <c r="O38" s="201"/>
      <c r="P38" s="16"/>
      <c r="Q38" s="16"/>
      <c r="R38" s="16"/>
      <c r="S38" s="201"/>
      <c r="T38" s="16"/>
      <c r="U38" s="183"/>
      <c r="V38" s="75"/>
      <c r="W38" s="5"/>
    </row>
    <row r="39" spans="1:23">
      <c r="B39" s="200" t="s">
        <v>48</v>
      </c>
      <c r="C39" s="200"/>
      <c r="D39" s="68">
        <v>24</v>
      </c>
      <c r="E39" s="201">
        <f>SUMIFS('305 Inputs'!$F:$F,'305 Inputs'!$I:$I,$D39,'305 Inputs'!$C:$C,$D$38)</f>
        <v>48822135.810000002</v>
      </c>
      <c r="F39" s="16">
        <f>E39/(SUM($E$39:$E$41,$E$44,$E$47,$E$50:$E$51))*$E$63</f>
        <v>-58744.53067539067</v>
      </c>
      <c r="G39" s="16">
        <f>-SUMIFS('WA SBC'!$R:$R,'WA SBC'!$B:$B,$D39,'WA SBC'!$A:$A,$D$38)+SUMIFS('WA Decoupling'!F:F,'WA Decoupling'!A:A,$D$38,'WA Decoupling'!B:B,$D39)</f>
        <v>-1907657.0329810567</v>
      </c>
      <c r="H39" s="16">
        <f>-SUMIFS('305 Inputs'!$F:$F,'305 Inputs'!$I:$I,$D39,'305 Inputs'!$C:$C,$D$38,'305 Inputs'!$D:$D,"B")</f>
        <v>222732.1</v>
      </c>
      <c r="I39" s="16">
        <v>0</v>
      </c>
      <c r="J39" s="16">
        <f>SUM(F39:I39)</f>
        <v>-1743669.4636564474</v>
      </c>
      <c r="K39" s="201">
        <f>E39+J39</f>
        <v>47078466.346343555</v>
      </c>
      <c r="L39" s="367">
        <f>$L$18</f>
        <v>2.35E-2</v>
      </c>
      <c r="M39" s="16">
        <f>ROUND(K39*L39*(($Y$7-$Y$10)/($Y$7+$Y$10*L39)),0)</f>
        <v>223780</v>
      </c>
      <c r="N39" s="16">
        <f>SUM(M39:M39)</f>
        <v>223780</v>
      </c>
      <c r="O39" s="201">
        <f>N39+K39</f>
        <v>47302246.346343555</v>
      </c>
      <c r="P39" s="367">
        <f>$P$18</f>
        <v>0</v>
      </c>
      <c r="Q39" s="16">
        <f>ROUND(O39*P39*($Y$17/$Y$14),0)</f>
        <v>0</v>
      </c>
      <c r="R39" s="16">
        <f>SUM(Q39:Q39)</f>
        <v>0</v>
      </c>
      <c r="S39" s="201">
        <f>R39+O39</f>
        <v>47302246.346343555</v>
      </c>
      <c r="T39" s="16"/>
      <c r="U39" s="16">
        <f>J39+N39+R39</f>
        <v>-1519889.4636564474</v>
      </c>
      <c r="V39" s="75">
        <f>+E39+U39</f>
        <v>47302246.346343555</v>
      </c>
      <c r="W39" s="5"/>
    </row>
    <row r="40" spans="1:23" s="6" customFormat="1">
      <c r="B40" s="200" t="s">
        <v>49</v>
      </c>
      <c r="C40" s="200"/>
      <c r="D40" s="68" t="s">
        <v>137</v>
      </c>
      <c r="E40" s="201">
        <f>SUMIFS('305 Inputs'!$F:$F,'305 Inputs'!$I:$I,$D40,'305 Inputs'!$C:$C,$D$38)</f>
        <v>174329.64</v>
      </c>
      <c r="F40" s="16">
        <f t="shared" ref="F40:F41" si="26">E40/(SUM($E$39:$E$41,$E$44,$E$47,$E$50:$E$51))*$E$63</f>
        <v>-209.75962470106066</v>
      </c>
      <c r="G40" s="16">
        <f>-SUMIFS('WA SBC'!$R:$R,'WA SBC'!$B:$B,$D40,'WA SBC'!$A:$A,$D$38)+SUMIFS('WA Decoupling'!F:F,'WA Decoupling'!A:A,$D$38,'WA Decoupling'!B:B,$D40)</f>
        <v>0</v>
      </c>
      <c r="H40" s="16">
        <f>-SUMIFS('305 Inputs'!$F:$F,'305 Inputs'!$I:$I,$D40,'305 Inputs'!$C:$C,$D$38,'305 Inputs'!$D:$D,"B")</f>
        <v>6.89</v>
      </c>
      <c r="I40" s="16">
        <v>0</v>
      </c>
      <c r="J40" s="16">
        <f>SUM(F40:I40)</f>
        <v>-202.86962470106067</v>
      </c>
      <c r="K40" s="201">
        <f>E40+J40</f>
        <v>174126.77037529895</v>
      </c>
      <c r="L40" s="368">
        <f>$L$18</f>
        <v>2.35E-2</v>
      </c>
      <c r="M40" s="16">
        <f>ROUND(K40*L40*(($Y$7-$Y$10)/($Y$7+$Y$10*L40)),0)</f>
        <v>828</v>
      </c>
      <c r="N40" s="16">
        <f>SUM(M40:M40)</f>
        <v>828</v>
      </c>
      <c r="O40" s="201">
        <f>N40+K40</f>
        <v>174954.77037529895</v>
      </c>
      <c r="P40" s="368">
        <f>$P$18</f>
        <v>0</v>
      </c>
      <c r="Q40" s="16">
        <f>ROUND(O40*P40*($Y$17/$Y$14),0)</f>
        <v>0</v>
      </c>
      <c r="R40" s="16">
        <f>SUM(Q40:Q40)</f>
        <v>0</v>
      </c>
      <c r="S40" s="201">
        <f>R40+O40</f>
        <v>174954.77037529895</v>
      </c>
      <c r="T40" s="16"/>
      <c r="U40" s="16">
        <f>J40+N40+R40</f>
        <v>625.13037529893927</v>
      </c>
      <c r="V40" s="75">
        <f>+E40+U40</f>
        <v>174954.77037529895</v>
      </c>
      <c r="W40" s="7"/>
    </row>
    <row r="41" spans="1:23">
      <c r="B41" s="200" t="s">
        <v>54</v>
      </c>
      <c r="C41" s="200"/>
      <c r="D41" s="68" t="s">
        <v>144</v>
      </c>
      <c r="E41" s="202">
        <f>SUMIFS('305 Inputs'!$F:$F,'305 Inputs'!$I:$I,$D41,'305 Inputs'!$C:$C,$D$38)</f>
        <v>84589.62999999999</v>
      </c>
      <c r="F41" s="188">
        <f t="shared" si="26"/>
        <v>-101.78125212902164</v>
      </c>
      <c r="G41" s="16">
        <f>-SUMIFS('WA SBC'!$R:$R,'WA SBC'!$B:$B,$D41,'WA SBC'!$A:$A,$D$38)+SUMIFS('WA Decoupling'!F:F,'WA Decoupling'!A:A,$D$38,'WA Decoupling'!B:B,$D41)</f>
        <v>0</v>
      </c>
      <c r="H41" s="188">
        <f>-SUMIFS('305 Inputs'!$F:$F,'305 Inputs'!$I:$I,$D41,'305 Inputs'!$C:$C,$D$38,'305 Inputs'!$D:$D,"B")</f>
        <v>1500.66</v>
      </c>
      <c r="I41" s="188">
        <v>0</v>
      </c>
      <c r="J41" s="188">
        <f>SUM(F41:I41)</f>
        <v>1398.8787478709785</v>
      </c>
      <c r="K41" s="202">
        <f>E41+J41</f>
        <v>85988.508747870976</v>
      </c>
      <c r="L41" s="369">
        <f>$L$18</f>
        <v>2.35E-2</v>
      </c>
      <c r="M41" s="188">
        <f>ROUND(K41*L41*(($Y$7-$Y$10)/($Y$7+$Y$10*L41)),0)</f>
        <v>409</v>
      </c>
      <c r="N41" s="188">
        <f>SUM(M41:M41)</f>
        <v>409</v>
      </c>
      <c r="O41" s="202">
        <f>N41+K41</f>
        <v>86397.508747870976</v>
      </c>
      <c r="P41" s="369">
        <f>$P$18</f>
        <v>0</v>
      </c>
      <c r="Q41" s="188">
        <f>ROUND(O41*P41*($Y$17/$Y$14),0)</f>
        <v>0</v>
      </c>
      <c r="R41" s="188">
        <f>SUM(Q41:Q41)</f>
        <v>0</v>
      </c>
      <c r="S41" s="202">
        <f>R41+O41</f>
        <v>86397.508747870976</v>
      </c>
      <c r="T41" s="188"/>
      <c r="U41" s="188">
        <f>J41+N41+R41</f>
        <v>1807.8787478709785</v>
      </c>
      <c r="V41" s="370">
        <f>+E41+U41</f>
        <v>86397.508747870976</v>
      </c>
      <c r="W41" s="5"/>
    </row>
    <row r="42" spans="1:23">
      <c r="B42" s="2" t="s">
        <v>33</v>
      </c>
      <c r="E42" s="201">
        <f t="shared" ref="E42:K42" si="27">SUM(E39:E41)</f>
        <v>49081055.080000006</v>
      </c>
      <c r="F42" s="16">
        <f t="shared" ref="F42" si="28">SUM(F39:F41)</f>
        <v>-59056.071552220754</v>
      </c>
      <c r="G42" s="16">
        <f t="shared" si="27"/>
        <v>-1907657.0329810567</v>
      </c>
      <c r="H42" s="16">
        <f t="shared" si="27"/>
        <v>224239.65000000002</v>
      </c>
      <c r="I42" s="16">
        <f t="shared" si="27"/>
        <v>0</v>
      </c>
      <c r="J42" s="16">
        <f t="shared" si="27"/>
        <v>-1742473.4545332775</v>
      </c>
      <c r="K42" s="201">
        <f t="shared" si="27"/>
        <v>47338581.625466719</v>
      </c>
      <c r="L42" s="368"/>
      <c r="M42" s="16">
        <f>SUM(M39:M41)</f>
        <v>225017</v>
      </c>
      <c r="N42" s="16">
        <f>SUM(N39:N41)</f>
        <v>225017</v>
      </c>
      <c r="O42" s="201">
        <f>SUM(O39:O41)</f>
        <v>47563598.625466719</v>
      </c>
      <c r="P42" s="368"/>
      <c r="Q42" s="16">
        <f>SUM(Q39:Q41)</f>
        <v>0</v>
      </c>
      <c r="R42" s="16">
        <f>SUM(R39:R41)</f>
        <v>0</v>
      </c>
      <c r="S42" s="201">
        <f>SUM(S39:S41)</f>
        <v>47563598.625466719</v>
      </c>
      <c r="T42" s="16"/>
      <c r="U42" s="16">
        <f>SUM(U39:U41)</f>
        <v>-1517456.4545332775</v>
      </c>
      <c r="V42" s="16">
        <f>SUM(V39:V41)</f>
        <v>47563598.625466719</v>
      </c>
      <c r="W42" s="5"/>
    </row>
    <row r="43" spans="1:23">
      <c r="E43" s="201"/>
      <c r="F43" s="16"/>
      <c r="G43" s="16"/>
      <c r="H43" s="16"/>
      <c r="I43" s="16"/>
      <c r="J43" s="16"/>
      <c r="K43" s="201"/>
      <c r="L43" s="16"/>
      <c r="M43" s="16"/>
      <c r="N43" s="16"/>
      <c r="O43" s="201"/>
      <c r="P43" s="16"/>
      <c r="Q43" s="16"/>
      <c r="R43" s="16"/>
      <c r="S43" s="201"/>
      <c r="T43" s="16"/>
      <c r="U43" s="16"/>
      <c r="V43" s="75"/>
      <c r="W43" s="5"/>
    </row>
    <row r="44" spans="1:23">
      <c r="B44" s="200" t="s">
        <v>50</v>
      </c>
      <c r="C44" s="200"/>
      <c r="D44" s="68">
        <v>36</v>
      </c>
      <c r="E44" s="202">
        <f>SUMIFS('305 Inputs'!$F:$F,'305 Inputs'!$I:$I,$D44,'305 Inputs'!$C:$C,$D$38)</f>
        <v>68710034.470000014</v>
      </c>
      <c r="F44" s="188">
        <f>E44/(SUM($E$39:$E$41,$E$44,$E$47,$E$50:$E$51))*$E$63</f>
        <v>-82674.357863781173</v>
      </c>
      <c r="G44" s="188">
        <f>-SUMIFS('WA SBC'!$R:$R,'WA SBC'!$B:$B,$D44,'WA SBC'!$A:$A,$D$38)+SUMIFS('WA Decoupling'!F:F,'WA Decoupling'!A:A,$D$38,'WA Decoupling'!B:B,$D44)</f>
        <v>-2675918.1935004122</v>
      </c>
      <c r="H44" s="188">
        <f>-SUMIFS('305 Inputs'!$F:$F,'305 Inputs'!$I:$I,$D44,'305 Inputs'!$C:$C,$D$38,'305 Inputs'!$D:$D,"B")</f>
        <v>483690.18</v>
      </c>
      <c r="I44" s="188">
        <v>0</v>
      </c>
      <c r="J44" s="188">
        <f>SUM(F44:I44)</f>
        <v>-2274902.371364193</v>
      </c>
      <c r="K44" s="202">
        <f>E44+J44</f>
        <v>66435132.098635823</v>
      </c>
      <c r="L44" s="371">
        <v>2.35E-2</v>
      </c>
      <c r="M44" s="188">
        <f>ROUND(K44*L44*(($Y$7-$Y$10)/($Y$7+$Y$10*L44)),0)</f>
        <v>315789</v>
      </c>
      <c r="N44" s="188">
        <f>SUM(M44:M44)</f>
        <v>315789</v>
      </c>
      <c r="O44" s="202">
        <f>N44+K44</f>
        <v>66750921.098635823</v>
      </c>
      <c r="P44" s="371">
        <v>0</v>
      </c>
      <c r="Q44" s="188">
        <f>ROUND(O44*P44*($Y$17/$Y$14),0)</f>
        <v>0</v>
      </c>
      <c r="R44" s="188">
        <f>SUM(Q44:Q44)</f>
        <v>0</v>
      </c>
      <c r="S44" s="202">
        <f>R44+O44</f>
        <v>66750921.098635823</v>
      </c>
      <c r="T44" s="188"/>
      <c r="U44" s="188">
        <f>J44+N44+R44</f>
        <v>-1959113.371364193</v>
      </c>
      <c r="V44" s="370">
        <f>+E44+U44</f>
        <v>66750921.098635823</v>
      </c>
      <c r="W44" s="5"/>
    </row>
    <row r="45" spans="1:23">
      <c r="B45" s="2" t="s">
        <v>33</v>
      </c>
      <c r="E45" s="201">
        <f t="shared" ref="E45:K45" si="29">SUM(E44:E44)</f>
        <v>68710034.470000014</v>
      </c>
      <c r="F45" s="16">
        <f t="shared" ref="F45" si="30">SUM(F44:F44)</f>
        <v>-82674.357863781173</v>
      </c>
      <c r="G45" s="16">
        <f t="shared" si="29"/>
        <v>-2675918.1935004122</v>
      </c>
      <c r="H45" s="16">
        <f t="shared" si="29"/>
        <v>483690.18</v>
      </c>
      <c r="I45" s="16">
        <f t="shared" si="29"/>
        <v>0</v>
      </c>
      <c r="J45" s="16">
        <f t="shared" si="29"/>
        <v>-2274902.371364193</v>
      </c>
      <c r="K45" s="201">
        <f t="shared" si="29"/>
        <v>66435132.098635823</v>
      </c>
      <c r="L45" s="368"/>
      <c r="M45" s="16">
        <f>SUM(M44:M44)</f>
        <v>315789</v>
      </c>
      <c r="N45" s="16">
        <f>SUM(N44:N44)</f>
        <v>315789</v>
      </c>
      <c r="O45" s="201">
        <f>SUM(O44:O44)</f>
        <v>66750921.098635823</v>
      </c>
      <c r="P45" s="368"/>
      <c r="Q45" s="16">
        <f>SUM(Q44:Q44)</f>
        <v>0</v>
      </c>
      <c r="R45" s="16">
        <f>SUM(R44:R44)</f>
        <v>0</v>
      </c>
      <c r="S45" s="201">
        <f>SUM(S44:S44)</f>
        <v>66750921.098635823</v>
      </c>
      <c r="T45" s="16"/>
      <c r="U45" s="16">
        <f>SUM(U44:U44)</f>
        <v>-1959113.371364193</v>
      </c>
      <c r="V45" s="16">
        <f>SUM(V44:V44)</f>
        <v>66750921.098635823</v>
      </c>
      <c r="W45" s="5"/>
    </row>
    <row r="46" spans="1:23">
      <c r="B46" s="200"/>
      <c r="C46" s="200"/>
      <c r="E46" s="201"/>
      <c r="F46" s="16"/>
      <c r="G46" s="16"/>
      <c r="H46" s="16"/>
      <c r="I46" s="16"/>
      <c r="J46" s="16"/>
      <c r="K46" s="201"/>
      <c r="L46" s="368"/>
      <c r="M46" s="16"/>
      <c r="N46" s="16"/>
      <c r="O46" s="201"/>
      <c r="P46" s="368"/>
      <c r="Q46" s="16"/>
      <c r="R46" s="16"/>
      <c r="S46" s="201"/>
      <c r="T46" s="16"/>
      <c r="U46" s="16"/>
      <c r="V46" s="75"/>
      <c r="W46" s="5"/>
    </row>
    <row r="47" spans="1:23" s="6" customFormat="1">
      <c r="B47" s="200" t="s">
        <v>51</v>
      </c>
      <c r="C47" s="200"/>
      <c r="D47" s="68" t="s">
        <v>143</v>
      </c>
      <c r="E47" s="202">
        <f>SUMIFS('305 Inputs'!$F:$F,'305 Inputs'!$I:$I,$D47,'305 Inputs'!$C:$C,$D$38)</f>
        <v>15692803.819999998</v>
      </c>
      <c r="F47" s="188">
        <f>E47/(SUM($E$39:$E$41,$E$44,$E$47,$E$50:$E$51))*$E$63</f>
        <v>-18882.139834571852</v>
      </c>
      <c r="G47" s="188">
        <f>-SUMIFS('WA SBC'!$R:$R,'WA SBC'!$B:$B,$D47,'WA SBC'!$A:$A,$D$38)+SUMIFS('WA Decoupling'!F:F,'WA Decoupling'!A:A,$D$38,'WA Decoupling'!B:B,$D47)</f>
        <v>-546970.91761994699</v>
      </c>
      <c r="H47" s="188">
        <f>-SUMIFS('305 Inputs'!$F:$F,'305 Inputs'!$I:$I,$D47,'305 Inputs'!$C:$C,$D$38,'305 Inputs'!$D:$D,"B")</f>
        <v>0</v>
      </c>
      <c r="I47" s="188">
        <v>0</v>
      </c>
      <c r="J47" s="188">
        <f>SUM(F47:I47)</f>
        <v>-565853.05745451886</v>
      </c>
      <c r="K47" s="202">
        <f>E47+J47</f>
        <v>15126950.762545479</v>
      </c>
      <c r="L47" s="371">
        <v>2.35E-2</v>
      </c>
      <c r="M47" s="188">
        <f>ROUND(K47*L47*(($Y$7-$Y$10)/($Y$7+$Y$10*L47)),0)</f>
        <v>71904</v>
      </c>
      <c r="N47" s="188">
        <f>SUM(M47:M47)</f>
        <v>71904</v>
      </c>
      <c r="O47" s="202">
        <f>N47+K47</f>
        <v>15198854.762545479</v>
      </c>
      <c r="P47" s="371">
        <v>0</v>
      </c>
      <c r="Q47" s="188">
        <f>ROUND(O47*P47*($Y$17/$Y$14),0)</f>
        <v>0</v>
      </c>
      <c r="R47" s="188">
        <f>SUM(Q47:Q47)</f>
        <v>0</v>
      </c>
      <c r="S47" s="202">
        <f>R47+O47</f>
        <v>15198854.762545479</v>
      </c>
      <c r="T47" s="188"/>
      <c r="U47" s="188">
        <f>J47+N47+R47</f>
        <v>-493949.05745451886</v>
      </c>
      <c r="V47" s="370">
        <f>+E47+U47</f>
        <v>15198854.762545479</v>
      </c>
      <c r="W47" s="7"/>
    </row>
    <row r="48" spans="1:23">
      <c r="B48" s="2" t="s">
        <v>33</v>
      </c>
      <c r="E48" s="201">
        <f t="shared" ref="E48:K48" si="31">SUM(E47)</f>
        <v>15692803.819999998</v>
      </c>
      <c r="F48" s="16">
        <f t="shared" ref="F48" si="32">SUM(F47)</f>
        <v>-18882.139834571852</v>
      </c>
      <c r="G48" s="16">
        <f t="shared" si="31"/>
        <v>-546970.91761994699</v>
      </c>
      <c r="H48" s="16">
        <f t="shared" si="31"/>
        <v>0</v>
      </c>
      <c r="I48" s="16">
        <f t="shared" si="31"/>
        <v>0</v>
      </c>
      <c r="J48" s="16">
        <f t="shared" si="31"/>
        <v>-565853.05745451886</v>
      </c>
      <c r="K48" s="201">
        <f t="shared" si="31"/>
        <v>15126950.762545479</v>
      </c>
      <c r="L48" s="368"/>
      <c r="M48" s="16">
        <f>SUM(M47)</f>
        <v>71904</v>
      </c>
      <c r="N48" s="16">
        <f>SUM(N47)</f>
        <v>71904</v>
      </c>
      <c r="O48" s="201">
        <f>SUM(O47)</f>
        <v>15198854.762545479</v>
      </c>
      <c r="P48" s="368"/>
      <c r="Q48" s="16">
        <f>SUM(Q47)</f>
        <v>0</v>
      </c>
      <c r="R48" s="16">
        <f>SUM(R47)</f>
        <v>0</v>
      </c>
      <c r="S48" s="201">
        <f>SUM(S47)</f>
        <v>15198854.762545479</v>
      </c>
      <c r="T48" s="16"/>
      <c r="U48" s="16">
        <f>SUM(U47)</f>
        <v>-493949.05745451886</v>
      </c>
      <c r="V48" s="16">
        <f>SUM(V47)</f>
        <v>15198854.762545479</v>
      </c>
      <c r="W48" s="5"/>
    </row>
    <row r="49" spans="1:23">
      <c r="E49" s="201"/>
      <c r="F49" s="16"/>
      <c r="G49" s="16"/>
      <c r="H49" s="16"/>
      <c r="I49" s="16"/>
      <c r="J49" s="16"/>
      <c r="K49" s="201" t="s">
        <v>29</v>
      </c>
      <c r="L49" s="16"/>
      <c r="M49" s="16"/>
      <c r="N49" s="16"/>
      <c r="O49" s="201"/>
      <c r="P49" s="16"/>
      <c r="Q49" s="16"/>
      <c r="R49" s="16"/>
      <c r="S49" s="201"/>
      <c r="T49" s="16"/>
      <c r="U49" s="16"/>
      <c r="V49" s="75"/>
    </row>
    <row r="50" spans="1:23">
      <c r="B50" s="200" t="s">
        <v>52</v>
      </c>
      <c r="C50" s="200"/>
      <c r="D50" s="68" t="s">
        <v>139</v>
      </c>
      <c r="E50" s="201">
        <f>SUMIFS('305 Inputs'!$F:$F,'305 Inputs'!$I:$I,$D50,'305 Inputs'!$C:$C,$D$38)</f>
        <v>294226.97000000003</v>
      </c>
      <c r="F50" s="16">
        <f t="shared" ref="F50:F51" si="33">E50/(SUM($E$39:$E$41,$E$44,$E$47,$E$50:$E$51))*$E$63</f>
        <v>-354.02435755692625</v>
      </c>
      <c r="G50" s="16">
        <f>-SUMIFS('WA SBC'!$R:$R,'WA SBC'!$B:$B,$D50,'WA SBC'!$A:$A,$D$38)+SUMIFS('WA Decoupling'!F:F,'WA Decoupling'!A:A,$D$38,'WA Decoupling'!B:B,$D50)</f>
        <v>-6678.2723584331789</v>
      </c>
      <c r="H50" s="16">
        <f>-SUMIFS('305 Inputs'!$F:$F,'305 Inputs'!$I:$I,$D50,'305 Inputs'!$C:$C,$D$38,'305 Inputs'!$D:$D,"B")</f>
        <v>4063.9</v>
      </c>
      <c r="I50" s="16">
        <v>0</v>
      </c>
      <c r="J50" s="16">
        <f>SUM(F50:I50)</f>
        <v>-2968.3967159901053</v>
      </c>
      <c r="K50" s="201">
        <f>E50+J50</f>
        <v>291258.57328400994</v>
      </c>
      <c r="L50" s="368">
        <f>$L$22</f>
        <v>2.3400000000000001E-2</v>
      </c>
      <c r="M50" s="16">
        <f>ROUND(K50*L50*(($Y$7-$Y$10)/($Y$7+$Y$10*L50)),0)</f>
        <v>1379</v>
      </c>
      <c r="N50" s="16">
        <f>SUM(M50:M50)</f>
        <v>1379</v>
      </c>
      <c r="O50" s="201">
        <f>N50+K50</f>
        <v>292637.57328400994</v>
      </c>
      <c r="P50" s="368">
        <f>$P$22</f>
        <v>0</v>
      </c>
      <c r="Q50" s="16">
        <f>ROUND(O50*P50*($Y$17/$Y$14),0)</f>
        <v>0</v>
      </c>
      <c r="R50" s="16">
        <f>SUM(Q50:Q50)</f>
        <v>0</v>
      </c>
      <c r="S50" s="201">
        <f>R50+O50</f>
        <v>292637.57328400994</v>
      </c>
      <c r="T50" s="16"/>
      <c r="U50" s="16">
        <f>J50+N50+R50</f>
        <v>-1589.3967159901053</v>
      </c>
      <c r="V50" s="75">
        <f>+E50+U50</f>
        <v>292637.57328400994</v>
      </c>
      <c r="W50" s="5"/>
    </row>
    <row r="51" spans="1:23">
      <c r="B51" s="200" t="s">
        <v>53</v>
      </c>
      <c r="C51" s="200"/>
      <c r="D51" s="68">
        <v>54</v>
      </c>
      <c r="E51" s="202">
        <f>SUMIFS('305 Inputs'!$F:$F,'305 Inputs'!$I:$I,$D51,'305 Inputs'!$C:$C,$D$38)</f>
        <v>27763.8</v>
      </c>
      <c r="F51" s="188">
        <f t="shared" si="33"/>
        <v>-33.406391869307519</v>
      </c>
      <c r="G51" s="188">
        <f>-SUMIFS('WA SBC'!$R:$R,'WA SBC'!$B:$B,$D51,'WA SBC'!$A:$A,$D$38)+SUMIFS('WA Decoupling'!F:F,'WA Decoupling'!A:A,$D$38,'WA Decoupling'!B:B,$D51)</f>
        <v>-1067.7177757824036</v>
      </c>
      <c r="H51" s="188">
        <f>-SUMIFS('305 Inputs'!$F:$F,'305 Inputs'!$I:$I,$D51,'305 Inputs'!$C:$C,$D$38,'305 Inputs'!$D:$D,"B")</f>
        <v>0</v>
      </c>
      <c r="I51" s="188">
        <v>0</v>
      </c>
      <c r="J51" s="188">
        <f>SUM(F51:I51)</f>
        <v>-1101.1241676517111</v>
      </c>
      <c r="K51" s="202">
        <f>E51+J51</f>
        <v>26662.675832348286</v>
      </c>
      <c r="L51" s="369">
        <v>2.3400000000000001E-2</v>
      </c>
      <c r="M51" s="188">
        <f>ROUND(K51*L51*(($Y$7-$Y$10)/($Y$7+$Y$10*L51)),0)</f>
        <v>126</v>
      </c>
      <c r="N51" s="188">
        <f>SUM(M51:M51)</f>
        <v>126</v>
      </c>
      <c r="O51" s="202">
        <f>N51+K51</f>
        <v>26788.675832348286</v>
      </c>
      <c r="P51" s="369">
        <v>0</v>
      </c>
      <c r="Q51" s="188">
        <f>ROUND(O51*P51*($Y$17/$Y$14),0)</f>
        <v>0</v>
      </c>
      <c r="R51" s="188">
        <f>SUM(Q51:Q51)</f>
        <v>0</v>
      </c>
      <c r="S51" s="202">
        <f>R51+O51</f>
        <v>26788.675832348286</v>
      </c>
      <c r="T51" s="188"/>
      <c r="U51" s="188">
        <f>J51+N51+R51</f>
        <v>-975.1241676517111</v>
      </c>
      <c r="V51" s="370">
        <f>+E51+U51</f>
        <v>26788.675832348286</v>
      </c>
      <c r="W51" s="5"/>
    </row>
    <row r="52" spans="1:23">
      <c r="B52" s="2" t="s">
        <v>33</v>
      </c>
      <c r="E52" s="201">
        <f t="shared" ref="E52:K52" si="34">SUM(E50:E51)</f>
        <v>321990.77</v>
      </c>
      <c r="F52" s="16">
        <f t="shared" ref="F52" si="35">SUM(F50:F51)</f>
        <v>-387.43074942623377</v>
      </c>
      <c r="G52" s="16">
        <f t="shared" si="34"/>
        <v>-7745.9901342155827</v>
      </c>
      <c r="H52" s="16">
        <f t="shared" si="34"/>
        <v>4063.9</v>
      </c>
      <c r="I52" s="16">
        <f t="shared" si="34"/>
        <v>0</v>
      </c>
      <c r="J52" s="16">
        <f t="shared" si="34"/>
        <v>-4069.5208836418165</v>
      </c>
      <c r="K52" s="201">
        <f t="shared" si="34"/>
        <v>317921.24911635823</v>
      </c>
      <c r="L52" s="369"/>
      <c r="M52" s="16">
        <f>SUM(M50:M51)</f>
        <v>1505</v>
      </c>
      <c r="N52" s="16">
        <f>SUM(N50:N51)</f>
        <v>1505</v>
      </c>
      <c r="O52" s="201">
        <f>SUM(O50:O51)</f>
        <v>319426.24911635823</v>
      </c>
      <c r="P52" s="369"/>
      <c r="Q52" s="16">
        <f>SUM(Q50:Q51)</f>
        <v>0</v>
      </c>
      <c r="R52" s="16">
        <f>SUM(R50:R51)</f>
        <v>0</v>
      </c>
      <c r="S52" s="201">
        <f>SUM(S50:S51)</f>
        <v>319426.24911635823</v>
      </c>
      <c r="T52" s="16"/>
      <c r="U52" s="16">
        <f>SUM(U50:U51)</f>
        <v>-2564.5208836418165</v>
      </c>
      <c r="V52" s="16">
        <f>SUM(V50:V51)</f>
        <v>319426.24911635823</v>
      </c>
      <c r="W52" s="5"/>
    </row>
    <row r="53" spans="1:23">
      <c r="E53" s="201"/>
      <c r="F53" s="16"/>
      <c r="G53" s="16"/>
      <c r="H53" s="16"/>
      <c r="I53" s="16"/>
      <c r="J53" s="16"/>
      <c r="K53" s="201"/>
      <c r="L53" s="188"/>
      <c r="M53" s="16"/>
      <c r="N53" s="16"/>
      <c r="O53" s="201"/>
      <c r="P53" s="188"/>
      <c r="Q53" s="16"/>
      <c r="R53" s="16"/>
      <c r="S53" s="201"/>
      <c r="T53" s="16"/>
      <c r="U53" s="16"/>
      <c r="V53" s="75"/>
    </row>
    <row r="54" spans="1:23" s="6" customFormat="1">
      <c r="A54" s="2"/>
      <c r="B54" s="2" t="s">
        <v>32</v>
      </c>
      <c r="C54" s="2"/>
      <c r="D54" s="68" t="s">
        <v>138</v>
      </c>
      <c r="E54" s="202">
        <f>SUMIFS('305 Inputs'!$F:$F,'305 Inputs'!$I:$I,$D54,'305 Inputs'!$C:$C,$D$38)</f>
        <v>429589.39</v>
      </c>
      <c r="F54" s="188">
        <v>0</v>
      </c>
      <c r="G54" s="188">
        <v>0</v>
      </c>
      <c r="H54" s="188">
        <v>0</v>
      </c>
      <c r="I54" s="188">
        <v>0</v>
      </c>
      <c r="J54" s="188">
        <f>SUM(F54:I54)</f>
        <v>0</v>
      </c>
      <c r="K54" s="202">
        <f>E54+J54</f>
        <v>429589.39</v>
      </c>
      <c r="L54" s="369">
        <v>0</v>
      </c>
      <c r="M54" s="188">
        <v>0</v>
      </c>
      <c r="N54" s="188">
        <f>SUM(M54:M54)</f>
        <v>0</v>
      </c>
      <c r="O54" s="201">
        <f>N54+K54</f>
        <v>429589.39</v>
      </c>
      <c r="P54" s="369">
        <v>0</v>
      </c>
      <c r="Q54" s="188">
        <v>0</v>
      </c>
      <c r="R54" s="188">
        <f>SUM(Q54:Q54)</f>
        <v>0</v>
      </c>
      <c r="S54" s="201">
        <f>R54+O54</f>
        <v>429589.39</v>
      </c>
      <c r="T54" s="188"/>
      <c r="U54" s="188">
        <f>J54+N54+R54</f>
        <v>0</v>
      </c>
      <c r="V54" s="188">
        <f>+E54+U54</f>
        <v>429589.39</v>
      </c>
      <c r="W54" s="7"/>
    </row>
    <row r="55" spans="1:23" s="6" customFormat="1">
      <c r="A55" s="2"/>
      <c r="B55" s="2"/>
      <c r="C55" s="2"/>
      <c r="D55" s="68"/>
      <c r="E55" s="201"/>
      <c r="F55" s="188"/>
      <c r="G55" s="188"/>
      <c r="H55" s="16"/>
      <c r="I55" s="16"/>
      <c r="J55" s="16"/>
      <c r="K55" s="201"/>
      <c r="L55" s="369"/>
      <c r="M55" s="188"/>
      <c r="N55" s="188"/>
      <c r="O55" s="201"/>
      <c r="P55" s="369"/>
      <c r="Q55" s="188"/>
      <c r="R55" s="188"/>
      <c r="S55" s="201"/>
      <c r="T55" s="16"/>
      <c r="U55" s="16"/>
      <c r="V55" s="16"/>
      <c r="W55" s="7"/>
    </row>
    <row r="56" spans="1:23" s="6" customFormat="1">
      <c r="A56" s="2"/>
      <c r="B56" s="2" t="s">
        <v>235</v>
      </c>
      <c r="C56" s="2"/>
      <c r="D56" s="68" t="s">
        <v>203</v>
      </c>
      <c r="E56" s="202">
        <f>SUMIFS('305 Inputs'!$F:$F,'305 Inputs'!$I:$I,$D56,'305 Inputs'!$C:$C,$D$38)</f>
        <v>-9546572.8999999985</v>
      </c>
      <c r="F56" s="188">
        <v>0</v>
      </c>
      <c r="G56" s="188">
        <f t="shared" ref="F56:G58" si="36">-E56</f>
        <v>9546572.8999999985</v>
      </c>
      <c r="H56" s="188">
        <v>0</v>
      </c>
      <c r="I56" s="188">
        <v>0</v>
      </c>
      <c r="J56" s="188">
        <f>SUM(F56:I56)</f>
        <v>9546572.8999999985</v>
      </c>
      <c r="K56" s="202">
        <f t="shared" ref="K56:K61" si="37">E56+J56</f>
        <v>0</v>
      </c>
      <c r="L56" s="369">
        <v>0</v>
      </c>
      <c r="M56" s="188">
        <v>0</v>
      </c>
      <c r="N56" s="188">
        <f t="shared" ref="N56:N61" si="38">SUM(M56:M56)</f>
        <v>0</v>
      </c>
      <c r="O56" s="202">
        <f t="shared" ref="O56:O61" si="39">N56+K56</f>
        <v>0</v>
      </c>
      <c r="P56" s="369">
        <v>0</v>
      </c>
      <c r="Q56" s="188">
        <v>0</v>
      </c>
      <c r="R56" s="188">
        <f t="shared" ref="R56:R59" si="40">SUM(Q56:Q56)</f>
        <v>0</v>
      </c>
      <c r="S56" s="202">
        <f t="shared" ref="S56:S61" si="41">R56+O56</f>
        <v>0</v>
      </c>
      <c r="T56" s="188"/>
      <c r="U56" s="188">
        <f t="shared" ref="U56:U61" si="42">J56+N56+R56</f>
        <v>9546572.8999999985</v>
      </c>
      <c r="V56" s="188">
        <f t="shared" ref="V56:V61" si="43">+E56+U56</f>
        <v>0</v>
      </c>
      <c r="W56" s="7"/>
    </row>
    <row r="57" spans="1:23" s="6" customFormat="1">
      <c r="A57" s="2"/>
      <c r="B57" s="2" t="s">
        <v>276</v>
      </c>
      <c r="C57" s="2"/>
      <c r="D57" s="68" t="s">
        <v>274</v>
      </c>
      <c r="E57" s="202">
        <f>SUMIFS('305 Inputs'!$F:$F,'305 Inputs'!$I:$I,$D57,'305 Inputs'!$C:$C,$D$38)</f>
        <v>4368260.92</v>
      </c>
      <c r="F57" s="188">
        <v>0</v>
      </c>
      <c r="G57" s="188">
        <f t="shared" si="36"/>
        <v>-4368260.92</v>
      </c>
      <c r="H57" s="188">
        <v>0</v>
      </c>
      <c r="I57" s="188">
        <v>0</v>
      </c>
      <c r="J57" s="188">
        <f t="shared" ref="J57:J61" si="44">SUM(F57:I57)</f>
        <v>-4368260.92</v>
      </c>
      <c r="K57" s="202">
        <f t="shared" si="37"/>
        <v>0</v>
      </c>
      <c r="L57" s="369">
        <v>0</v>
      </c>
      <c r="M57" s="188">
        <v>0</v>
      </c>
      <c r="N57" s="188">
        <f t="shared" si="38"/>
        <v>0</v>
      </c>
      <c r="O57" s="202">
        <f t="shared" si="39"/>
        <v>0</v>
      </c>
      <c r="P57" s="369">
        <v>0</v>
      </c>
      <c r="Q57" s="188">
        <v>0</v>
      </c>
      <c r="R57" s="188">
        <f t="shared" si="40"/>
        <v>0</v>
      </c>
      <c r="S57" s="202">
        <f t="shared" si="41"/>
        <v>0</v>
      </c>
      <c r="T57" s="188"/>
      <c r="U57" s="188">
        <f t="shared" si="42"/>
        <v>-4368260.92</v>
      </c>
      <c r="V57" s="188">
        <f t="shared" si="43"/>
        <v>0</v>
      </c>
      <c r="W57" s="7"/>
    </row>
    <row r="58" spans="1:23" s="6" customFormat="1">
      <c r="A58" s="2"/>
      <c r="B58" s="2" t="s">
        <v>277</v>
      </c>
      <c r="C58" s="2"/>
      <c r="D58" s="68" t="s">
        <v>275</v>
      </c>
      <c r="E58" s="202">
        <f>SUMIFS('305 Inputs'!$F:$F,'305 Inputs'!$I:$I,$D58,'305 Inputs'!$C:$C,$D$38)</f>
        <v>11079.71</v>
      </c>
      <c r="F58" s="188">
        <v>0</v>
      </c>
      <c r="G58" s="188">
        <f t="shared" si="36"/>
        <v>-11079.71</v>
      </c>
      <c r="H58" s="188">
        <v>0</v>
      </c>
      <c r="I58" s="188">
        <v>0</v>
      </c>
      <c r="J58" s="188">
        <f t="shared" si="44"/>
        <v>-11079.71</v>
      </c>
      <c r="K58" s="202">
        <f t="shared" si="37"/>
        <v>0</v>
      </c>
      <c r="L58" s="369">
        <v>0</v>
      </c>
      <c r="M58" s="188">
        <v>0</v>
      </c>
      <c r="N58" s="188">
        <f t="shared" si="38"/>
        <v>0</v>
      </c>
      <c r="O58" s="202">
        <f t="shared" si="39"/>
        <v>0</v>
      </c>
      <c r="P58" s="369">
        <v>0</v>
      </c>
      <c r="Q58" s="188">
        <v>0</v>
      </c>
      <c r="R58" s="188">
        <f t="shared" si="40"/>
        <v>0</v>
      </c>
      <c r="S58" s="202">
        <f t="shared" si="41"/>
        <v>0</v>
      </c>
      <c r="T58" s="188"/>
      <c r="U58" s="188">
        <f t="shared" si="42"/>
        <v>-11079.71</v>
      </c>
      <c r="V58" s="188">
        <f t="shared" si="43"/>
        <v>0</v>
      </c>
      <c r="W58" s="7"/>
    </row>
    <row r="59" spans="1:23" s="6" customFormat="1">
      <c r="A59" s="2"/>
      <c r="B59" s="2" t="s">
        <v>88</v>
      </c>
      <c r="C59" s="2"/>
      <c r="D59" s="68" t="s">
        <v>140</v>
      </c>
      <c r="E59" s="202">
        <f>SUMIFS('305 Inputs'!$F:$F,'305 Inputs'!$I:$I,$D59,'305 Inputs'!$C:$C,$D$38)</f>
        <v>14786.15</v>
      </c>
      <c r="F59" s="188">
        <v>0</v>
      </c>
      <c r="G59" s="188">
        <v>0</v>
      </c>
      <c r="H59" s="188">
        <f>-E59</f>
        <v>-14786.15</v>
      </c>
      <c r="I59" s="188">
        <v>0</v>
      </c>
      <c r="J59" s="188">
        <f t="shared" si="44"/>
        <v>-14786.15</v>
      </c>
      <c r="K59" s="202">
        <f t="shared" si="37"/>
        <v>0</v>
      </c>
      <c r="L59" s="369">
        <v>0</v>
      </c>
      <c r="M59" s="188">
        <v>0</v>
      </c>
      <c r="N59" s="188">
        <f t="shared" si="38"/>
        <v>0</v>
      </c>
      <c r="O59" s="202">
        <f t="shared" si="39"/>
        <v>0</v>
      </c>
      <c r="P59" s="369">
        <v>0</v>
      </c>
      <c r="Q59" s="188">
        <v>0</v>
      </c>
      <c r="R59" s="188">
        <f t="shared" si="40"/>
        <v>0</v>
      </c>
      <c r="S59" s="202">
        <f t="shared" si="41"/>
        <v>0</v>
      </c>
      <c r="T59" s="188"/>
      <c r="U59" s="188">
        <f t="shared" si="42"/>
        <v>-14786.15</v>
      </c>
      <c r="V59" s="188">
        <f t="shared" si="43"/>
        <v>0</v>
      </c>
      <c r="W59" s="7"/>
    </row>
    <row r="60" spans="1:23" s="6" customFormat="1">
      <c r="A60" s="2"/>
      <c r="B60" s="2" t="s">
        <v>423</v>
      </c>
      <c r="C60" s="2"/>
      <c r="D60" s="68" t="s">
        <v>424</v>
      </c>
      <c r="E60" s="202">
        <f>SUMIFS('305 Inputs'!$F:$F,'305 Inputs'!$I:$I,$D60,'305 Inputs'!$C:$C,$D$38)</f>
        <v>-3149364</v>
      </c>
      <c r="F60" s="188">
        <v>0</v>
      </c>
      <c r="G60" s="188">
        <f t="shared" ref="G60:G61" si="45">E60*-1</f>
        <v>3149364</v>
      </c>
      <c r="H60" s="188">
        <v>0</v>
      </c>
      <c r="I60" s="188">
        <v>0</v>
      </c>
      <c r="J60" s="188">
        <f t="shared" si="44"/>
        <v>3149364</v>
      </c>
      <c r="K60" s="202">
        <f t="shared" si="37"/>
        <v>0</v>
      </c>
      <c r="L60" s="369">
        <v>0</v>
      </c>
      <c r="M60" s="188">
        <v>0</v>
      </c>
      <c r="N60" s="188">
        <f t="shared" si="38"/>
        <v>0</v>
      </c>
      <c r="O60" s="202">
        <f t="shared" si="39"/>
        <v>0</v>
      </c>
      <c r="P60" s="369"/>
      <c r="Q60" s="188"/>
      <c r="R60" s="188"/>
      <c r="S60" s="202">
        <f t="shared" si="41"/>
        <v>0</v>
      </c>
      <c r="T60" s="188"/>
      <c r="U60" s="188">
        <f t="shared" si="42"/>
        <v>3149364</v>
      </c>
      <c r="V60" s="188">
        <f t="shared" si="43"/>
        <v>0</v>
      </c>
      <c r="W60" s="7"/>
    </row>
    <row r="61" spans="1:23" s="6" customFormat="1">
      <c r="A61" s="2"/>
      <c r="B61" s="2" t="s">
        <v>422</v>
      </c>
      <c r="C61" s="2"/>
      <c r="D61" s="68" t="s">
        <v>425</v>
      </c>
      <c r="E61" s="202">
        <f>SUMIFS('305 Inputs'!$F:$F,'305 Inputs'!$I:$I,$D61,'305 Inputs'!$C:$C,$D$38)</f>
        <v>-1120942.1299999999</v>
      </c>
      <c r="F61" s="188">
        <v>0</v>
      </c>
      <c r="G61" s="188">
        <f t="shared" si="45"/>
        <v>1120942.1299999999</v>
      </c>
      <c r="H61" s="188">
        <v>0</v>
      </c>
      <c r="I61" s="188">
        <v>0</v>
      </c>
      <c r="J61" s="188">
        <f t="shared" si="44"/>
        <v>1120942.1299999999</v>
      </c>
      <c r="K61" s="202">
        <f t="shared" si="37"/>
        <v>0</v>
      </c>
      <c r="L61" s="369">
        <v>0</v>
      </c>
      <c r="M61" s="188">
        <v>0</v>
      </c>
      <c r="N61" s="188">
        <f t="shared" si="38"/>
        <v>0</v>
      </c>
      <c r="O61" s="202">
        <f t="shared" si="39"/>
        <v>0</v>
      </c>
      <c r="P61" s="369"/>
      <c r="Q61" s="188"/>
      <c r="R61" s="188"/>
      <c r="S61" s="202">
        <f t="shared" si="41"/>
        <v>0</v>
      </c>
      <c r="T61" s="188"/>
      <c r="U61" s="188">
        <f t="shared" si="42"/>
        <v>1120942.1299999999</v>
      </c>
      <c r="V61" s="188">
        <f t="shared" si="43"/>
        <v>0</v>
      </c>
      <c r="W61" s="7"/>
    </row>
    <row r="62" spans="1:23" s="6" customFormat="1">
      <c r="A62" s="2"/>
      <c r="D62" s="68"/>
      <c r="E62" s="372"/>
      <c r="F62" s="188"/>
      <c r="G62" s="188"/>
      <c r="H62" s="16"/>
      <c r="I62" s="16"/>
      <c r="J62" s="16" t="s">
        <v>29</v>
      </c>
      <c r="K62" s="201"/>
      <c r="L62" s="369"/>
      <c r="M62" s="16"/>
      <c r="N62" s="188"/>
      <c r="O62" s="202"/>
      <c r="P62" s="369"/>
      <c r="Q62" s="16"/>
      <c r="R62" s="188"/>
      <c r="S62" s="202"/>
      <c r="T62" s="188"/>
      <c r="U62" s="16"/>
      <c r="V62" s="16"/>
      <c r="W62" s="7"/>
    </row>
    <row r="63" spans="1:23" s="6" customFormat="1">
      <c r="A63" s="2"/>
      <c r="B63" s="2" t="s">
        <v>73</v>
      </c>
      <c r="C63" s="2"/>
      <c r="D63" s="68" t="s">
        <v>141</v>
      </c>
      <c r="E63" s="202">
        <f>SUMIFS('305 Inputs'!$F:$F,'305 Inputs'!$I:$I,$D63,'305 Inputs'!$C:$C,$D$38)</f>
        <v>-161000</v>
      </c>
      <c r="F63" s="188">
        <f>-E63</f>
        <v>161000</v>
      </c>
      <c r="G63" s="188">
        <v>0</v>
      </c>
      <c r="H63" s="188">
        <v>0</v>
      </c>
      <c r="I63" s="188">
        <v>0</v>
      </c>
      <c r="J63" s="188">
        <f>SUM(F63:I63)</f>
        <v>161000</v>
      </c>
      <c r="K63" s="202">
        <f>E63+J63</f>
        <v>0</v>
      </c>
      <c r="L63" s="369">
        <v>0</v>
      </c>
      <c r="M63" s="188">
        <v>0</v>
      </c>
      <c r="N63" s="188">
        <f>SUM(M63:M63)</f>
        <v>0</v>
      </c>
      <c r="O63" s="202">
        <f>N63+K63</f>
        <v>0</v>
      </c>
      <c r="P63" s="369">
        <v>0</v>
      </c>
      <c r="Q63" s="188">
        <v>0</v>
      </c>
      <c r="R63" s="188">
        <f>SUM(Q63:Q63)</f>
        <v>0</v>
      </c>
      <c r="S63" s="202">
        <f>R63+O63</f>
        <v>0</v>
      </c>
      <c r="T63" s="188"/>
      <c r="U63" s="188">
        <f>J63+N63+R63</f>
        <v>161000</v>
      </c>
      <c r="V63" s="188">
        <f>+E63+U63</f>
        <v>0</v>
      </c>
      <c r="W63" s="7"/>
    </row>
    <row r="64" spans="1:23" s="6" customFormat="1">
      <c r="A64" s="2"/>
      <c r="D64" s="68"/>
      <c r="E64" s="201"/>
      <c r="F64" s="188"/>
      <c r="G64" s="188"/>
      <c r="H64" s="16"/>
      <c r="I64" s="16"/>
      <c r="J64" s="16"/>
      <c r="K64" s="201"/>
      <c r="L64" s="16"/>
      <c r="M64" s="16"/>
      <c r="N64" s="188"/>
      <c r="O64" s="201"/>
      <c r="P64" s="16"/>
      <c r="Q64" s="16"/>
      <c r="R64" s="188"/>
      <c r="S64" s="201"/>
      <c r="T64" s="16"/>
      <c r="U64" s="16"/>
      <c r="V64" s="16"/>
      <c r="W64" s="7"/>
    </row>
    <row r="65" spans="1:23">
      <c r="B65" s="18" t="s">
        <v>8</v>
      </c>
      <c r="C65" s="19"/>
      <c r="D65" s="331"/>
      <c r="E65" s="203">
        <f t="shared" ref="E65:S65" si="46">+E42+E45+E48+E52+E54+SUM(E56:E63)</f>
        <v>124651721.28</v>
      </c>
      <c r="F65" s="193">
        <f t="shared" ref="F65" si="47">+F42+F45+F48+F52+F54+SUM(F56:F63)</f>
        <v>0</v>
      </c>
      <c r="G65" s="193">
        <f t="shared" si="46"/>
        <v>4299246.2657643659</v>
      </c>
      <c r="H65" s="193">
        <f t="shared" si="46"/>
        <v>697207.58000000007</v>
      </c>
      <c r="I65" s="193">
        <f t="shared" si="46"/>
        <v>0</v>
      </c>
      <c r="J65" s="193">
        <f t="shared" si="46"/>
        <v>4996453.8457643669</v>
      </c>
      <c r="K65" s="203">
        <f t="shared" si="46"/>
        <v>129648175.12576438</v>
      </c>
      <c r="L65" s="193">
        <f t="shared" si="46"/>
        <v>0</v>
      </c>
      <c r="M65" s="193">
        <f t="shared" si="46"/>
        <v>614215</v>
      </c>
      <c r="N65" s="193">
        <f t="shared" si="46"/>
        <v>614215</v>
      </c>
      <c r="O65" s="203">
        <f t="shared" si="46"/>
        <v>130262390.12576438</v>
      </c>
      <c r="P65" s="193">
        <f t="shared" si="46"/>
        <v>0</v>
      </c>
      <c r="Q65" s="193">
        <f t="shared" si="46"/>
        <v>0</v>
      </c>
      <c r="R65" s="193">
        <f t="shared" si="46"/>
        <v>0</v>
      </c>
      <c r="S65" s="203">
        <f t="shared" si="46"/>
        <v>130262390.12576438</v>
      </c>
      <c r="T65" s="193"/>
      <c r="U65" s="193">
        <f>+U42+U45+U48+U52+U54+SUM(U56:U63)</f>
        <v>5610668.8457643669</v>
      </c>
      <c r="V65" s="193">
        <f>+V42+V45+V48+V52+V54+SUM(V56:V63)</f>
        <v>130262390.12576438</v>
      </c>
    </row>
    <row r="66" spans="1:23">
      <c r="E66" s="201"/>
      <c r="F66" s="16" t="s">
        <v>29</v>
      </c>
      <c r="G66" s="16" t="s">
        <v>29</v>
      </c>
      <c r="H66" s="16"/>
      <c r="I66" s="16"/>
      <c r="J66" s="16"/>
      <c r="K66" s="201" t="s">
        <v>29</v>
      </c>
      <c r="L66" s="368"/>
      <c r="M66" s="368"/>
      <c r="N66" s="16" t="s">
        <v>29</v>
      </c>
      <c r="O66" s="201"/>
      <c r="P66" s="368"/>
      <c r="Q66" s="368"/>
      <c r="R66" s="16" t="s">
        <v>29</v>
      </c>
      <c r="S66" s="201"/>
      <c r="T66" s="16"/>
      <c r="U66" s="16"/>
      <c r="V66" s="75"/>
    </row>
    <row r="67" spans="1:23">
      <c r="A67" s="3" t="s">
        <v>28</v>
      </c>
      <c r="B67" s="3"/>
      <c r="C67" s="3"/>
      <c r="D67" s="157" t="s">
        <v>114</v>
      </c>
      <c r="E67" s="201"/>
      <c r="F67" s="16"/>
      <c r="G67" s="16"/>
      <c r="H67" s="16"/>
      <c r="I67" s="16"/>
      <c r="J67" s="16"/>
      <c r="K67" s="201" t="s">
        <v>29</v>
      </c>
      <c r="L67" s="16"/>
      <c r="M67" s="16"/>
      <c r="N67" s="16"/>
      <c r="O67" s="201"/>
      <c r="P67" s="16"/>
      <c r="Q67" s="16"/>
      <c r="R67" s="16"/>
      <c r="S67" s="201"/>
      <c r="T67" s="16"/>
      <c r="U67" s="16"/>
      <c r="V67" s="75"/>
    </row>
    <row r="68" spans="1:23">
      <c r="B68" s="200" t="s">
        <v>48</v>
      </c>
      <c r="C68" s="200"/>
      <c r="D68" s="68">
        <v>24</v>
      </c>
      <c r="E68" s="201">
        <f>SUMIFS('305 Inputs'!$F:$F,'305 Inputs'!$I:$I,$D68,'305 Inputs'!$C:$C,$D$67)</f>
        <v>1575037.01</v>
      </c>
      <c r="F68" s="16">
        <f>E68/(SUM($E$71,$E$74,$E$80,$E$83-$E$78))*$E$94</f>
        <v>52887.554977802596</v>
      </c>
      <c r="G68" s="16">
        <f>-SUMIFS('WA SBC'!$R:$R,'WA SBC'!$B:$B,$D68,'WA SBC'!$A:$A,$D$67)+SUMIFS('WA Decoupling'!F:F,'WA Decoupling'!A:A,$D$67,'WA Decoupling'!B:B,$D68)</f>
        <v>-60305.801524246905</v>
      </c>
      <c r="H68" s="16">
        <f>-SUMIFS('305 Inputs'!$F:$F,'305 Inputs'!$I:$I,$D68,'305 Inputs'!$C:$C,$D$67,'305 Inputs'!$D:$D,"B")</f>
        <v>7393.04</v>
      </c>
      <c r="I68" s="16">
        <v>0</v>
      </c>
      <c r="J68" s="16">
        <f>SUM(F68:I68)</f>
        <v>-25.206546444308515</v>
      </c>
      <c r="K68" s="201">
        <f>E68+J68</f>
        <v>1575011.8034535558</v>
      </c>
      <c r="L68" s="367">
        <f>$L$18</f>
        <v>2.35E-2</v>
      </c>
      <c r="M68" s="16">
        <f>ROUND(K68*L68*(($Y$7-$Y$10)/($Y$7+$Y$10*L68)),0)</f>
        <v>7487</v>
      </c>
      <c r="N68" s="16">
        <f>SUM(M68:M68)</f>
        <v>7487</v>
      </c>
      <c r="O68" s="201">
        <f>N68+K68</f>
        <v>1582498.8034535558</v>
      </c>
      <c r="P68" s="367">
        <f>$P$18</f>
        <v>0</v>
      </c>
      <c r="Q68" s="16">
        <f>ROUND(O68*P68*($Y$17/$Y$14),0)</f>
        <v>0</v>
      </c>
      <c r="R68" s="16">
        <f>SUM(Q68:Q68)</f>
        <v>0</v>
      </c>
      <c r="S68" s="201">
        <f>R68+O68</f>
        <v>1582498.8034535558</v>
      </c>
      <c r="T68" s="16"/>
      <c r="U68" s="16">
        <f>J68+N68+R68</f>
        <v>7461.7934535556915</v>
      </c>
      <c r="V68" s="75">
        <f>+E68+U68</f>
        <v>1582498.8034535558</v>
      </c>
      <c r="W68" s="5"/>
    </row>
    <row r="69" spans="1:23" s="6" customFormat="1">
      <c r="B69" s="200" t="s">
        <v>49</v>
      </c>
      <c r="C69" s="200"/>
      <c r="D69" s="68" t="s">
        <v>137</v>
      </c>
      <c r="E69" s="201">
        <f>SUMIFS('305 Inputs'!$F:$F,'305 Inputs'!$I:$I,$D69,'305 Inputs'!$C:$C,$D$67)</f>
        <v>8856.41</v>
      </c>
      <c r="F69" s="16">
        <f t="shared" ref="F69:F70" si="48">E69/(SUM($E$71,$E$74,$E$80,$E$83-$E$78))*$E$94</f>
        <v>297.38594573149783</v>
      </c>
      <c r="G69" s="16">
        <f>-SUMIFS('WA SBC'!$R:$R,'WA SBC'!$B:$B,$D69,'WA SBC'!$A:$A,$D$67)+SUMIFS('WA Decoupling'!F:F,'WA Decoupling'!A:A,$D$67,'WA Decoupling'!B:B,$D69)</f>
        <v>0</v>
      </c>
      <c r="H69" s="16">
        <f>-SUMIFS('305 Inputs'!$F:$F,'305 Inputs'!$I:$I,$D69,'305 Inputs'!$C:$C,$D$67,'305 Inputs'!$D:$D,"B")</f>
        <v>0</v>
      </c>
      <c r="I69" s="16">
        <v>0</v>
      </c>
      <c r="J69" s="16">
        <f>SUM(F69:I69)</f>
        <v>297.38594573149783</v>
      </c>
      <c r="K69" s="201">
        <f>E69+J69</f>
        <v>9153.7959457314973</v>
      </c>
      <c r="L69" s="368">
        <f>$L$18</f>
        <v>2.35E-2</v>
      </c>
      <c r="M69" s="16">
        <f>ROUND(K69*L69*(($Y$7-$Y$10)/($Y$7+$Y$10*L69)),0)</f>
        <v>44</v>
      </c>
      <c r="N69" s="16">
        <f>SUM(M69:M69)</f>
        <v>44</v>
      </c>
      <c r="O69" s="201">
        <f>N69+K69</f>
        <v>9197.7959457314973</v>
      </c>
      <c r="P69" s="368">
        <f>$P$18</f>
        <v>0</v>
      </c>
      <c r="Q69" s="16">
        <f>ROUND(O69*P69*($Y$17/$Y$14),0)</f>
        <v>0</v>
      </c>
      <c r="R69" s="16">
        <f>SUM(Q69:Q69)</f>
        <v>0</v>
      </c>
      <c r="S69" s="201">
        <f>R69+O69</f>
        <v>9197.7959457314973</v>
      </c>
      <c r="T69" s="16"/>
      <c r="U69" s="16">
        <f>J69+N69+R69</f>
        <v>341.38594573149783</v>
      </c>
      <c r="V69" s="75">
        <f>+E69+U69</f>
        <v>9197.7959457314973</v>
      </c>
      <c r="W69" s="7"/>
    </row>
    <row r="70" spans="1:23">
      <c r="B70" s="200" t="s">
        <v>54</v>
      </c>
      <c r="C70" s="200"/>
      <c r="D70" s="68" t="s">
        <v>144</v>
      </c>
      <c r="E70" s="202">
        <f>SUMIFS('305 Inputs'!$F:$F,'305 Inputs'!$I:$I,$D70,'305 Inputs'!$C:$C,$D$67)</f>
        <v>2058.8900000000003</v>
      </c>
      <c r="F70" s="188">
        <f t="shared" si="48"/>
        <v>69.134666282062796</v>
      </c>
      <c r="G70" s="188">
        <f>-SUMIFS('WA SBC'!$R:$R,'WA SBC'!$B:$B,$D70,'WA SBC'!$A:$A,$D$67)+SUMIFS('WA Decoupling'!F:F,'WA Decoupling'!A:A,$D$67,'WA Decoupling'!B:B,$D70)</f>
        <v>0</v>
      </c>
      <c r="H70" s="188">
        <f>-SUMIFS('305 Inputs'!$F:$F,'305 Inputs'!$I:$I,$D70,'305 Inputs'!$C:$C,$D$67,'305 Inputs'!$D:$D,"B")</f>
        <v>26.58</v>
      </c>
      <c r="I70" s="188">
        <v>0</v>
      </c>
      <c r="J70" s="188">
        <f>SUM(F70:I70)</f>
        <v>95.714666282062794</v>
      </c>
      <c r="K70" s="202">
        <f>E70+J70</f>
        <v>2154.6046662820631</v>
      </c>
      <c r="L70" s="369">
        <f>$L$18</f>
        <v>2.35E-2</v>
      </c>
      <c r="M70" s="188">
        <f>ROUND(K70*L70*(($Y$7-$Y$10)/($Y$7+$Y$10*L70)),0)</f>
        <v>10</v>
      </c>
      <c r="N70" s="188">
        <f>SUM(M70:M70)</f>
        <v>10</v>
      </c>
      <c r="O70" s="202">
        <f>N70+K70</f>
        <v>2164.6046662820631</v>
      </c>
      <c r="P70" s="369">
        <f>$P$18</f>
        <v>0</v>
      </c>
      <c r="Q70" s="188">
        <f>ROUND(O70*P70*($Y$17/$Y$14),0)</f>
        <v>0</v>
      </c>
      <c r="R70" s="188">
        <f>SUM(Q70:Q70)</f>
        <v>0</v>
      </c>
      <c r="S70" s="202">
        <f>R70+O70</f>
        <v>2164.6046662820631</v>
      </c>
      <c r="T70" s="188"/>
      <c r="U70" s="188">
        <f>J70+N70+R70</f>
        <v>105.71466628206279</v>
      </c>
      <c r="V70" s="370">
        <f>+E70+U70</f>
        <v>2164.6046662820631</v>
      </c>
      <c r="W70" s="5"/>
    </row>
    <row r="71" spans="1:23">
      <c r="B71" s="2" t="s">
        <v>33</v>
      </c>
      <c r="E71" s="201">
        <f t="shared" ref="E71:K71" si="49">SUM(E68:E70)</f>
        <v>1585952.3099999998</v>
      </c>
      <c r="F71" s="16">
        <f t="shared" ref="F71" si="50">SUM(F68:F70)</f>
        <v>53254.075589816159</v>
      </c>
      <c r="G71" s="16">
        <f t="shared" si="49"/>
        <v>-60305.801524246905</v>
      </c>
      <c r="H71" s="16">
        <f t="shared" si="49"/>
        <v>7419.62</v>
      </c>
      <c r="I71" s="16">
        <f t="shared" si="49"/>
        <v>0</v>
      </c>
      <c r="J71" s="16">
        <f t="shared" si="49"/>
        <v>367.89406556925212</v>
      </c>
      <c r="K71" s="201">
        <f t="shared" si="49"/>
        <v>1586320.2040655692</v>
      </c>
      <c r="L71" s="368"/>
      <c r="M71" s="16">
        <f>SUM(M68:M70)</f>
        <v>7541</v>
      </c>
      <c r="N71" s="16">
        <f>SUM(N68:N70)</f>
        <v>7541</v>
      </c>
      <c r="O71" s="201">
        <f>SUM(O68:O70)</f>
        <v>1593861.2040655692</v>
      </c>
      <c r="P71" s="368"/>
      <c r="Q71" s="16">
        <f>SUM(Q68:Q70)</f>
        <v>0</v>
      </c>
      <c r="R71" s="16">
        <f>SUM(R68:R70)</f>
        <v>0</v>
      </c>
      <c r="S71" s="201">
        <f>SUM(S68:S70)</f>
        <v>1593861.2040655692</v>
      </c>
      <c r="T71" s="16"/>
      <c r="U71" s="16">
        <f>SUM(U68:U70)</f>
        <v>7908.8940655692513</v>
      </c>
      <c r="V71" s="75">
        <f>SUM(V68:V70)</f>
        <v>1593861.2040655692</v>
      </c>
      <c r="W71" s="5"/>
    </row>
    <row r="72" spans="1:23">
      <c r="E72" s="201"/>
      <c r="F72" s="16"/>
      <c r="G72" s="16"/>
      <c r="H72" s="16"/>
      <c r="I72" s="16"/>
      <c r="J72" s="16"/>
      <c r="K72" s="201"/>
      <c r="L72" s="16"/>
      <c r="M72" s="16"/>
      <c r="N72" s="16"/>
      <c r="O72" s="201"/>
      <c r="P72" s="16"/>
      <c r="Q72" s="16"/>
      <c r="R72" s="16"/>
      <c r="S72" s="201"/>
      <c r="T72" s="16"/>
      <c r="U72" s="16"/>
      <c r="V72" s="75"/>
    </row>
    <row r="73" spans="1:23">
      <c r="B73" s="200" t="s">
        <v>50</v>
      </c>
      <c r="C73" s="200"/>
      <c r="D73" s="68">
        <v>36</v>
      </c>
      <c r="E73" s="202">
        <f>SUMIFS('305 Inputs'!$F:$F,'305 Inputs'!$I:$I,$D73,'305 Inputs'!$C:$C,$D$67)</f>
        <v>8159869.1699999999</v>
      </c>
      <c r="F73" s="188">
        <f>E73/(SUM($E$71,$E$74,$E$80,$E$83-$E$78))*$E$94</f>
        <v>273997.0721958155</v>
      </c>
      <c r="G73" s="188">
        <f>-SUMIFS('WA SBC'!$R:$R,'WA SBC'!$B:$B,$D73,'WA SBC'!$A:$A,$D$67)+SUMIFS('WA Decoupling'!F:F,'WA Decoupling'!A:A,$D$67,'WA Decoupling'!B:B,$D73)</f>
        <v>-300859.65801376378</v>
      </c>
      <c r="H73" s="188">
        <f>-SUMIFS('305 Inputs'!$F:$F,'305 Inputs'!$I:$I,$D73,'305 Inputs'!$C:$C,$D$67,'305 Inputs'!$D:$D,"B")</f>
        <v>12267.26</v>
      </c>
      <c r="I73" s="188">
        <v>0</v>
      </c>
      <c r="J73" s="188">
        <f>SUM(F73:I73)</f>
        <v>-14595.325817948275</v>
      </c>
      <c r="K73" s="202">
        <f>E73+J73</f>
        <v>8145273.8441820517</v>
      </c>
      <c r="L73" s="369">
        <f>$L$44</f>
        <v>2.35E-2</v>
      </c>
      <c r="M73" s="188">
        <f>ROUND(K73*L73*(($Y$7-$Y$10)/($Y$7+$Y$10*L73)),0)</f>
        <v>38717</v>
      </c>
      <c r="N73" s="188">
        <f>SUM(M73:M73)</f>
        <v>38717</v>
      </c>
      <c r="O73" s="202">
        <f>N73+K73</f>
        <v>8183990.8441820517</v>
      </c>
      <c r="P73" s="369">
        <f>$P$44</f>
        <v>0</v>
      </c>
      <c r="Q73" s="188">
        <f>ROUND(O73*P73*($Y$17/$Y$14),0)</f>
        <v>0</v>
      </c>
      <c r="R73" s="188">
        <f>SUM(Q73:Q73)</f>
        <v>0</v>
      </c>
      <c r="S73" s="202">
        <f>R73+O73</f>
        <v>8183990.8441820517</v>
      </c>
      <c r="T73" s="188"/>
      <c r="U73" s="188">
        <f>J73+N73+R73</f>
        <v>24121.674182051727</v>
      </c>
      <c r="V73" s="370">
        <f>+E73+U73</f>
        <v>8183990.8441820517</v>
      </c>
      <c r="W73" s="5"/>
    </row>
    <row r="74" spans="1:23">
      <c r="B74" s="2" t="s">
        <v>33</v>
      </c>
      <c r="E74" s="201">
        <f t="shared" ref="E74:K74" si="51">SUM(E73:E73)</f>
        <v>8159869.1699999999</v>
      </c>
      <c r="F74" s="16">
        <f t="shared" ref="F74" si="52">SUM(F73:F73)</f>
        <v>273997.0721958155</v>
      </c>
      <c r="G74" s="16">
        <f t="shared" si="51"/>
        <v>-300859.65801376378</v>
      </c>
      <c r="H74" s="16">
        <f t="shared" si="51"/>
        <v>12267.26</v>
      </c>
      <c r="I74" s="16">
        <f t="shared" si="51"/>
        <v>0</v>
      </c>
      <c r="J74" s="16">
        <f t="shared" si="51"/>
        <v>-14595.325817948275</v>
      </c>
      <c r="K74" s="201">
        <f t="shared" si="51"/>
        <v>8145273.8441820517</v>
      </c>
      <c r="L74" s="368"/>
      <c r="M74" s="16">
        <f>SUM(M73:M73)</f>
        <v>38717</v>
      </c>
      <c r="N74" s="16">
        <f>SUM(N73:N73)</f>
        <v>38717</v>
      </c>
      <c r="O74" s="201">
        <f>SUM(O73:O73)</f>
        <v>8183990.8441820517</v>
      </c>
      <c r="P74" s="368"/>
      <c r="Q74" s="16">
        <f>SUM(Q73:Q73)</f>
        <v>0</v>
      </c>
      <c r="R74" s="16">
        <f>SUM(R73:R73)</f>
        <v>0</v>
      </c>
      <c r="S74" s="201">
        <f>SUM(S73:S73)</f>
        <v>8183990.8441820517</v>
      </c>
      <c r="T74" s="16"/>
      <c r="U74" s="16">
        <f>SUM(U73:U73)</f>
        <v>24121.674182051727</v>
      </c>
      <c r="V74" s="75">
        <f>SUM(V73:V73)</f>
        <v>8183990.8441820517</v>
      </c>
      <c r="W74" s="5"/>
    </row>
    <row r="75" spans="1:23">
      <c r="E75" s="201"/>
      <c r="F75" s="16"/>
      <c r="G75" s="16"/>
      <c r="H75" s="16"/>
      <c r="I75" s="16"/>
      <c r="J75" s="16"/>
      <c r="K75" s="201"/>
      <c r="L75" s="373"/>
      <c r="M75" s="16"/>
      <c r="N75" s="16" t="s">
        <v>29</v>
      </c>
      <c r="O75" s="201"/>
      <c r="P75" s="373"/>
      <c r="Q75" s="16"/>
      <c r="R75" s="16" t="s">
        <v>29</v>
      </c>
      <c r="S75" s="201"/>
      <c r="T75" s="16"/>
      <c r="U75" s="16"/>
      <c r="V75" s="75"/>
    </row>
    <row r="76" spans="1:23" s="6" customFormat="1">
      <c r="B76" s="200" t="s">
        <v>153</v>
      </c>
      <c r="C76" s="200"/>
      <c r="D76" s="68">
        <v>47</v>
      </c>
      <c r="E76" s="201">
        <f>SUMIFS('305 Inputs'!$F:$F,'305 Inputs'!$I:$I,$D76,'305 Inputs'!$C:$C,$D$67)</f>
        <v>331421.83</v>
      </c>
      <c r="F76" s="16">
        <f t="shared" ref="F76:F77" si="53">E76/(SUM($E$71,$E$74,$E$80,$E$83-$E$78))*$E$94</f>
        <v>11128.684687205507</v>
      </c>
      <c r="G76" s="16">
        <f>-SUMIFS('WA SBC'!$R:$R,'WA SBC'!$B:$B,$D76,'WA SBC'!$A:$A,$D$67)+SUMIFS('WA Decoupling'!F:F,'WA Decoupling'!A:A,$D$67,'WA Decoupling'!B:B,$D76)</f>
        <v>-5364.99987958167</v>
      </c>
      <c r="H76" s="16">
        <f>-SUMIFS('305 Inputs'!$F:$F,'305 Inputs'!$I:$I,$D76,'305 Inputs'!$C:$C,$D$67,'305 Inputs'!$D:$D,"B")</f>
        <v>0</v>
      </c>
      <c r="I76" s="16">
        <v>0</v>
      </c>
      <c r="J76" s="16">
        <f>SUM(F76:I76)</f>
        <v>5763.6848076238366</v>
      </c>
      <c r="K76" s="201">
        <f>E76+J76</f>
        <v>337185.51480762387</v>
      </c>
      <c r="L76" s="368">
        <v>2.3800000000000002E-2</v>
      </c>
      <c r="M76" s="16">
        <f>ROUND(K76*L76*(($Y$7-$Y$10)/($Y$7+$Y$10*L76)),0)</f>
        <v>1623</v>
      </c>
      <c r="N76" s="16">
        <f>SUM(M76:M76)</f>
        <v>1623</v>
      </c>
      <c r="O76" s="201">
        <f>N76+K76</f>
        <v>338808.51480762387</v>
      </c>
      <c r="P76" s="368">
        <v>0</v>
      </c>
      <c r="Q76" s="16">
        <f>ROUND(O76*P76*($Y$17/$Y$14),0)</f>
        <v>0</v>
      </c>
      <c r="R76" s="16">
        <f>SUM(Q76:Q76)</f>
        <v>0</v>
      </c>
      <c r="S76" s="201">
        <f>R76+O76</f>
        <v>338808.51480762387</v>
      </c>
      <c r="T76" s="16"/>
      <c r="U76" s="16">
        <f>J76+N76+R76</f>
        <v>7386.6848076238366</v>
      </c>
      <c r="V76" s="75">
        <f>+E76+U76</f>
        <v>338808.51480762387</v>
      </c>
      <c r="W76" s="7"/>
    </row>
    <row r="77" spans="1:23" s="6" customFormat="1">
      <c r="B77" s="200" t="s">
        <v>57</v>
      </c>
      <c r="C77" s="200"/>
      <c r="D77" s="68" t="s">
        <v>142</v>
      </c>
      <c r="E77" s="201">
        <f>SUMIFS('305 Inputs'!$F:$F,'305 Inputs'!$I:$I,$D77,'305 Inputs'!$C:$C,$D$67)</f>
        <v>0</v>
      </c>
      <c r="F77" s="16">
        <f t="shared" si="53"/>
        <v>0</v>
      </c>
      <c r="G77" s="16">
        <f>-SUMIFS('WA SBC'!$R:$R,'WA SBC'!$B:$B,$D77,'WA SBC'!$A:$A,$D$67)+SUMIFS('WA Decoupling'!F:F,'WA Decoupling'!A:A,$D$67,'WA Decoupling'!B:B,$D77)</f>
        <v>0</v>
      </c>
      <c r="H77" s="16">
        <f>-SUMIFS('305 Inputs'!$F:$F,'305 Inputs'!$I:$I,$D77,'305 Inputs'!$C:$C,$D$67,'305 Inputs'!$D:$D,"B")</f>
        <v>0</v>
      </c>
      <c r="I77" s="16">
        <v>0</v>
      </c>
      <c r="J77" s="16">
        <f>SUM(F77:I77)</f>
        <v>0</v>
      </c>
      <c r="K77" s="201">
        <f>E77+J77</f>
        <v>0</v>
      </c>
      <c r="L77" s="368">
        <f>$L$47</f>
        <v>2.35E-2</v>
      </c>
      <c r="M77" s="16">
        <f>ROUND(K77*L77*(($Y$7-$Y$10)/($Y$7+$Y$10*L77)),0)</f>
        <v>0</v>
      </c>
      <c r="N77" s="16">
        <f>SUM(M77:M77)</f>
        <v>0</v>
      </c>
      <c r="O77" s="201">
        <f>N77+K77</f>
        <v>0</v>
      </c>
      <c r="P77" s="368">
        <f>$P$47</f>
        <v>0</v>
      </c>
      <c r="Q77" s="16">
        <f>ROUND(O77*P77*($Y$17/$Y$14),0)</f>
        <v>0</v>
      </c>
      <c r="R77" s="16">
        <f>SUM(Q77:Q77)</f>
        <v>0</v>
      </c>
      <c r="S77" s="201">
        <f>R77+O77</f>
        <v>0</v>
      </c>
      <c r="T77" s="16"/>
      <c r="U77" s="16">
        <f>J77+N77+R77</f>
        <v>0</v>
      </c>
      <c r="V77" s="75">
        <f>+E77+U77</f>
        <v>0</v>
      </c>
      <c r="W77" s="7"/>
    </row>
    <row r="78" spans="1:23" s="6" customFormat="1">
      <c r="B78" s="200" t="s">
        <v>51</v>
      </c>
      <c r="C78" s="200"/>
      <c r="D78" s="68" t="s">
        <v>446</v>
      </c>
      <c r="E78" s="201">
        <f>[7]Sheet1!$AC$15</f>
        <v>25495655.259999998</v>
      </c>
      <c r="F78" s="16">
        <v>0</v>
      </c>
      <c r="G78" s="16">
        <f>-SUMIFS('WA SBC'!$R:$R,'WA SBC'!$B:$B,$D78,'WA SBC'!$A:$A,$D$67)+SUMIFS('WA Decoupling'!F:F,'WA Decoupling'!A:A,$D$67,'WA Decoupling'!B:B,$D78)</f>
        <v>-1061327.7</v>
      </c>
      <c r="H78" s="16">
        <f>-SUMIFS('305 Inputs'!$F:$F,'305 Inputs'!$I:$I,$D78,'305 Inputs'!$C:$C,$D$67,'305 Inputs'!$D:$D,"B")</f>
        <v>0</v>
      </c>
      <c r="I78" s="16">
        <v>0</v>
      </c>
      <c r="J78" s="16">
        <f>SUM(F78:I78)</f>
        <v>-1061327.7</v>
      </c>
      <c r="K78" s="201">
        <f>E78+J78</f>
        <v>24434327.559999999</v>
      </c>
      <c r="L78" s="368">
        <f>$L$47</f>
        <v>2.35E-2</v>
      </c>
      <c r="M78" s="16">
        <f>ROUND(K78*L78*(($Y$7-$Y$10)/($Y$7+$Y$10*L78)),0)</f>
        <v>116145</v>
      </c>
      <c r="N78" s="16">
        <f>SUM(M78:M78)</f>
        <v>116145</v>
      </c>
      <c r="O78" s="201">
        <f>N78+K78</f>
        <v>24550472.559999999</v>
      </c>
      <c r="P78" s="369">
        <f>$P$47</f>
        <v>0</v>
      </c>
      <c r="Q78" s="188">
        <f>ROUND(O78*P78*($Y$17/$Y$14),0)</f>
        <v>0</v>
      </c>
      <c r="R78" s="188">
        <f>SUM(Q78:Q78)</f>
        <v>0</v>
      </c>
      <c r="S78" s="201">
        <f>R78+O78</f>
        <v>24550472.559999999</v>
      </c>
      <c r="T78" s="188"/>
      <c r="U78" s="16">
        <f>J78+N78+R78</f>
        <v>-945182.7</v>
      </c>
      <c r="V78" s="75">
        <f>+E78+U78</f>
        <v>24550472.559999999</v>
      </c>
      <c r="W78" s="7"/>
    </row>
    <row r="79" spans="1:23" s="6" customFormat="1" ht="17.399999999999999">
      <c r="B79" s="200" t="s">
        <v>51</v>
      </c>
      <c r="C79" s="200"/>
      <c r="D79" s="68" t="s">
        <v>143</v>
      </c>
      <c r="E79" s="202">
        <f>SUMIFS('305 Inputs'!$F:$F,'305 Inputs'!$I:$I,$D79,'305 Inputs'!$C:$C,$D$67)-E78</f>
        <v>15993567.090000004</v>
      </c>
      <c r="F79" s="188">
        <f>E79/(SUM($E$71,$E$74,$E$80,$E$83-$E$78))*$E$94</f>
        <v>537041.76688746468</v>
      </c>
      <c r="G79" s="188">
        <f>-SUMIFS('WA SBC'!$R:$R,'WA SBC'!$B:$B,$D79,'WA SBC'!$A:$A,$D$67)+SUMIFS('WA Decoupling'!F:F,'WA Decoupling'!A:A,$D$67,'WA Decoupling'!B:B,$D79)</f>
        <v>-563054.10564893344</v>
      </c>
      <c r="H79" s="188">
        <f>-SUMIFS('305 Inputs'!$F:$F,'305 Inputs'!$I:$I,$D79,'305 Inputs'!$C:$C,$D$67,'305 Inputs'!$D:$D,"B")</f>
        <v>0</v>
      </c>
      <c r="I79" s="189">
        <v>0</v>
      </c>
      <c r="J79" s="188">
        <f>SUM(F79:I79)</f>
        <v>-26012.338761468767</v>
      </c>
      <c r="K79" s="202">
        <f>E79+J79</f>
        <v>15967554.751238534</v>
      </c>
      <c r="L79" s="369">
        <f>$L$47</f>
        <v>2.35E-2</v>
      </c>
      <c r="M79" s="188">
        <f>ROUND(K79*L79*(($Y$7-$Y$10)/($Y$7+$Y$10*L79)),0)</f>
        <v>75899</v>
      </c>
      <c r="N79" s="188">
        <f>SUM(M79:M79)</f>
        <v>75899</v>
      </c>
      <c r="O79" s="202">
        <f>N79+K79</f>
        <v>16043453.751238534</v>
      </c>
      <c r="P79" s="369">
        <f>$P$47</f>
        <v>0</v>
      </c>
      <c r="Q79" s="188">
        <f>ROUND(O79*P79*($Y$17/$Y$14),0)</f>
        <v>0</v>
      </c>
      <c r="R79" s="188">
        <f>SUM(Q79:Q79)</f>
        <v>0</v>
      </c>
      <c r="S79" s="202">
        <f>R79+O79</f>
        <v>16043453.751238534</v>
      </c>
      <c r="T79" s="188"/>
      <c r="U79" s="188">
        <f>J79+N79+R79</f>
        <v>49886.661238531233</v>
      </c>
      <c r="V79" s="370">
        <f>+E79+U79</f>
        <v>16043453.751238534</v>
      </c>
      <c r="W79" s="7"/>
    </row>
    <row r="80" spans="1:23">
      <c r="B80" s="2" t="s">
        <v>33</v>
      </c>
      <c r="E80" s="201">
        <f t="shared" ref="E80:K80" si="54">SUM(E76:E79)</f>
        <v>41820644.18</v>
      </c>
      <c r="F80" s="16">
        <f t="shared" ref="F80" si="55">SUM(F76:F79)</f>
        <v>548170.45157467015</v>
      </c>
      <c r="G80" s="16">
        <f t="shared" si="54"/>
        <v>-1629746.805528515</v>
      </c>
      <c r="H80" s="16">
        <f t="shared" si="54"/>
        <v>0</v>
      </c>
      <c r="I80" s="16">
        <f t="shared" si="54"/>
        <v>0</v>
      </c>
      <c r="J80" s="16">
        <f t="shared" si="54"/>
        <v>-1081576.3539538449</v>
      </c>
      <c r="K80" s="201">
        <f t="shared" si="54"/>
        <v>40739067.826046154</v>
      </c>
      <c r="L80" s="368"/>
      <c r="M80" s="16">
        <f>SUM(M76:M79)</f>
        <v>193667</v>
      </c>
      <c r="N80" s="16">
        <f>SUM(N76:N79)</f>
        <v>193667</v>
      </c>
      <c r="O80" s="201">
        <f>SUM(O76:O79)</f>
        <v>40932734.826046154</v>
      </c>
      <c r="P80" s="368"/>
      <c r="Q80" s="16">
        <f>SUM(Q76:Q79)</f>
        <v>0</v>
      </c>
      <c r="R80" s="16">
        <f>SUM(R76:R79)</f>
        <v>0</v>
      </c>
      <c r="S80" s="201">
        <f>SUM(S76:S79)</f>
        <v>40932734.826046154</v>
      </c>
      <c r="T80" s="16"/>
      <c r="U80" s="16">
        <f>SUM(U76:U79)</f>
        <v>-887909.35395384487</v>
      </c>
      <c r="V80" s="75">
        <f>SUM(V76:V79)</f>
        <v>40932734.826046154</v>
      </c>
      <c r="W80" s="5"/>
    </row>
    <row r="81" spans="1:23">
      <c r="E81" s="201"/>
      <c r="F81" s="16"/>
      <c r="G81" s="16"/>
      <c r="H81" s="16"/>
      <c r="I81" s="16"/>
      <c r="J81" s="16"/>
      <c r="K81" s="201"/>
      <c r="L81" s="16"/>
      <c r="M81" s="16"/>
      <c r="N81" s="16" t="s">
        <v>29</v>
      </c>
      <c r="O81" s="201"/>
      <c r="P81" s="16"/>
      <c r="Q81" s="16"/>
      <c r="R81" s="16" t="s">
        <v>29</v>
      </c>
      <c r="S81" s="201"/>
      <c r="T81" s="16"/>
      <c r="U81" s="16"/>
      <c r="V81" s="75"/>
    </row>
    <row r="82" spans="1:23">
      <c r="B82" s="200" t="s">
        <v>52</v>
      </c>
      <c r="C82" s="200"/>
      <c r="D82" s="68" t="s">
        <v>139</v>
      </c>
      <c r="E82" s="202">
        <f>SUMIFS('305 Inputs'!$F:$F,'305 Inputs'!$I:$I,$D82,'305 Inputs'!$C:$C,$D$67)</f>
        <v>17225.27</v>
      </c>
      <c r="F82" s="188">
        <f>E82/(SUM($E$71,$E$74,$E$80,$E$83-$E$78))*$E$94</f>
        <v>578.40063969829748</v>
      </c>
      <c r="G82" s="188">
        <f>-SUMIFS('WA SBC'!$R:$R,'WA SBC'!$B:$B,$D82,'WA SBC'!$A:$A,$D$67)+SUMIFS('WA Decoupling'!F:F,'WA Decoupling'!A:A,$D$67,'WA Decoupling'!B:B,$D82)</f>
        <v>-416.0704893608447</v>
      </c>
      <c r="H82" s="188">
        <f>-SUMIFS('305 Inputs'!$F:$F,'305 Inputs'!$I:$I,$D82,'305 Inputs'!$C:$C,$D$67,'305 Inputs'!$D:$D,"B")</f>
        <v>212.17</v>
      </c>
      <c r="I82" s="188">
        <v>0</v>
      </c>
      <c r="J82" s="188">
        <f>SUM(F82:I82)</f>
        <v>374.50015033745274</v>
      </c>
      <c r="K82" s="202">
        <f>E82+J82</f>
        <v>17599.770150337452</v>
      </c>
      <c r="L82" s="369">
        <f>$L$22</f>
        <v>2.3400000000000001E-2</v>
      </c>
      <c r="M82" s="188">
        <f>ROUND(K82*L82*(($Y$7-$Y$10)/($Y$7+$Y$10*L82)),0)</f>
        <v>83</v>
      </c>
      <c r="N82" s="188">
        <f>SUM(M82:M82)</f>
        <v>83</v>
      </c>
      <c r="O82" s="202">
        <f>N82+K82</f>
        <v>17682.770150337452</v>
      </c>
      <c r="P82" s="369">
        <f>$P$22</f>
        <v>0</v>
      </c>
      <c r="Q82" s="188">
        <f>ROUND(O82*P82*($Y$17/$Y$14),0)</f>
        <v>0</v>
      </c>
      <c r="R82" s="188">
        <f>SUM(Q82:Q82)</f>
        <v>0</v>
      </c>
      <c r="S82" s="202">
        <f>R82+O82</f>
        <v>17682.770150337452</v>
      </c>
      <c r="T82" s="188"/>
      <c r="U82" s="188">
        <f>J82+N82+R82</f>
        <v>457.50015033745274</v>
      </c>
      <c r="V82" s="370">
        <f>+E82+U82</f>
        <v>17682.770150337452</v>
      </c>
      <c r="W82" s="5"/>
    </row>
    <row r="83" spans="1:23">
      <c r="B83" s="2" t="s">
        <v>33</v>
      </c>
      <c r="E83" s="201">
        <f t="shared" ref="E83:K83" si="56">SUM(E82:E82)</f>
        <v>17225.27</v>
      </c>
      <c r="F83" s="16">
        <f t="shared" ref="F83" si="57">SUM(F82:F82)</f>
        <v>578.40063969829748</v>
      </c>
      <c r="G83" s="16">
        <f t="shared" si="56"/>
        <v>-416.0704893608447</v>
      </c>
      <c r="H83" s="16">
        <f t="shared" si="56"/>
        <v>212.17</v>
      </c>
      <c r="I83" s="16">
        <f t="shared" si="56"/>
        <v>0</v>
      </c>
      <c r="J83" s="16">
        <f t="shared" si="56"/>
        <v>374.50015033745274</v>
      </c>
      <c r="K83" s="201">
        <f t="shared" si="56"/>
        <v>17599.770150337452</v>
      </c>
      <c r="L83" s="369"/>
      <c r="M83" s="16">
        <f>SUM(M82:M82)</f>
        <v>83</v>
      </c>
      <c r="N83" s="16">
        <f>SUM(N82:N82)</f>
        <v>83</v>
      </c>
      <c r="O83" s="201">
        <f>SUM(O82:O82)</f>
        <v>17682.770150337452</v>
      </c>
      <c r="P83" s="369"/>
      <c r="Q83" s="16">
        <f>SUM(Q82:Q82)</f>
        <v>0</v>
      </c>
      <c r="R83" s="16">
        <f>SUM(R82:R82)</f>
        <v>0</v>
      </c>
      <c r="S83" s="201">
        <f>SUM(S82:S82)</f>
        <v>17682.770150337452</v>
      </c>
      <c r="T83" s="16"/>
      <c r="U83" s="16">
        <f>SUM(U82:U82)</f>
        <v>457.50015033745274</v>
      </c>
      <c r="V83" s="75">
        <f>SUM(V82:V82)</f>
        <v>17682.770150337452</v>
      </c>
      <c r="W83" s="5"/>
    </row>
    <row r="84" spans="1:23">
      <c r="E84" s="201"/>
      <c r="F84" s="16"/>
      <c r="G84" s="16"/>
      <c r="H84" s="16"/>
      <c r="I84" s="16"/>
      <c r="J84" s="16"/>
      <c r="K84" s="201"/>
      <c r="L84" s="188"/>
      <c r="M84" s="16"/>
      <c r="N84" s="16"/>
      <c r="O84" s="201"/>
      <c r="P84" s="188"/>
      <c r="Q84" s="16"/>
      <c r="R84" s="16"/>
      <c r="S84" s="201"/>
      <c r="T84" s="16"/>
      <c r="U84" s="16"/>
      <c r="V84" s="75"/>
    </row>
    <row r="85" spans="1:23" s="6" customFormat="1">
      <c r="B85" s="2" t="s">
        <v>32</v>
      </c>
      <c r="C85" s="2"/>
      <c r="D85" s="68" t="s">
        <v>138</v>
      </c>
      <c r="E85" s="202">
        <f>SUMIFS('305 Inputs'!$F:$F,'305 Inputs'!$I:$I,$D85,'305 Inputs'!$C:$C,$D$67)</f>
        <v>25144.080000000002</v>
      </c>
      <c r="F85" s="188">
        <v>0</v>
      </c>
      <c r="G85" s="188">
        <v>0</v>
      </c>
      <c r="H85" s="188">
        <v>0</v>
      </c>
      <c r="I85" s="188">
        <v>0</v>
      </c>
      <c r="J85" s="188">
        <f>SUM(F85:I85)</f>
        <v>0</v>
      </c>
      <c r="K85" s="202">
        <f>E85+J85</f>
        <v>25144.080000000002</v>
      </c>
      <c r="L85" s="369">
        <v>0</v>
      </c>
      <c r="M85" s="188">
        <v>0</v>
      </c>
      <c r="N85" s="188">
        <f>SUM(M85:M85)</f>
        <v>0</v>
      </c>
      <c r="O85" s="202">
        <f>N85+K85</f>
        <v>25144.080000000002</v>
      </c>
      <c r="P85" s="369">
        <v>0</v>
      </c>
      <c r="Q85" s="188">
        <v>0</v>
      </c>
      <c r="R85" s="188">
        <f>SUM(Q85:Q85)</f>
        <v>0</v>
      </c>
      <c r="S85" s="202">
        <f>R85+O85</f>
        <v>25144.080000000002</v>
      </c>
      <c r="T85" s="188"/>
      <c r="U85" s="188">
        <f>J85+N85+R85</f>
        <v>0</v>
      </c>
      <c r="V85" s="370">
        <f>+E85+U85</f>
        <v>25144.080000000002</v>
      </c>
      <c r="W85" s="7"/>
    </row>
    <row r="86" spans="1:23" s="6" customFormat="1">
      <c r="B86" s="2"/>
      <c r="C86" s="2"/>
      <c r="D86" s="68"/>
      <c r="E86" s="201"/>
      <c r="F86" s="188"/>
      <c r="G86" s="188"/>
      <c r="H86" s="188"/>
      <c r="I86" s="188"/>
      <c r="J86" s="188"/>
      <c r="K86" s="202"/>
      <c r="L86" s="369"/>
      <c r="M86" s="188"/>
      <c r="N86" s="188"/>
      <c r="O86" s="202"/>
      <c r="P86" s="369"/>
      <c r="Q86" s="188"/>
      <c r="R86" s="188"/>
      <c r="S86" s="202"/>
      <c r="T86" s="188"/>
      <c r="U86" s="188"/>
      <c r="V86" s="370"/>
      <c r="W86" s="7"/>
    </row>
    <row r="87" spans="1:23" s="6" customFormat="1">
      <c r="A87" s="2"/>
      <c r="B87" s="2" t="s">
        <v>235</v>
      </c>
      <c r="C87" s="2"/>
      <c r="D87" s="68" t="s">
        <v>203</v>
      </c>
      <c r="E87" s="202">
        <f>SUMIFS('305 Inputs'!$F:$F,'305 Inputs'!$I:$I,$D87,'305 Inputs'!$C:$C,$D$67)</f>
        <v>-4144795.23</v>
      </c>
      <c r="F87" s="188">
        <v>0</v>
      </c>
      <c r="G87" s="188">
        <f t="shared" ref="G87:G89" si="58">-E87</f>
        <v>4144795.23</v>
      </c>
      <c r="H87" s="188">
        <v>0</v>
      </c>
      <c r="I87" s="188">
        <v>0</v>
      </c>
      <c r="J87" s="188">
        <f t="shared" ref="J87:J92" si="59">SUM(F87:I87)</f>
        <v>4144795.23</v>
      </c>
      <c r="K87" s="202">
        <f t="shared" ref="K87:K90" si="60">E87+J87</f>
        <v>0</v>
      </c>
      <c r="L87" s="369">
        <v>0</v>
      </c>
      <c r="M87" s="188">
        <v>0</v>
      </c>
      <c r="N87" s="188">
        <f t="shared" ref="N87:N92" si="61">SUM(M87:M87)</f>
        <v>0</v>
      </c>
      <c r="O87" s="202">
        <f t="shared" ref="O87:O92" si="62">N87+K87</f>
        <v>0</v>
      </c>
      <c r="P87" s="369">
        <v>0</v>
      </c>
      <c r="Q87" s="188">
        <v>0</v>
      </c>
      <c r="R87" s="188">
        <f t="shared" ref="R87:R90" si="63">SUM(Q87:Q87)</f>
        <v>0</v>
      </c>
      <c r="S87" s="202">
        <f t="shared" ref="S87:S92" si="64">R87+O87</f>
        <v>0</v>
      </c>
      <c r="T87" s="188"/>
      <c r="U87" s="188">
        <f t="shared" ref="U87:U92" si="65">J87+N87+R87</f>
        <v>4144795.23</v>
      </c>
      <c r="V87" s="370">
        <f t="shared" ref="V87:V92" si="66">+E87+U87</f>
        <v>0</v>
      </c>
      <c r="W87" s="7"/>
    </row>
    <row r="88" spans="1:23" s="6" customFormat="1">
      <c r="B88" s="2" t="s">
        <v>281</v>
      </c>
      <c r="C88" s="2"/>
      <c r="D88" s="68" t="s">
        <v>274</v>
      </c>
      <c r="E88" s="202">
        <f>SUMIFS('305 Inputs'!$F:$F,'305 Inputs'!$I:$I,$D88,'305 Inputs'!$C:$C,$D$67)</f>
        <v>1665639.08</v>
      </c>
      <c r="F88" s="188">
        <v>0</v>
      </c>
      <c r="G88" s="188">
        <f t="shared" si="58"/>
        <v>-1665639.08</v>
      </c>
      <c r="H88" s="188">
        <v>0</v>
      </c>
      <c r="I88" s="188">
        <v>0</v>
      </c>
      <c r="J88" s="188">
        <f t="shared" si="59"/>
        <v>-1665639.08</v>
      </c>
      <c r="K88" s="202">
        <f t="shared" si="60"/>
        <v>0</v>
      </c>
      <c r="L88" s="369">
        <v>0</v>
      </c>
      <c r="M88" s="188">
        <v>0</v>
      </c>
      <c r="N88" s="188">
        <f t="shared" si="61"/>
        <v>0</v>
      </c>
      <c r="O88" s="202">
        <f t="shared" si="62"/>
        <v>0</v>
      </c>
      <c r="P88" s="369">
        <v>0</v>
      </c>
      <c r="Q88" s="188">
        <v>0</v>
      </c>
      <c r="R88" s="188">
        <f t="shared" si="63"/>
        <v>0</v>
      </c>
      <c r="S88" s="202">
        <f t="shared" si="64"/>
        <v>0</v>
      </c>
      <c r="T88" s="188"/>
      <c r="U88" s="188">
        <f t="shared" si="65"/>
        <v>-1665639.08</v>
      </c>
      <c r="V88" s="370">
        <f t="shared" si="66"/>
        <v>0</v>
      </c>
      <c r="W88" s="7"/>
    </row>
    <row r="89" spans="1:23" s="6" customFormat="1">
      <c r="B89" s="2" t="s">
        <v>277</v>
      </c>
      <c r="C89" s="2"/>
      <c r="D89" s="68" t="s">
        <v>275</v>
      </c>
      <c r="E89" s="202">
        <f>SUMIFS('305 Inputs'!$F:$F,'305 Inputs'!$I:$I,$D89,'305 Inputs'!$C:$C,$D$67)</f>
        <v>33.92</v>
      </c>
      <c r="F89" s="188">
        <v>0</v>
      </c>
      <c r="G89" s="188">
        <f t="shared" si="58"/>
        <v>-33.92</v>
      </c>
      <c r="H89" s="188">
        <v>0</v>
      </c>
      <c r="I89" s="188">
        <v>0</v>
      </c>
      <c r="J89" s="188">
        <f t="shared" si="59"/>
        <v>-33.92</v>
      </c>
      <c r="K89" s="202">
        <f t="shared" si="60"/>
        <v>0</v>
      </c>
      <c r="L89" s="369">
        <v>0</v>
      </c>
      <c r="M89" s="188">
        <v>0</v>
      </c>
      <c r="N89" s="188">
        <f t="shared" si="61"/>
        <v>0</v>
      </c>
      <c r="O89" s="202">
        <f t="shared" si="62"/>
        <v>0</v>
      </c>
      <c r="P89" s="369">
        <v>0</v>
      </c>
      <c r="Q89" s="188">
        <v>0</v>
      </c>
      <c r="R89" s="188">
        <f t="shared" si="63"/>
        <v>0</v>
      </c>
      <c r="S89" s="202">
        <f t="shared" si="64"/>
        <v>0</v>
      </c>
      <c r="T89" s="188"/>
      <c r="U89" s="188">
        <f t="shared" si="65"/>
        <v>-33.92</v>
      </c>
      <c r="V89" s="370">
        <f t="shared" si="66"/>
        <v>0</v>
      </c>
      <c r="W89" s="7"/>
    </row>
    <row r="90" spans="1:23" s="6" customFormat="1">
      <c r="B90" s="2" t="s">
        <v>89</v>
      </c>
      <c r="C90" s="2"/>
      <c r="D90" s="68" t="s">
        <v>140</v>
      </c>
      <c r="E90" s="202">
        <f>SUMIFS('305 Inputs'!$F:$F,'305 Inputs'!$I:$I,$D90,'305 Inputs'!$C:$C,$D$67)</f>
        <v>221.5</v>
      </c>
      <c r="F90" s="188">
        <v>0</v>
      </c>
      <c r="G90" s="188">
        <v>0</v>
      </c>
      <c r="H90" s="188">
        <f>-E90</f>
        <v>-221.5</v>
      </c>
      <c r="I90" s="188">
        <v>0</v>
      </c>
      <c r="J90" s="188">
        <f t="shared" si="59"/>
        <v>-221.5</v>
      </c>
      <c r="K90" s="202">
        <f t="shared" si="60"/>
        <v>0</v>
      </c>
      <c r="L90" s="369">
        <v>0</v>
      </c>
      <c r="M90" s="188">
        <v>0</v>
      </c>
      <c r="N90" s="188">
        <f t="shared" si="61"/>
        <v>0</v>
      </c>
      <c r="O90" s="202">
        <f t="shared" si="62"/>
        <v>0</v>
      </c>
      <c r="P90" s="369">
        <v>0</v>
      </c>
      <c r="Q90" s="188">
        <v>0</v>
      </c>
      <c r="R90" s="188">
        <f t="shared" si="63"/>
        <v>0</v>
      </c>
      <c r="S90" s="202">
        <f t="shared" si="64"/>
        <v>0</v>
      </c>
      <c r="T90" s="188"/>
      <c r="U90" s="188">
        <f t="shared" si="65"/>
        <v>-221.5</v>
      </c>
      <c r="V90" s="370">
        <f t="shared" si="66"/>
        <v>0</v>
      </c>
      <c r="W90" s="7"/>
    </row>
    <row r="91" spans="1:23" s="6" customFormat="1">
      <c r="B91" s="2" t="s">
        <v>423</v>
      </c>
      <c r="C91" s="2"/>
      <c r="D91" s="68" t="s">
        <v>424</v>
      </c>
      <c r="E91" s="202">
        <f>SUMIFS('305 Inputs'!$F:$F,'305 Inputs'!$I:$I,$D91,'305 Inputs'!$C:$C,$D$67)</f>
        <v>-1650105.3</v>
      </c>
      <c r="F91" s="188">
        <v>0</v>
      </c>
      <c r="G91" s="188">
        <f t="shared" ref="G91:G92" si="67">E91*-1</f>
        <v>1650105.3</v>
      </c>
      <c r="H91" s="188">
        <v>0</v>
      </c>
      <c r="I91" s="188">
        <v>0</v>
      </c>
      <c r="J91" s="188">
        <f t="shared" si="59"/>
        <v>1650105.3</v>
      </c>
      <c r="K91" s="202">
        <f t="shared" ref="K91:K92" si="68">E91+J91</f>
        <v>0</v>
      </c>
      <c r="L91" s="369">
        <v>0</v>
      </c>
      <c r="M91" s="188">
        <v>0</v>
      </c>
      <c r="N91" s="188">
        <f t="shared" si="61"/>
        <v>0</v>
      </c>
      <c r="O91" s="202">
        <f t="shared" si="62"/>
        <v>0</v>
      </c>
      <c r="P91" s="369"/>
      <c r="Q91" s="188"/>
      <c r="R91" s="188"/>
      <c r="S91" s="202">
        <f t="shared" si="64"/>
        <v>0</v>
      </c>
      <c r="T91" s="188"/>
      <c r="U91" s="188">
        <f t="shared" si="65"/>
        <v>1650105.3</v>
      </c>
      <c r="V91" s="370">
        <f t="shared" si="66"/>
        <v>0</v>
      </c>
      <c r="W91" s="7"/>
    </row>
    <row r="92" spans="1:23" s="6" customFormat="1">
      <c r="B92" s="2" t="s">
        <v>422</v>
      </c>
      <c r="C92" s="2"/>
      <c r="D92" s="68" t="s">
        <v>425</v>
      </c>
      <c r="E92" s="202">
        <f>SUMIFS('305 Inputs'!$F:$F,'305 Inputs'!$I:$I,$D92,'305 Inputs'!$C:$C,$D$67)</f>
        <v>-30381.040000000001</v>
      </c>
      <c r="F92" s="188">
        <v>0</v>
      </c>
      <c r="G92" s="188">
        <f t="shared" si="67"/>
        <v>30381.040000000001</v>
      </c>
      <c r="H92" s="188">
        <v>0</v>
      </c>
      <c r="I92" s="188">
        <v>0</v>
      </c>
      <c r="J92" s="188">
        <f t="shared" si="59"/>
        <v>30381.040000000001</v>
      </c>
      <c r="K92" s="202">
        <f t="shared" si="68"/>
        <v>0</v>
      </c>
      <c r="L92" s="369">
        <v>0</v>
      </c>
      <c r="M92" s="188">
        <v>0</v>
      </c>
      <c r="N92" s="188">
        <f t="shared" si="61"/>
        <v>0</v>
      </c>
      <c r="O92" s="202">
        <f t="shared" si="62"/>
        <v>0</v>
      </c>
      <c r="P92" s="369"/>
      <c r="Q92" s="188"/>
      <c r="R92" s="188"/>
      <c r="S92" s="202">
        <f t="shared" si="64"/>
        <v>0</v>
      </c>
      <c r="T92" s="188"/>
      <c r="U92" s="188">
        <f t="shared" si="65"/>
        <v>30381.040000000001</v>
      </c>
      <c r="V92" s="370">
        <f t="shared" si="66"/>
        <v>0</v>
      </c>
      <c r="W92" s="7"/>
    </row>
    <row r="93" spans="1:23" s="6" customFormat="1">
      <c r="A93" s="2"/>
      <c r="D93" s="68"/>
      <c r="E93" s="201"/>
      <c r="F93" s="16"/>
      <c r="G93" s="16"/>
      <c r="H93" s="16"/>
      <c r="I93" s="16"/>
      <c r="J93" s="16"/>
      <c r="K93" s="201"/>
      <c r="L93" s="369"/>
      <c r="M93" s="16"/>
      <c r="N93" s="16"/>
      <c r="O93" s="202"/>
      <c r="P93" s="369"/>
      <c r="Q93" s="16"/>
      <c r="R93" s="16"/>
      <c r="S93" s="202"/>
      <c r="T93" s="188"/>
      <c r="U93" s="188"/>
      <c r="V93" s="75"/>
      <c r="W93" s="7"/>
    </row>
    <row r="94" spans="1:23" s="6" customFormat="1">
      <c r="B94" s="2" t="s">
        <v>73</v>
      </c>
      <c r="C94" s="2"/>
      <c r="D94" s="68" t="s">
        <v>141</v>
      </c>
      <c r="E94" s="202">
        <f>SUMIFS('305 Inputs'!$F:$F,'305 Inputs'!$I:$I,$D94,'305 Inputs'!$C:$C,$D$67)</f>
        <v>876000</v>
      </c>
      <c r="F94" s="188">
        <f>-E94</f>
        <v>-876000</v>
      </c>
      <c r="G94" s="188">
        <v>0</v>
      </c>
      <c r="H94" s="188">
        <v>0</v>
      </c>
      <c r="I94" s="188">
        <v>0</v>
      </c>
      <c r="J94" s="188">
        <f>SUM(F94:I94)</f>
        <v>-876000</v>
      </c>
      <c r="K94" s="202">
        <f>E94+J94</f>
        <v>0</v>
      </c>
      <c r="L94" s="369">
        <v>0</v>
      </c>
      <c r="M94" s="188">
        <v>0</v>
      </c>
      <c r="N94" s="188">
        <f>SUM(M94:M94)</f>
        <v>0</v>
      </c>
      <c r="O94" s="202">
        <f>N94+K94</f>
        <v>0</v>
      </c>
      <c r="P94" s="369">
        <v>0</v>
      </c>
      <c r="Q94" s="188">
        <v>0</v>
      </c>
      <c r="R94" s="188">
        <f>SUM(Q94:Q94)</f>
        <v>0</v>
      </c>
      <c r="S94" s="202">
        <f>R94+O94</f>
        <v>0</v>
      </c>
      <c r="T94" s="188"/>
      <c r="U94" s="188">
        <f>J94+N94+R94</f>
        <v>-876000</v>
      </c>
      <c r="V94" s="370">
        <f>+E94+U94</f>
        <v>0</v>
      </c>
      <c r="W94" s="7"/>
    </row>
    <row r="95" spans="1:23" s="6" customFormat="1">
      <c r="A95" s="2"/>
      <c r="D95" s="68"/>
      <c r="E95" s="202"/>
      <c r="F95" s="188"/>
      <c r="G95" s="188"/>
      <c r="H95" s="188"/>
      <c r="I95" s="188"/>
      <c r="J95" s="188"/>
      <c r="K95" s="202"/>
      <c r="L95" s="188"/>
      <c r="M95" s="188"/>
      <c r="N95" s="188"/>
      <c r="O95" s="202"/>
      <c r="P95" s="188"/>
      <c r="Q95" s="188"/>
      <c r="R95" s="188"/>
      <c r="S95" s="202"/>
      <c r="T95" s="188"/>
      <c r="U95" s="188"/>
      <c r="V95" s="188"/>
      <c r="W95" s="7"/>
    </row>
    <row r="96" spans="1:23">
      <c r="B96" s="18" t="s">
        <v>8</v>
      </c>
      <c r="C96" s="19"/>
      <c r="D96" s="331"/>
      <c r="E96" s="203">
        <f t="shared" ref="E96:S96" si="69">+E71+E74+E80+E83+E85+SUM(E87:E94)</f>
        <v>48325447.939999998</v>
      </c>
      <c r="F96" s="193">
        <f t="shared" ref="F96" si="70">+F71+F74+F80+F83+F85+SUM(F87:F94)</f>
        <v>0</v>
      </c>
      <c r="G96" s="193">
        <f t="shared" si="69"/>
        <v>2168280.2344441134</v>
      </c>
      <c r="H96" s="193">
        <f t="shared" si="69"/>
        <v>19677.55</v>
      </c>
      <c r="I96" s="193">
        <f t="shared" si="69"/>
        <v>0</v>
      </c>
      <c r="J96" s="193">
        <f t="shared" si="69"/>
        <v>2187957.7844441137</v>
      </c>
      <c r="K96" s="203">
        <f t="shared" si="69"/>
        <v>50513405.724444114</v>
      </c>
      <c r="L96" s="193">
        <f t="shared" si="69"/>
        <v>0</v>
      </c>
      <c r="M96" s="193">
        <f t="shared" si="69"/>
        <v>240008</v>
      </c>
      <c r="N96" s="193">
        <f t="shared" si="69"/>
        <v>240008</v>
      </c>
      <c r="O96" s="203">
        <f t="shared" si="69"/>
        <v>50753413.724444114</v>
      </c>
      <c r="P96" s="193">
        <f t="shared" si="69"/>
        <v>0</v>
      </c>
      <c r="Q96" s="193">
        <f t="shared" si="69"/>
        <v>0</v>
      </c>
      <c r="R96" s="193">
        <f t="shared" si="69"/>
        <v>0</v>
      </c>
      <c r="S96" s="203">
        <f t="shared" si="69"/>
        <v>50753413.724444114</v>
      </c>
      <c r="T96" s="193"/>
      <c r="U96" s="193">
        <f>+U71+U74+U80+U83+U85+SUM(U87:U94)</f>
        <v>2427965.7844441137</v>
      </c>
      <c r="V96" s="193">
        <f>+V71+V74+V80+V83+V85+SUM(V87:V94)</f>
        <v>50753413.724444114</v>
      </c>
      <c r="W96" s="5"/>
    </row>
    <row r="97" spans="1:23">
      <c r="E97" s="201"/>
      <c r="F97" s="16"/>
      <c r="G97" s="16"/>
      <c r="H97" s="16"/>
      <c r="I97" s="16"/>
      <c r="J97" s="16"/>
      <c r="K97" s="201" t="s">
        <v>29</v>
      </c>
      <c r="L97" s="16"/>
      <c r="M97" s="16"/>
      <c r="N97" s="16"/>
      <c r="O97" s="201" t="s">
        <v>29</v>
      </c>
      <c r="P97" s="16"/>
      <c r="Q97" s="16"/>
      <c r="R97" s="16"/>
      <c r="S97" s="201" t="s">
        <v>29</v>
      </c>
      <c r="T97" s="16"/>
      <c r="U97" s="16"/>
      <c r="V97" s="75"/>
      <c r="W97" s="24"/>
    </row>
    <row r="98" spans="1:23">
      <c r="B98" s="3"/>
      <c r="C98" s="3"/>
      <c r="E98" s="201"/>
      <c r="F98" s="16"/>
      <c r="G98" s="16"/>
      <c r="H98" s="16"/>
      <c r="I98" s="16"/>
      <c r="J98" s="16"/>
      <c r="K98" s="201" t="s">
        <v>29</v>
      </c>
      <c r="L98" s="16"/>
      <c r="M98" s="16"/>
      <c r="N98" s="16"/>
      <c r="O98" s="201"/>
      <c r="P98" s="16"/>
      <c r="Q98" s="16"/>
      <c r="R98" s="16"/>
      <c r="S98" s="201"/>
      <c r="T98" s="16"/>
      <c r="U98" s="16"/>
      <c r="V98" s="75"/>
    </row>
    <row r="99" spans="1:23">
      <c r="A99" s="3" t="s">
        <v>171</v>
      </c>
      <c r="B99" s="3"/>
      <c r="C99" s="3"/>
      <c r="D99" s="157" t="s">
        <v>117</v>
      </c>
      <c r="E99" s="201"/>
      <c r="F99" s="16"/>
      <c r="G99" s="16"/>
      <c r="H99" s="16"/>
      <c r="I99" s="16"/>
      <c r="J99" s="16"/>
      <c r="K99" s="201"/>
      <c r="L99" s="16"/>
      <c r="M99" s="16"/>
      <c r="N99" s="16"/>
      <c r="O99" s="201"/>
      <c r="P99" s="16"/>
      <c r="Q99" s="16"/>
      <c r="R99" s="16"/>
      <c r="S99" s="201"/>
      <c r="T99" s="16"/>
      <c r="U99" s="16"/>
      <c r="V99" s="75"/>
    </row>
    <row r="100" spans="1:23">
      <c r="B100" s="200" t="s">
        <v>55</v>
      </c>
      <c r="C100" s="200"/>
      <c r="D100" s="68">
        <v>40</v>
      </c>
      <c r="E100" s="201">
        <f>SUMIFS('305 Inputs'!$F:$F,'305 Inputs'!$I:$I,$D100,'305 Inputs'!$C:$C,$D$99)</f>
        <v>9273330.9900000002</v>
      </c>
      <c r="F100" s="16">
        <f>E100/$E$102*$E$115</f>
        <v>-212678.65643088144</v>
      </c>
      <c r="G100" s="16">
        <f>-SUMIFS('WA SBC'!$R:$R,'WA SBC'!$B:$B,$D100,'WA SBC'!$A:$A,$D$99)+SUMIFS('WA Decoupling'!F:F,'WA Decoupling'!A:A,$D$99,'WA Decoupling'!B:B,$D100)</f>
        <v>-444662.91054617875</v>
      </c>
      <c r="H100" s="16">
        <f>-SUMIFS('305 Inputs'!$F:$F,'305 Inputs'!$I:$I,$D100,'305 Inputs'!$C:$C,$D$99,'305 Inputs'!$D:$D,"B")</f>
        <v>853803.45000000007</v>
      </c>
      <c r="I100" s="16">
        <v>0</v>
      </c>
      <c r="J100" s="16">
        <f>SUM(F100:I100)</f>
        <v>196461.8830229399</v>
      </c>
      <c r="K100" s="201">
        <f>E100+J100</f>
        <v>9469792.87302294</v>
      </c>
      <c r="L100" s="368">
        <v>2.35E-2</v>
      </c>
      <c r="M100" s="16">
        <f>ROUND(K100*L100*(($Y$7-$Y$10)/($Y$7+$Y$10*L100)),0)</f>
        <v>45013</v>
      </c>
      <c r="N100" s="16">
        <f>SUM(M100:M100)</f>
        <v>45013</v>
      </c>
      <c r="O100" s="201">
        <f>N100+K100</f>
        <v>9514805.87302294</v>
      </c>
      <c r="P100" s="368">
        <v>0</v>
      </c>
      <c r="Q100" s="16">
        <f>ROUND(O100*P100*($Y$17/$Y$14),0)</f>
        <v>0</v>
      </c>
      <c r="R100" s="16">
        <f>SUM(Q100:Q100)</f>
        <v>0</v>
      </c>
      <c r="S100" s="201">
        <f>R100+O100</f>
        <v>9514805.87302294</v>
      </c>
      <c r="T100" s="16"/>
      <c r="U100" s="16">
        <f>J100+N100+R100</f>
        <v>241474.8830229399</v>
      </c>
      <c r="V100" s="75">
        <f>+E100+U100</f>
        <v>9514805.87302294</v>
      </c>
      <c r="W100" s="5"/>
    </row>
    <row r="101" spans="1:23" ht="17.399999999999999">
      <c r="B101" s="200" t="s">
        <v>56</v>
      </c>
      <c r="C101" s="200"/>
      <c r="D101" s="68" t="s">
        <v>145</v>
      </c>
      <c r="E101" s="202">
        <f>SUMIFS('305 Inputs'!$F:$F,'305 Inputs'!$I:$I,$D101,'305 Inputs'!$C:$C,$D$99)</f>
        <v>4984701.6899999995</v>
      </c>
      <c r="F101" s="188">
        <f>E101/$E$102*$E$115</f>
        <v>-114321.34356911853</v>
      </c>
      <c r="G101" s="188">
        <f>-SUMIFS('WA SBC'!$R:$R,'WA SBC'!$B:$B,$D101,'WA SBC'!$A:$A,$D$99)+SUMIFS('WA Decoupling'!F:F,'WA Decoupling'!A:A,$D$99,'WA Decoupling'!B:B,$D101)</f>
        <v>0</v>
      </c>
      <c r="H101" s="188">
        <f>-SUMIFS('305 Inputs'!$F:$F,'305 Inputs'!$I:$I,$D101,'305 Inputs'!$C:$C,$D$67,'305 Inputs'!$D:$D,"B")</f>
        <v>0</v>
      </c>
      <c r="I101" s="189">
        <v>0</v>
      </c>
      <c r="J101" s="188">
        <f>SUM(F101:I101)</f>
        <v>-114321.34356911853</v>
      </c>
      <c r="K101" s="202">
        <f>E101+J101</f>
        <v>4870380.3464308809</v>
      </c>
      <c r="L101" s="374">
        <f>$L$100</f>
        <v>2.35E-2</v>
      </c>
      <c r="M101" s="188">
        <f>ROUND(K101*L101*(($Y$7-$Y$10)/($Y$7+$Y$10*L101)),0)</f>
        <v>23151</v>
      </c>
      <c r="N101" s="188">
        <f>SUM(M101:M101)</f>
        <v>23151</v>
      </c>
      <c r="O101" s="201">
        <f>N101+K101</f>
        <v>4893531.3464308809</v>
      </c>
      <c r="P101" s="374">
        <f>$P$100</f>
        <v>0</v>
      </c>
      <c r="Q101" s="188">
        <f>ROUND(O101*P101*($Y$17/$Y$14),0)</f>
        <v>0</v>
      </c>
      <c r="R101" s="188">
        <f>SUM(Q101:Q101)</f>
        <v>0</v>
      </c>
      <c r="S101" s="202">
        <f>R101+O101</f>
        <v>4893531.3464308809</v>
      </c>
      <c r="T101" s="188"/>
      <c r="U101" s="188">
        <f>J101+N101+R101</f>
        <v>-91170.34356911853</v>
      </c>
      <c r="V101" s="370">
        <f>+E101+U101</f>
        <v>4893531.3464308809</v>
      </c>
      <c r="W101" s="5"/>
    </row>
    <row r="102" spans="1:23">
      <c r="B102" s="2" t="s">
        <v>33</v>
      </c>
      <c r="E102" s="201">
        <f t="shared" ref="E102:K102" si="71">SUM(E100:E101)</f>
        <v>14258032.68</v>
      </c>
      <c r="F102" s="16">
        <f t="shared" ref="F102" si="72">SUM(F100:F101)</f>
        <v>-327000</v>
      </c>
      <c r="G102" s="16">
        <f t="shared" si="71"/>
        <v>-444662.91054617875</v>
      </c>
      <c r="H102" s="16">
        <f t="shared" si="71"/>
        <v>853803.45000000007</v>
      </c>
      <c r="I102" s="16">
        <f t="shared" si="71"/>
        <v>0</v>
      </c>
      <c r="J102" s="16">
        <f t="shared" si="71"/>
        <v>82140.539453821373</v>
      </c>
      <c r="K102" s="201">
        <f t="shared" si="71"/>
        <v>14340173.219453821</v>
      </c>
      <c r="L102" s="368"/>
      <c r="M102" s="16">
        <f>SUM(M100:M101)</f>
        <v>68164</v>
      </c>
      <c r="N102" s="16">
        <f>SUM(N100:N101)</f>
        <v>68164</v>
      </c>
      <c r="O102" s="201">
        <f>SUM(O100:O101)</f>
        <v>14408337.219453821</v>
      </c>
      <c r="P102" s="368"/>
      <c r="Q102" s="16">
        <f>SUM(Q100:Q101)</f>
        <v>0</v>
      </c>
      <c r="R102" s="16">
        <f>SUM(R100:R101)</f>
        <v>0</v>
      </c>
      <c r="S102" s="201">
        <f>SUM(S100:S101)</f>
        <v>14408337.219453821</v>
      </c>
      <c r="T102" s="16"/>
      <c r="U102" s="16">
        <f>SUM(U100:U101)</f>
        <v>150304.53945382137</v>
      </c>
      <c r="V102" s="75">
        <f>SUM(V100:V101)</f>
        <v>14408337.219453821</v>
      </c>
      <c r="W102" s="5"/>
    </row>
    <row r="103" spans="1:23" s="6" customFormat="1">
      <c r="A103" s="2"/>
      <c r="B103" s="2"/>
      <c r="C103" s="2"/>
      <c r="D103" s="68"/>
      <c r="E103" s="201"/>
      <c r="F103" s="16"/>
      <c r="G103" s="16"/>
      <c r="H103" s="16"/>
      <c r="I103" s="16"/>
      <c r="J103" s="16"/>
      <c r="K103" s="201"/>
      <c r="L103" s="368"/>
      <c r="M103" s="16"/>
      <c r="N103" s="16"/>
      <c r="O103" s="201"/>
      <c r="P103" s="368"/>
      <c r="Q103" s="16"/>
      <c r="R103" s="16"/>
      <c r="S103" s="201"/>
      <c r="T103" s="16"/>
      <c r="U103" s="16"/>
      <c r="V103" s="75"/>
      <c r="W103" s="7"/>
    </row>
    <row r="104" spans="1:23" s="6" customFormat="1">
      <c r="B104" s="2" t="s">
        <v>32</v>
      </c>
      <c r="C104" s="2"/>
      <c r="D104" s="68" t="s">
        <v>138</v>
      </c>
      <c r="E104" s="202">
        <f>SUMIFS('305 Inputs'!$F:$F,'305 Inputs'!$I:$I,$D104,'305 Inputs'!$C:$C,$D$99)</f>
        <v>235993.83000000002</v>
      </c>
      <c r="F104" s="188">
        <v>0</v>
      </c>
      <c r="G104" s="188">
        <v>0</v>
      </c>
      <c r="H104" s="188">
        <v>0</v>
      </c>
      <c r="I104" s="188">
        <v>0</v>
      </c>
      <c r="J104" s="188">
        <f>SUM(F104:I104)</f>
        <v>0</v>
      </c>
      <c r="K104" s="202">
        <f>E104+J104</f>
        <v>235993.83000000002</v>
      </c>
      <c r="L104" s="369">
        <v>0</v>
      </c>
      <c r="M104" s="188">
        <v>0</v>
      </c>
      <c r="N104" s="188">
        <f>SUM(M104:M104)</f>
        <v>0</v>
      </c>
      <c r="O104" s="202">
        <f>N104+K104</f>
        <v>235993.83000000002</v>
      </c>
      <c r="P104" s="369">
        <v>0</v>
      </c>
      <c r="Q104" s="188">
        <v>0</v>
      </c>
      <c r="R104" s="188">
        <f>SUM(Q104:Q104)</f>
        <v>0</v>
      </c>
      <c r="S104" s="202">
        <f>R104+O104</f>
        <v>235993.83000000002</v>
      </c>
      <c r="T104" s="188"/>
      <c r="U104" s="188">
        <f>J104+N104+R104</f>
        <v>0</v>
      </c>
      <c r="V104" s="370">
        <f>+E104+U104</f>
        <v>235993.83000000002</v>
      </c>
      <c r="W104" s="7"/>
    </row>
    <row r="105" spans="1:23" s="6" customFormat="1">
      <c r="B105" s="2"/>
      <c r="C105" s="2"/>
      <c r="D105" s="68"/>
      <c r="E105" s="201"/>
      <c r="F105" s="188"/>
      <c r="G105" s="188"/>
      <c r="H105" s="188"/>
      <c r="I105" s="188"/>
      <c r="J105" s="188"/>
      <c r="K105" s="202"/>
      <c r="L105" s="369"/>
      <c r="M105" s="188"/>
      <c r="N105" s="188"/>
      <c r="O105" s="202"/>
      <c r="P105" s="369"/>
      <c r="Q105" s="188"/>
      <c r="R105" s="188"/>
      <c r="S105" s="202"/>
      <c r="T105" s="188"/>
      <c r="U105" s="188"/>
      <c r="V105" s="370"/>
      <c r="W105" s="7"/>
    </row>
    <row r="106" spans="1:23" s="6" customFormat="1">
      <c r="B106" s="2" t="s">
        <v>237</v>
      </c>
      <c r="C106" s="2"/>
      <c r="D106" s="68" t="s">
        <v>350</v>
      </c>
      <c r="E106" s="202">
        <f>SUMIFS('305 Inputs'!$F:$F,'305 Inputs'!$I:$I,$D106,'305 Inputs'!$C:$C,$D$99)</f>
        <v>43000</v>
      </c>
      <c r="F106" s="188">
        <v>0</v>
      </c>
      <c r="G106" s="188">
        <f t="shared" ref="G106:G109" si="73">-E106</f>
        <v>-43000</v>
      </c>
      <c r="H106" s="188">
        <v>0</v>
      </c>
      <c r="I106" s="188">
        <v>0</v>
      </c>
      <c r="J106" s="188">
        <f t="shared" ref="J106:J113" si="74">SUM(F106:I106)</f>
        <v>-43000</v>
      </c>
      <c r="K106" s="202">
        <f t="shared" ref="K106:K113" si="75">E106+J106</f>
        <v>0</v>
      </c>
      <c r="L106" s="369">
        <v>0</v>
      </c>
      <c r="M106" s="188">
        <v>0</v>
      </c>
      <c r="N106" s="188">
        <f t="shared" ref="N106:N113" si="76">SUM(M106:M106)</f>
        <v>0</v>
      </c>
      <c r="O106" s="202">
        <f t="shared" ref="O106:O113" si="77">N106+K106</f>
        <v>0</v>
      </c>
      <c r="P106" s="369">
        <v>0</v>
      </c>
      <c r="Q106" s="188">
        <v>0</v>
      </c>
      <c r="R106" s="188">
        <f t="shared" ref="R106:R111" si="78">SUM(Q106:Q106)</f>
        <v>0</v>
      </c>
      <c r="S106" s="202">
        <f t="shared" ref="S106:S113" si="79">R106+O106</f>
        <v>0</v>
      </c>
      <c r="T106" s="188"/>
      <c r="U106" s="188">
        <f t="shared" ref="U106:U113" si="80">J106+N106+R106</f>
        <v>-43000</v>
      </c>
      <c r="V106" s="370">
        <f t="shared" ref="V106:V113" si="81">+E106+U106</f>
        <v>0</v>
      </c>
      <c r="W106" s="7"/>
    </row>
    <row r="107" spans="1:23">
      <c r="B107" s="2" t="s">
        <v>235</v>
      </c>
      <c r="D107" s="68" t="s">
        <v>203</v>
      </c>
      <c r="E107" s="202">
        <f>SUMIFS('305 Inputs'!$F:$F,'305 Inputs'!$I:$I,$D107,'305 Inputs'!$C:$C,$D$99)</f>
        <v>-1589085.9500000002</v>
      </c>
      <c r="F107" s="188">
        <v>0</v>
      </c>
      <c r="G107" s="188">
        <f t="shared" si="73"/>
        <v>1589085.9500000002</v>
      </c>
      <c r="H107" s="16">
        <v>0</v>
      </c>
      <c r="I107" s="188">
        <v>0</v>
      </c>
      <c r="J107" s="188">
        <f t="shared" si="74"/>
        <v>1589085.9500000002</v>
      </c>
      <c r="K107" s="202">
        <f t="shared" si="75"/>
        <v>0</v>
      </c>
      <c r="L107" s="369">
        <v>0</v>
      </c>
      <c r="M107" s="188">
        <v>0</v>
      </c>
      <c r="N107" s="188">
        <f t="shared" si="76"/>
        <v>0</v>
      </c>
      <c r="O107" s="202">
        <f t="shared" si="77"/>
        <v>0</v>
      </c>
      <c r="P107" s="369">
        <v>0</v>
      </c>
      <c r="Q107" s="188">
        <v>0</v>
      </c>
      <c r="R107" s="188">
        <f t="shared" si="78"/>
        <v>0</v>
      </c>
      <c r="S107" s="202">
        <f t="shared" si="79"/>
        <v>0</v>
      </c>
      <c r="T107" s="188"/>
      <c r="U107" s="188">
        <f t="shared" si="80"/>
        <v>1589085.9500000002</v>
      </c>
      <c r="V107" s="370">
        <f t="shared" si="81"/>
        <v>0</v>
      </c>
    </row>
    <row r="108" spans="1:23" s="6" customFormat="1">
      <c r="B108" s="2" t="s">
        <v>281</v>
      </c>
      <c r="C108" s="2"/>
      <c r="D108" s="68" t="s">
        <v>274</v>
      </c>
      <c r="E108" s="202">
        <f>SUMIFS('305 Inputs'!$F:$F,'305 Inputs'!$I:$I,$D108,'305 Inputs'!$C:$C,$D$99)</f>
        <v>495123.91</v>
      </c>
      <c r="F108" s="188">
        <v>0</v>
      </c>
      <c r="G108" s="188">
        <f t="shared" si="73"/>
        <v>-495123.91</v>
      </c>
      <c r="H108" s="188">
        <v>0</v>
      </c>
      <c r="I108" s="188">
        <v>0</v>
      </c>
      <c r="J108" s="188">
        <f t="shared" si="74"/>
        <v>-495123.91</v>
      </c>
      <c r="K108" s="202">
        <f t="shared" si="75"/>
        <v>0</v>
      </c>
      <c r="L108" s="369">
        <v>0</v>
      </c>
      <c r="M108" s="188">
        <v>0</v>
      </c>
      <c r="N108" s="188">
        <f t="shared" si="76"/>
        <v>0</v>
      </c>
      <c r="O108" s="202">
        <f t="shared" si="77"/>
        <v>0</v>
      </c>
      <c r="P108" s="369">
        <v>0</v>
      </c>
      <c r="Q108" s="188">
        <v>0</v>
      </c>
      <c r="R108" s="188">
        <f t="shared" si="78"/>
        <v>0</v>
      </c>
      <c r="S108" s="202">
        <f t="shared" si="79"/>
        <v>0</v>
      </c>
      <c r="T108" s="188"/>
      <c r="U108" s="188">
        <f t="shared" si="80"/>
        <v>-495123.91</v>
      </c>
      <c r="V108" s="370">
        <f t="shared" si="81"/>
        <v>0</v>
      </c>
      <c r="W108" s="7"/>
    </row>
    <row r="109" spans="1:23" s="6" customFormat="1">
      <c r="B109" s="2" t="s">
        <v>277</v>
      </c>
      <c r="C109" s="2"/>
      <c r="D109" s="68" t="s">
        <v>275</v>
      </c>
      <c r="E109" s="202">
        <f>SUMIFS('305 Inputs'!$F:$F,'305 Inputs'!$I:$I,$D109,'305 Inputs'!$C:$C,$D$99)</f>
        <v>207.88</v>
      </c>
      <c r="F109" s="188">
        <v>0</v>
      </c>
      <c r="G109" s="188">
        <f t="shared" si="73"/>
        <v>-207.88</v>
      </c>
      <c r="H109" s="188">
        <v>0</v>
      </c>
      <c r="I109" s="188">
        <v>0</v>
      </c>
      <c r="J109" s="188">
        <f t="shared" si="74"/>
        <v>-207.88</v>
      </c>
      <c r="K109" s="202">
        <f t="shared" si="75"/>
        <v>0</v>
      </c>
      <c r="L109" s="369">
        <v>0</v>
      </c>
      <c r="M109" s="188">
        <v>0</v>
      </c>
      <c r="N109" s="188">
        <f t="shared" si="76"/>
        <v>0</v>
      </c>
      <c r="O109" s="202">
        <f t="shared" si="77"/>
        <v>0</v>
      </c>
      <c r="P109" s="369">
        <v>0</v>
      </c>
      <c r="Q109" s="188">
        <v>0</v>
      </c>
      <c r="R109" s="188">
        <f t="shared" si="78"/>
        <v>0</v>
      </c>
      <c r="S109" s="202">
        <f t="shared" si="79"/>
        <v>0</v>
      </c>
      <c r="T109" s="188"/>
      <c r="U109" s="188">
        <f t="shared" si="80"/>
        <v>-207.88</v>
      </c>
      <c r="V109" s="370">
        <f t="shared" si="81"/>
        <v>0</v>
      </c>
      <c r="W109" s="7"/>
    </row>
    <row r="110" spans="1:23" s="6" customFormat="1">
      <c r="B110" s="2" t="s">
        <v>89</v>
      </c>
      <c r="C110" s="2"/>
      <c r="D110" s="68" t="s">
        <v>140</v>
      </c>
      <c r="E110" s="202">
        <f>SUMIFS('305 Inputs'!$F:$F,'305 Inputs'!$I:$I,$D110,'305 Inputs'!$C:$C,$D$99)</f>
        <v>4417.13</v>
      </c>
      <c r="F110" s="188">
        <v>0</v>
      </c>
      <c r="G110" s="188">
        <v>0</v>
      </c>
      <c r="H110" s="188">
        <f>-E110</f>
        <v>-4417.13</v>
      </c>
      <c r="I110" s="188">
        <v>0</v>
      </c>
      <c r="J110" s="188">
        <f t="shared" si="74"/>
        <v>-4417.13</v>
      </c>
      <c r="K110" s="202">
        <f t="shared" si="75"/>
        <v>0</v>
      </c>
      <c r="L110" s="369">
        <v>0</v>
      </c>
      <c r="M110" s="188">
        <v>0</v>
      </c>
      <c r="N110" s="188">
        <f t="shared" si="76"/>
        <v>0</v>
      </c>
      <c r="O110" s="202">
        <f t="shared" si="77"/>
        <v>0</v>
      </c>
      <c r="P110" s="369">
        <v>0</v>
      </c>
      <c r="Q110" s="188">
        <v>0</v>
      </c>
      <c r="R110" s="188">
        <f t="shared" si="78"/>
        <v>0</v>
      </c>
      <c r="S110" s="202">
        <f t="shared" si="79"/>
        <v>0</v>
      </c>
      <c r="T110" s="188"/>
      <c r="U110" s="188">
        <f t="shared" si="80"/>
        <v>-4417.13</v>
      </c>
      <c r="V110" s="370">
        <f t="shared" si="81"/>
        <v>0</v>
      </c>
      <c r="W110" s="7"/>
    </row>
    <row r="111" spans="1:23" s="6" customFormat="1">
      <c r="B111" s="2" t="s">
        <v>152</v>
      </c>
      <c r="C111" s="2"/>
      <c r="D111" s="68" t="s">
        <v>225</v>
      </c>
      <c r="E111" s="202">
        <f>SUMIFS('305 Inputs'!$F:$F,'305 Inputs'!$I:$I,$D111,'305 Inputs'!$C:$C,$D$99)</f>
        <v>108720.5</v>
      </c>
      <c r="F111" s="188">
        <v>0</v>
      </c>
      <c r="G111" s="188">
        <v>0</v>
      </c>
      <c r="H111" s="188">
        <f>-E111</f>
        <v>-108720.5</v>
      </c>
      <c r="I111" s="188">
        <v>0</v>
      </c>
      <c r="J111" s="188">
        <f t="shared" si="74"/>
        <v>-108720.5</v>
      </c>
      <c r="K111" s="202">
        <f t="shared" si="75"/>
        <v>0</v>
      </c>
      <c r="L111" s="369">
        <v>0</v>
      </c>
      <c r="M111" s="188">
        <v>0</v>
      </c>
      <c r="N111" s="188">
        <f t="shared" si="76"/>
        <v>0</v>
      </c>
      <c r="O111" s="202">
        <f t="shared" si="77"/>
        <v>0</v>
      </c>
      <c r="P111" s="369">
        <v>0</v>
      </c>
      <c r="Q111" s="188">
        <v>0</v>
      </c>
      <c r="R111" s="188">
        <f t="shared" si="78"/>
        <v>0</v>
      </c>
      <c r="S111" s="202">
        <f t="shared" si="79"/>
        <v>0</v>
      </c>
      <c r="T111" s="188"/>
      <c r="U111" s="188">
        <f t="shared" si="80"/>
        <v>-108720.5</v>
      </c>
      <c r="V111" s="370">
        <f t="shared" si="81"/>
        <v>0</v>
      </c>
      <c r="W111" s="7"/>
    </row>
    <row r="112" spans="1:23" s="6" customFormat="1">
      <c r="B112" s="2" t="s">
        <v>423</v>
      </c>
      <c r="C112" s="2"/>
      <c r="D112" s="68" t="s">
        <v>424</v>
      </c>
      <c r="E112" s="202">
        <f>SUMIFS('305 Inputs'!$F:$F,'305 Inputs'!$I:$I,$D112,'305 Inputs'!$C:$C,$D$99)</f>
        <v>-288287.46000000002</v>
      </c>
      <c r="F112" s="188">
        <v>0</v>
      </c>
      <c r="G112" s="188">
        <f>-E112</f>
        <v>288287.46000000002</v>
      </c>
      <c r="H112" s="188">
        <v>0</v>
      </c>
      <c r="I112" s="188">
        <v>0</v>
      </c>
      <c r="J112" s="188">
        <f t="shared" si="74"/>
        <v>288287.46000000002</v>
      </c>
      <c r="K112" s="202">
        <f t="shared" si="75"/>
        <v>0</v>
      </c>
      <c r="L112" s="369">
        <v>0</v>
      </c>
      <c r="M112" s="188">
        <v>0</v>
      </c>
      <c r="N112" s="188">
        <f t="shared" si="76"/>
        <v>0</v>
      </c>
      <c r="O112" s="202">
        <f t="shared" si="77"/>
        <v>0</v>
      </c>
      <c r="P112" s="369"/>
      <c r="Q112" s="188"/>
      <c r="R112" s="188"/>
      <c r="S112" s="202">
        <f t="shared" si="79"/>
        <v>0</v>
      </c>
      <c r="T112" s="188"/>
      <c r="U112" s="188">
        <f t="shared" si="80"/>
        <v>288287.46000000002</v>
      </c>
      <c r="V112" s="370">
        <f t="shared" si="81"/>
        <v>0</v>
      </c>
      <c r="W112" s="7"/>
    </row>
    <row r="113" spans="1:23" s="6" customFormat="1">
      <c r="B113" s="2" t="s">
        <v>422</v>
      </c>
      <c r="C113" s="2"/>
      <c r="D113" s="68" t="s">
        <v>425</v>
      </c>
      <c r="E113" s="202">
        <f>SUMIFS('305 Inputs'!$F:$F,'305 Inputs'!$I:$I,$D113,'305 Inputs'!$C:$C,$D$99)</f>
        <v>393142.91</v>
      </c>
      <c r="F113" s="188">
        <v>0</v>
      </c>
      <c r="G113" s="188">
        <f>-E113</f>
        <v>-393142.91</v>
      </c>
      <c r="H113" s="188">
        <v>0</v>
      </c>
      <c r="I113" s="188">
        <v>0</v>
      </c>
      <c r="J113" s="188">
        <f t="shared" si="74"/>
        <v>-393142.91</v>
      </c>
      <c r="K113" s="202">
        <f t="shared" si="75"/>
        <v>0</v>
      </c>
      <c r="L113" s="369">
        <v>0</v>
      </c>
      <c r="M113" s="188">
        <v>0</v>
      </c>
      <c r="N113" s="188">
        <f t="shared" si="76"/>
        <v>0</v>
      </c>
      <c r="O113" s="202">
        <f t="shared" si="77"/>
        <v>0</v>
      </c>
      <c r="P113" s="369"/>
      <c r="Q113" s="188"/>
      <c r="R113" s="188"/>
      <c r="S113" s="202">
        <f t="shared" si="79"/>
        <v>0</v>
      </c>
      <c r="T113" s="188"/>
      <c r="U113" s="188">
        <f t="shared" si="80"/>
        <v>-393142.91</v>
      </c>
      <c r="V113" s="370">
        <f t="shared" si="81"/>
        <v>0</v>
      </c>
      <c r="W113" s="7"/>
    </row>
    <row r="114" spans="1:23" s="6" customFormat="1">
      <c r="B114" s="2"/>
      <c r="C114" s="2"/>
      <c r="D114" s="68"/>
      <c r="E114" s="202"/>
      <c r="F114" s="188"/>
      <c r="G114" s="188"/>
      <c r="H114" s="188"/>
      <c r="I114" s="188"/>
      <c r="J114" s="188"/>
      <c r="K114" s="202"/>
      <c r="L114" s="369"/>
      <c r="M114" s="16"/>
      <c r="N114" s="188"/>
      <c r="O114" s="202"/>
      <c r="P114" s="369"/>
      <c r="Q114" s="16"/>
      <c r="R114" s="188"/>
      <c r="S114" s="202"/>
      <c r="T114" s="188"/>
      <c r="U114" s="188"/>
      <c r="V114" s="370"/>
      <c r="W114" s="7"/>
    </row>
    <row r="115" spans="1:23" s="6" customFormat="1">
      <c r="B115" s="2" t="s">
        <v>73</v>
      </c>
      <c r="C115" s="2"/>
      <c r="D115" s="68" t="s">
        <v>141</v>
      </c>
      <c r="E115" s="202">
        <f>SUMIFS('305 Inputs'!$F:$F,'305 Inputs'!$I:$I,$D115,'305 Inputs'!$C:$C,$D$99)</f>
        <v>-327000</v>
      </c>
      <c r="F115" s="188">
        <f>-E115</f>
        <v>327000</v>
      </c>
      <c r="G115" s="188">
        <v>0</v>
      </c>
      <c r="H115" s="188">
        <v>0</v>
      </c>
      <c r="I115" s="188">
        <v>0</v>
      </c>
      <c r="J115" s="188">
        <f>SUM(F115:I115)</f>
        <v>327000</v>
      </c>
      <c r="K115" s="202">
        <f>E115+J115</f>
        <v>0</v>
      </c>
      <c r="L115" s="369">
        <v>0</v>
      </c>
      <c r="M115" s="188">
        <v>0</v>
      </c>
      <c r="N115" s="188">
        <f>SUM(M115:M115)</f>
        <v>0</v>
      </c>
      <c r="O115" s="202">
        <f>N115+K115</f>
        <v>0</v>
      </c>
      <c r="P115" s="369">
        <v>0</v>
      </c>
      <c r="Q115" s="188">
        <v>0</v>
      </c>
      <c r="R115" s="188">
        <f>SUM(Q115:Q115)</f>
        <v>0</v>
      </c>
      <c r="S115" s="202">
        <f>R115+O115</f>
        <v>0</v>
      </c>
      <c r="T115" s="188"/>
      <c r="U115" s="188">
        <f>J115+N115+R115</f>
        <v>327000</v>
      </c>
      <c r="V115" s="370">
        <f>+E115+U115</f>
        <v>0</v>
      </c>
      <c r="W115" s="7"/>
    </row>
    <row r="116" spans="1:23" s="6" customFormat="1">
      <c r="A116" s="2"/>
      <c r="D116" s="68"/>
      <c r="E116" s="202"/>
      <c r="F116" s="188"/>
      <c r="G116" s="188"/>
      <c r="H116" s="188"/>
      <c r="I116" s="188"/>
      <c r="J116" s="188"/>
      <c r="K116" s="202"/>
      <c r="L116" s="188"/>
      <c r="M116" s="188"/>
      <c r="N116" s="188"/>
      <c r="O116" s="202"/>
      <c r="P116" s="188"/>
      <c r="Q116" s="188"/>
      <c r="R116" s="188"/>
      <c r="S116" s="202"/>
      <c r="T116" s="188"/>
      <c r="U116" s="188"/>
      <c r="V116" s="188"/>
      <c r="W116" s="7"/>
    </row>
    <row r="117" spans="1:23">
      <c r="B117" s="18" t="s">
        <v>8</v>
      </c>
      <c r="C117" s="19"/>
      <c r="D117" s="331"/>
      <c r="E117" s="203">
        <f t="shared" ref="E117:S117" si="82">E102+E104+SUM(E106:E115)</f>
        <v>13334265.43</v>
      </c>
      <c r="F117" s="193">
        <f t="shared" ref="F117" si="83">F102+F104+SUM(F106:F115)</f>
        <v>0</v>
      </c>
      <c r="G117" s="193">
        <f t="shared" si="82"/>
        <v>501235.79945382167</v>
      </c>
      <c r="H117" s="193">
        <f t="shared" si="82"/>
        <v>740665.82000000007</v>
      </c>
      <c r="I117" s="193">
        <f t="shared" si="82"/>
        <v>0</v>
      </c>
      <c r="J117" s="193">
        <f t="shared" si="82"/>
        <v>1241901.6194538218</v>
      </c>
      <c r="K117" s="203">
        <f t="shared" si="82"/>
        <v>14576167.049453821</v>
      </c>
      <c r="L117" s="193">
        <f t="shared" si="82"/>
        <v>0</v>
      </c>
      <c r="M117" s="193">
        <f t="shared" si="82"/>
        <v>68164</v>
      </c>
      <c r="N117" s="193">
        <f t="shared" si="82"/>
        <v>68164</v>
      </c>
      <c r="O117" s="203">
        <f t="shared" si="82"/>
        <v>14644331.049453821</v>
      </c>
      <c r="P117" s="193">
        <f t="shared" si="82"/>
        <v>0</v>
      </c>
      <c r="Q117" s="193">
        <f t="shared" si="82"/>
        <v>0</v>
      </c>
      <c r="R117" s="193">
        <f t="shared" si="82"/>
        <v>0</v>
      </c>
      <c r="S117" s="203">
        <f t="shared" si="82"/>
        <v>14644331.049453821</v>
      </c>
      <c r="T117" s="193"/>
      <c r="U117" s="193">
        <f>U102+U104+SUM(U106:U115)</f>
        <v>1310065.6194538218</v>
      </c>
      <c r="V117" s="193">
        <f>V102+V104+SUM(V106:V115)</f>
        <v>14644331.049453821</v>
      </c>
      <c r="W117" s="5"/>
    </row>
    <row r="118" spans="1:23">
      <c r="E118" s="201"/>
      <c r="F118" s="16" t="s">
        <v>29</v>
      </c>
      <c r="G118" s="16" t="s">
        <v>29</v>
      </c>
      <c r="H118" s="16"/>
      <c r="I118" s="16"/>
      <c r="J118" s="16"/>
      <c r="K118" s="201"/>
      <c r="L118" s="16"/>
      <c r="M118" s="16"/>
      <c r="N118" s="16"/>
      <c r="O118" s="201"/>
      <c r="P118" s="16"/>
      <c r="Q118" s="16"/>
      <c r="R118" s="16"/>
      <c r="S118" s="201"/>
      <c r="T118" s="16"/>
      <c r="U118" s="16"/>
      <c r="V118" s="75"/>
    </row>
    <row r="119" spans="1:23">
      <c r="B119" s="3"/>
      <c r="C119" s="3"/>
      <c r="E119" s="201"/>
      <c r="F119" s="16"/>
      <c r="G119" s="16"/>
      <c r="H119" s="16"/>
      <c r="I119" s="16"/>
      <c r="J119" s="16"/>
      <c r="K119" s="201"/>
      <c r="L119" s="16"/>
      <c r="M119" s="16"/>
      <c r="N119" s="16"/>
      <c r="O119" s="201"/>
      <c r="P119" s="16"/>
      <c r="Q119" s="16"/>
      <c r="R119" s="16"/>
      <c r="S119" s="201"/>
      <c r="T119" s="16"/>
      <c r="U119" s="16"/>
      <c r="V119" s="75"/>
    </row>
    <row r="120" spans="1:23">
      <c r="A120" s="3" t="s">
        <v>34</v>
      </c>
      <c r="D120" s="157" t="s">
        <v>124</v>
      </c>
      <c r="E120" s="205"/>
      <c r="F120" s="4"/>
      <c r="G120" s="4"/>
      <c r="H120" s="4"/>
      <c r="I120" s="4"/>
      <c r="K120" s="205"/>
      <c r="L120" s="4"/>
      <c r="M120" s="4"/>
      <c r="N120" s="4"/>
      <c r="O120" s="201"/>
      <c r="P120" s="4"/>
      <c r="Q120" s="4"/>
      <c r="R120" s="4"/>
      <c r="S120" s="201"/>
      <c r="T120" s="16"/>
      <c r="W120" s="213"/>
    </row>
    <row r="121" spans="1:23">
      <c r="B121" s="200" t="s">
        <v>58</v>
      </c>
      <c r="C121" s="200"/>
      <c r="D121" s="68">
        <v>52</v>
      </c>
      <c r="E121" s="201">
        <f>SUMIFS('305 Inputs'!$F:$F,'305 Inputs'!$I:$I,$D121,'305 Inputs'!$C:$C,$D$120)</f>
        <v>31380.01</v>
      </c>
      <c r="F121" s="16">
        <f>E121/$E$127*$E$135</f>
        <v>2829.7244047079535</v>
      </c>
      <c r="G121" s="16">
        <f>-SUMIFS('WA SBC'!$R:$R,'WA SBC'!$B:$B,$D121,'WA SBC'!$A:$A,$D$120)+SUMIFS('WA Decoupling'!F:F,'WA Decoupling'!A:A,$D$120,'WA Decoupling'!B:B,$D121)</f>
        <v>-494.58004415133098</v>
      </c>
      <c r="H121" s="16">
        <f>-SUMIFS('305 Inputs'!$F:$F,'305 Inputs'!$I:$I,$D121,'305 Inputs'!$C:$C,$D$120,'305 Inputs'!$D:$D,"B")</f>
        <v>0</v>
      </c>
      <c r="I121" s="16">
        <v>0</v>
      </c>
      <c r="J121" s="16">
        <f>SUM(F121:I121)</f>
        <v>2335.1443605566224</v>
      </c>
      <c r="K121" s="201">
        <f t="shared" ref="K121:K126" si="84">E121+J121</f>
        <v>33715.154360556618</v>
      </c>
      <c r="L121" s="368">
        <v>2.35E-2</v>
      </c>
      <c r="M121" s="16">
        <f t="shared" ref="M121:M126" si="85">ROUND(K121*L121*(($Y$7-$Y$10)/($Y$7+$Y$10*L121)),0)</f>
        <v>160</v>
      </c>
      <c r="N121" s="16">
        <f t="shared" ref="N121:N126" si="86">SUM(M121:M121)</f>
        <v>160</v>
      </c>
      <c r="O121" s="201">
        <f t="shared" ref="O121:O126" si="87">N121+K121</f>
        <v>33875.154360556618</v>
      </c>
      <c r="P121" s="368">
        <v>0</v>
      </c>
      <c r="Q121" s="16">
        <f t="shared" ref="Q121:Q126" si="88">ROUND(O121*P121*($Y$17/$Y$14),0)</f>
        <v>0</v>
      </c>
      <c r="R121" s="16">
        <f t="shared" ref="R121:R126" si="89">SUM(Q121:Q121)</f>
        <v>0</v>
      </c>
      <c r="S121" s="201">
        <f t="shared" ref="S121:S126" si="90">R121+O121</f>
        <v>33875.154360556618</v>
      </c>
      <c r="T121" s="16"/>
      <c r="U121" s="16">
        <f t="shared" ref="U121:U126" si="91">J121+N121+R121</f>
        <v>2495.1443605566224</v>
      </c>
      <c r="V121" s="75">
        <f t="shared" ref="V121:V126" si="92">+E121+U121</f>
        <v>33875.154360556618</v>
      </c>
      <c r="W121" s="5"/>
    </row>
    <row r="122" spans="1:23">
      <c r="B122" s="200" t="s">
        <v>59</v>
      </c>
      <c r="C122" s="200"/>
      <c r="D122" s="68" t="s">
        <v>146</v>
      </c>
      <c r="E122" s="201">
        <f>SUMIFS('305 Inputs'!$F:$F,'305 Inputs'!$I:$I,$D122,'305 Inputs'!$C:$C,$D$120)</f>
        <v>237050.68</v>
      </c>
      <c r="F122" s="188">
        <f t="shared" ref="F122:F126" si="93">E122/$E$127*$E$135</f>
        <v>21376.286825549629</v>
      </c>
      <c r="G122" s="16">
        <f>-SUMIFS('WA SBC'!$R:$R,'WA SBC'!$B:$B,$D122,'WA SBC'!$A:$A,$D$120)+SUMIFS('WA Decoupling'!F:F,'WA Decoupling'!A:A,$D$120,'WA Decoupling'!B:B,$D122)</f>
        <v>-13269.587425697649</v>
      </c>
      <c r="H122" s="16">
        <f>-SUMIFS('305 Inputs'!$F:$F,'305 Inputs'!$I:$I,$D122,'305 Inputs'!$C:$C,$D$120,'305 Inputs'!$D:$D,"B")</f>
        <v>0</v>
      </c>
      <c r="I122" s="16">
        <v>0</v>
      </c>
      <c r="J122" s="16">
        <f t="shared" ref="J122:J125" si="94">SUM(F122:I122)</f>
        <v>8106.6993998519793</v>
      </c>
      <c r="K122" s="201">
        <f t="shared" si="84"/>
        <v>245157.37939985198</v>
      </c>
      <c r="L122" s="368">
        <v>2.35E-2</v>
      </c>
      <c r="M122" s="16">
        <f t="shared" si="85"/>
        <v>1165</v>
      </c>
      <c r="N122" s="16">
        <f t="shared" si="86"/>
        <v>1165</v>
      </c>
      <c r="O122" s="201">
        <f t="shared" si="87"/>
        <v>246322.37939985198</v>
      </c>
      <c r="P122" s="368">
        <v>0</v>
      </c>
      <c r="Q122" s="16">
        <f t="shared" si="88"/>
        <v>0</v>
      </c>
      <c r="R122" s="16">
        <f t="shared" si="89"/>
        <v>0</v>
      </c>
      <c r="S122" s="201">
        <f t="shared" si="90"/>
        <v>246322.37939985198</v>
      </c>
      <c r="T122" s="16"/>
      <c r="U122" s="16">
        <f t="shared" si="91"/>
        <v>9271.6993998519793</v>
      </c>
      <c r="V122" s="75">
        <f t="shared" si="92"/>
        <v>246322.37939985198</v>
      </c>
      <c r="W122" s="5"/>
    </row>
    <row r="123" spans="1:23">
      <c r="B123" s="200" t="s">
        <v>60</v>
      </c>
      <c r="C123" s="200"/>
      <c r="D123" s="68" t="s">
        <v>147</v>
      </c>
      <c r="E123" s="201">
        <f>SUMIFS('305 Inputs'!$F:$F,'305 Inputs'!$I:$I,$D123,'305 Inputs'!$C:$C,$D$120)</f>
        <v>60523.53</v>
      </c>
      <c r="F123" s="188">
        <f t="shared" si="93"/>
        <v>5457.7710427776783</v>
      </c>
      <c r="G123" s="16">
        <f>-SUMIFS('WA SBC'!$R:$R,'WA SBC'!$B:$B,$D123,'WA SBC'!$A:$A,$D$120)+SUMIFS('WA Decoupling'!F:F,'WA Decoupling'!A:A,$D$120,'WA Decoupling'!B:B,$D123)</f>
        <v>0</v>
      </c>
      <c r="H123" s="16">
        <f>-SUMIFS('305 Inputs'!$F:$F,'305 Inputs'!$I:$I,$D123,'305 Inputs'!$C:$C,$D$120,'305 Inputs'!$D:$D,"B")</f>
        <v>0</v>
      </c>
      <c r="I123" s="16">
        <v>0</v>
      </c>
      <c r="J123" s="16">
        <f t="shared" si="94"/>
        <v>5457.7710427776783</v>
      </c>
      <c r="K123" s="201">
        <f t="shared" si="84"/>
        <v>65981.301042777675</v>
      </c>
      <c r="L123" s="368">
        <f>$L$122</f>
        <v>2.35E-2</v>
      </c>
      <c r="M123" s="16">
        <f t="shared" si="85"/>
        <v>314</v>
      </c>
      <c r="N123" s="16">
        <f t="shared" si="86"/>
        <v>314</v>
      </c>
      <c r="O123" s="201">
        <f t="shared" si="87"/>
        <v>66295.301042777675</v>
      </c>
      <c r="P123" s="368">
        <f>$P$122</f>
        <v>0</v>
      </c>
      <c r="Q123" s="16">
        <f t="shared" si="88"/>
        <v>0</v>
      </c>
      <c r="R123" s="16">
        <f t="shared" si="89"/>
        <v>0</v>
      </c>
      <c r="S123" s="201">
        <f t="shared" si="90"/>
        <v>66295.301042777675</v>
      </c>
      <c r="T123" s="16"/>
      <c r="U123" s="16">
        <f t="shared" si="91"/>
        <v>5771.7710427776783</v>
      </c>
      <c r="V123" s="75">
        <f t="shared" si="92"/>
        <v>66295.301042777675</v>
      </c>
      <c r="W123" s="5"/>
    </row>
    <row r="124" spans="1:23">
      <c r="B124" s="200" t="s">
        <v>61</v>
      </c>
      <c r="C124" s="200"/>
      <c r="D124" s="68">
        <v>51</v>
      </c>
      <c r="E124" s="201">
        <f>SUMIFS('305 Inputs'!$F:$F,'305 Inputs'!$I:$I,$D124,'305 Inputs'!$C:$C,$D$120)</f>
        <v>821077.89</v>
      </c>
      <c r="F124" s="188">
        <f t="shared" si="93"/>
        <v>74041.536108468819</v>
      </c>
      <c r="G124" s="16">
        <f>-SUMIFS('WA SBC'!$R:$R,'WA SBC'!$B:$B,$D124,'WA SBC'!$A:$A,$D$120)+SUMIFS('WA Decoupling'!F:F,'WA Decoupling'!A:A,$D$120,'WA Decoupling'!B:B,$D124)</f>
        <v>-12987.552753463862</v>
      </c>
      <c r="H124" s="16">
        <f>-SUMIFS('305 Inputs'!$F:$F,'305 Inputs'!$I:$I,$D124,'305 Inputs'!$C:$C,$D$120,'305 Inputs'!$D:$D,"B")</f>
        <v>0</v>
      </c>
      <c r="I124" s="16">
        <v>0</v>
      </c>
      <c r="J124" s="16">
        <f t="shared" si="94"/>
        <v>61053.983355004959</v>
      </c>
      <c r="K124" s="201">
        <f t="shared" si="84"/>
        <v>882131.87335500494</v>
      </c>
      <c r="L124" s="368">
        <v>2.3300000000000001E-2</v>
      </c>
      <c r="M124" s="16">
        <f t="shared" si="85"/>
        <v>4158</v>
      </c>
      <c r="N124" s="16">
        <f t="shared" si="86"/>
        <v>4158</v>
      </c>
      <c r="O124" s="201">
        <f t="shared" si="87"/>
        <v>886289.87335500494</v>
      </c>
      <c r="P124" s="368">
        <v>0</v>
      </c>
      <c r="Q124" s="16">
        <f t="shared" si="88"/>
        <v>0</v>
      </c>
      <c r="R124" s="16">
        <f t="shared" si="89"/>
        <v>0</v>
      </c>
      <c r="S124" s="201">
        <f t="shared" si="90"/>
        <v>886289.87335500494</v>
      </c>
      <c r="T124" s="16"/>
      <c r="U124" s="16">
        <f t="shared" si="91"/>
        <v>65211.983355004959</v>
      </c>
      <c r="V124" s="75">
        <f t="shared" si="92"/>
        <v>886289.87335500494</v>
      </c>
      <c r="W124" s="5"/>
    </row>
    <row r="125" spans="1:23" s="6" customFormat="1">
      <c r="B125" s="200" t="s">
        <v>62</v>
      </c>
      <c r="C125" s="200"/>
      <c r="D125" s="68">
        <v>57</v>
      </c>
      <c r="E125" s="201">
        <f>SUMIFS('305 Inputs'!$F:$F,'305 Inputs'!$I:$I,$D125,'305 Inputs'!$C:$C,$D$120)</f>
        <v>213876.04</v>
      </c>
      <c r="F125" s="188">
        <f t="shared" si="93"/>
        <v>19286.490028852586</v>
      </c>
      <c r="G125" s="16">
        <f>-SUMIFS('WA SBC'!$R:$R,'WA SBC'!$B:$B,$D125,'WA SBC'!$A:$A,$D$120)+SUMIFS('WA Decoupling'!F:F,'WA Decoupling'!A:A,$D$120,'WA Decoupling'!B:B,$D125)</f>
        <v>-5430.7737295874504</v>
      </c>
      <c r="H125" s="16">
        <f>-SUMIFS('305 Inputs'!$F:$F,'305 Inputs'!$I:$I,$D125,'305 Inputs'!$C:$C,$D$120,'305 Inputs'!$D:$D,"B")</f>
        <v>0</v>
      </c>
      <c r="I125" s="16">
        <v>0</v>
      </c>
      <c r="J125" s="16">
        <f t="shared" si="94"/>
        <v>13855.716299265136</v>
      </c>
      <c r="K125" s="201">
        <f t="shared" si="84"/>
        <v>227731.75629926514</v>
      </c>
      <c r="L125" s="368">
        <v>2.3300000000000001E-2</v>
      </c>
      <c r="M125" s="16">
        <f t="shared" si="85"/>
        <v>1073</v>
      </c>
      <c r="N125" s="16">
        <f t="shared" si="86"/>
        <v>1073</v>
      </c>
      <c r="O125" s="201">
        <f t="shared" si="87"/>
        <v>228804.75629926514</v>
      </c>
      <c r="P125" s="368">
        <v>0</v>
      </c>
      <c r="Q125" s="16">
        <f t="shared" si="88"/>
        <v>0</v>
      </c>
      <c r="R125" s="16">
        <f t="shared" si="89"/>
        <v>0</v>
      </c>
      <c r="S125" s="201">
        <f t="shared" si="90"/>
        <v>228804.75629926514</v>
      </c>
      <c r="T125" s="16"/>
      <c r="U125" s="16">
        <f t="shared" si="91"/>
        <v>14928.716299265136</v>
      </c>
      <c r="V125" s="75">
        <f t="shared" si="92"/>
        <v>228804.75629926514</v>
      </c>
      <c r="W125" s="7"/>
    </row>
    <row r="126" spans="1:23" s="6" customFormat="1">
      <c r="B126" s="200" t="s">
        <v>238</v>
      </c>
      <c r="C126" s="200"/>
      <c r="D126" s="68">
        <v>12</v>
      </c>
      <c r="E126" s="202">
        <f>SUMIFS('305 Inputs'!$F:$F,'305 Inputs'!$I:$I,$D126,'305 Inputs'!$C:$C,$D$120)</f>
        <v>90.84</v>
      </c>
      <c r="F126" s="188">
        <f t="shared" si="93"/>
        <v>8.1915896433325077</v>
      </c>
      <c r="G126" s="188">
        <f>-SUMIFS('WA SBC'!$R:$R,'WA SBC'!$B:$B,$D126,'WA SBC'!$A:$A,$D$120)+SUMIFS('WA Decoupling'!F:F,'WA Decoupling'!A:A,$D$120,'WA Decoupling'!B:B,$D126)</f>
        <v>0</v>
      </c>
      <c r="H126" s="188">
        <f>-SUMIFS('305 Inputs'!$F:$F,'305 Inputs'!$I:$I,$D126,'305 Inputs'!$C:$C,$D$120,'305 Inputs'!$D:$D,"B")</f>
        <v>0</v>
      </c>
      <c r="I126" s="188">
        <v>0</v>
      </c>
      <c r="J126" s="188">
        <f>SUM(F126:I126)</f>
        <v>8.1915896433325077</v>
      </c>
      <c r="K126" s="202">
        <f t="shared" si="84"/>
        <v>99.031589643332509</v>
      </c>
      <c r="L126" s="369">
        <v>0</v>
      </c>
      <c r="M126" s="188">
        <f t="shared" si="85"/>
        <v>0</v>
      </c>
      <c r="N126" s="188">
        <f t="shared" si="86"/>
        <v>0</v>
      </c>
      <c r="O126" s="202">
        <f t="shared" si="87"/>
        <v>99.031589643332509</v>
      </c>
      <c r="P126" s="369">
        <v>0</v>
      </c>
      <c r="Q126" s="188">
        <f t="shared" si="88"/>
        <v>0</v>
      </c>
      <c r="R126" s="188">
        <f t="shared" si="89"/>
        <v>0</v>
      </c>
      <c r="S126" s="202">
        <f t="shared" si="90"/>
        <v>99.031589643332509</v>
      </c>
      <c r="T126" s="188"/>
      <c r="U126" s="188">
        <f t="shared" si="91"/>
        <v>8.1915896433325077</v>
      </c>
      <c r="V126" s="370">
        <f t="shared" si="92"/>
        <v>99.031589643332509</v>
      </c>
      <c r="W126" s="7"/>
    </row>
    <row r="127" spans="1:23">
      <c r="B127" s="2" t="s">
        <v>65</v>
      </c>
      <c r="E127" s="201">
        <f>SUM(E121:E126)</f>
        <v>1363998.99</v>
      </c>
      <c r="F127" s="16">
        <f>SUM(F121:F126)</f>
        <v>123000</v>
      </c>
      <c r="G127" s="16">
        <f>SUM(G121:G126)</f>
        <v>-32182.493952900291</v>
      </c>
      <c r="H127" s="16">
        <f>SUM(H121:H126)</f>
        <v>0</v>
      </c>
      <c r="I127" s="16">
        <f>SUM(I121:I125)</f>
        <v>0</v>
      </c>
      <c r="J127" s="16">
        <f>SUM(J121:J125)</f>
        <v>90809.314457456378</v>
      </c>
      <c r="K127" s="201">
        <f>SUM(K121:K126)</f>
        <v>1454816.4960470998</v>
      </c>
      <c r="L127" s="368"/>
      <c r="M127" s="16">
        <f>SUM(M121:M126)</f>
        <v>6870</v>
      </c>
      <c r="N127" s="16">
        <f>SUM(N121:N126)</f>
        <v>6870</v>
      </c>
      <c r="O127" s="201">
        <f>SUM(O121:O126)</f>
        <v>1461686.4960470998</v>
      </c>
      <c r="P127" s="368"/>
      <c r="Q127" s="16">
        <f>SUM(Q121:Q126)</f>
        <v>0</v>
      </c>
      <c r="R127" s="16">
        <f>SUM(R121:R126)</f>
        <v>0</v>
      </c>
      <c r="S127" s="201">
        <f>SUM(S121:S126)</f>
        <v>1461686.4960470998</v>
      </c>
      <c r="T127" s="16"/>
      <c r="U127" s="16">
        <f>SUM(U121:U126)</f>
        <v>97687.506047099712</v>
      </c>
      <c r="V127" s="16">
        <f>SUM(V121:V126)</f>
        <v>1461686.4960470998</v>
      </c>
      <c r="W127" s="5"/>
    </row>
    <row r="128" spans="1:23">
      <c r="E128" s="201"/>
      <c r="F128" s="16"/>
      <c r="G128" s="16"/>
      <c r="H128" s="16"/>
      <c r="I128" s="16"/>
      <c r="J128" s="16"/>
      <c r="K128" s="201"/>
      <c r="L128" s="368"/>
      <c r="M128" s="16"/>
      <c r="N128" s="16"/>
      <c r="O128" s="201"/>
      <c r="P128" s="368"/>
      <c r="Q128" s="16"/>
      <c r="R128" s="16"/>
      <c r="S128" s="201"/>
      <c r="T128" s="16"/>
      <c r="U128" s="16"/>
      <c r="V128" s="16"/>
      <c r="W128" s="5"/>
    </row>
    <row r="129" spans="1:23">
      <c r="B129" s="200" t="s">
        <v>32</v>
      </c>
      <c r="C129" s="200"/>
      <c r="D129" s="68" t="s">
        <v>138</v>
      </c>
      <c r="E129" s="202">
        <f>SUMIFS('305 Inputs'!$F:$F,'305 Inputs'!$I:$I,$D129,'305 Inputs'!$C:$C,$D$120)</f>
        <v>0</v>
      </c>
      <c r="F129" s="188">
        <v>0</v>
      </c>
      <c r="G129" s="188">
        <v>0</v>
      </c>
      <c r="H129" s="188">
        <v>0</v>
      </c>
      <c r="I129" s="188">
        <v>0</v>
      </c>
      <c r="J129" s="188">
        <f>SUM(F129:I129)</f>
        <v>0</v>
      </c>
      <c r="K129" s="202">
        <f>E129+J129</f>
        <v>0</v>
      </c>
      <c r="L129" s="369">
        <v>0</v>
      </c>
      <c r="M129" s="188">
        <v>0</v>
      </c>
      <c r="N129" s="188">
        <f>SUM(M129:M129)</f>
        <v>0</v>
      </c>
      <c r="O129" s="202">
        <f>N129+K129</f>
        <v>0</v>
      </c>
      <c r="P129" s="369">
        <v>0</v>
      </c>
      <c r="Q129" s="188">
        <v>0</v>
      </c>
      <c r="R129" s="188">
        <f>SUM(Q129:Q129)</f>
        <v>0</v>
      </c>
      <c r="S129" s="202">
        <f>R129+O129</f>
        <v>0</v>
      </c>
      <c r="T129" s="188"/>
      <c r="U129" s="188">
        <f>J129+N129+R129</f>
        <v>0</v>
      </c>
      <c r="V129" s="370">
        <f>+E129+U129</f>
        <v>0</v>
      </c>
      <c r="W129" s="213"/>
    </row>
    <row r="130" spans="1:23">
      <c r="B130" s="200"/>
      <c r="C130" s="200"/>
      <c r="E130" s="201"/>
      <c r="F130" s="188"/>
      <c r="G130" s="188"/>
      <c r="H130" s="188"/>
      <c r="I130" s="188"/>
      <c r="J130" s="188"/>
      <c r="K130" s="202"/>
      <c r="L130" s="369"/>
      <c r="M130" s="188"/>
      <c r="N130" s="188"/>
      <c r="O130" s="202"/>
      <c r="P130" s="369"/>
      <c r="Q130" s="188"/>
      <c r="R130" s="188"/>
      <c r="S130" s="202"/>
      <c r="T130" s="188"/>
      <c r="U130" s="188"/>
      <c r="V130" s="370"/>
      <c r="W130" s="213"/>
    </row>
    <row r="131" spans="1:23">
      <c r="B131" s="2" t="s">
        <v>235</v>
      </c>
      <c r="D131" s="68" t="s">
        <v>203</v>
      </c>
      <c r="E131" s="202">
        <f>SUMIFS('305 Inputs'!$F:$F,'305 Inputs'!$I:$I,$D131,'305 Inputs'!$C:$C,$D$120)</f>
        <v>-75451.87</v>
      </c>
      <c r="F131" s="188">
        <v>0</v>
      </c>
      <c r="G131" s="188">
        <f>-E131</f>
        <v>75451.87</v>
      </c>
      <c r="H131" s="188">
        <v>0</v>
      </c>
      <c r="I131" s="188">
        <v>0</v>
      </c>
      <c r="J131" s="188">
        <f t="shared" ref="J131:J135" si="95">SUM(F131:I131)</f>
        <v>75451.87</v>
      </c>
      <c r="K131" s="202">
        <f>E131+J131</f>
        <v>0</v>
      </c>
      <c r="L131" s="369">
        <v>0</v>
      </c>
      <c r="M131" s="188">
        <v>0</v>
      </c>
      <c r="N131" s="188">
        <f>SUM(M131:M131)</f>
        <v>0</v>
      </c>
      <c r="O131" s="202">
        <f>N131+K131</f>
        <v>0</v>
      </c>
      <c r="P131" s="369">
        <v>0</v>
      </c>
      <c r="Q131" s="188">
        <v>0</v>
      </c>
      <c r="R131" s="188">
        <f>SUM(Q131:Q131)</f>
        <v>0</v>
      </c>
      <c r="S131" s="202">
        <f>R131+O131</f>
        <v>0</v>
      </c>
      <c r="T131" s="188"/>
      <c r="U131" s="188">
        <f>J131+N131+R131</f>
        <v>75451.87</v>
      </c>
      <c r="V131" s="370">
        <f>+E131+U131</f>
        <v>0</v>
      </c>
      <c r="W131" s="213"/>
    </row>
    <row r="132" spans="1:23" s="6" customFormat="1">
      <c r="B132" s="2" t="s">
        <v>281</v>
      </c>
      <c r="C132" s="2"/>
      <c r="D132" s="68" t="s">
        <v>274</v>
      </c>
      <c r="E132" s="202">
        <f>SUMIFS('305 Inputs'!$F:$F,'305 Inputs'!$I:$I,$D132,'305 Inputs'!$C:$C,$D$120)</f>
        <v>26679.19</v>
      </c>
      <c r="F132" s="188">
        <v>0</v>
      </c>
      <c r="G132" s="188">
        <f>-E132</f>
        <v>-26679.19</v>
      </c>
      <c r="H132" s="188">
        <v>0</v>
      </c>
      <c r="I132" s="188">
        <v>0</v>
      </c>
      <c r="J132" s="188">
        <f t="shared" si="95"/>
        <v>-26679.19</v>
      </c>
      <c r="K132" s="202">
        <f>E132+J132</f>
        <v>0</v>
      </c>
      <c r="L132" s="369">
        <v>0</v>
      </c>
      <c r="M132" s="188">
        <v>0</v>
      </c>
      <c r="N132" s="188">
        <f>SUM(M132:M132)</f>
        <v>0</v>
      </c>
      <c r="O132" s="202">
        <f>N132+K132</f>
        <v>0</v>
      </c>
      <c r="P132" s="369">
        <v>0</v>
      </c>
      <c r="Q132" s="188">
        <v>0</v>
      </c>
      <c r="R132" s="188">
        <f>SUM(Q132:Q132)</f>
        <v>0</v>
      </c>
      <c r="S132" s="202">
        <f>R132+O132</f>
        <v>0</v>
      </c>
      <c r="T132" s="188"/>
      <c r="U132" s="188">
        <f>J132+N132+R132</f>
        <v>-26679.19</v>
      </c>
      <c r="V132" s="370">
        <f>+E132+U132</f>
        <v>0</v>
      </c>
      <c r="W132" s="7"/>
    </row>
    <row r="133" spans="1:23" s="6" customFormat="1">
      <c r="B133" s="2" t="s">
        <v>423</v>
      </c>
      <c r="C133" s="2"/>
      <c r="D133" s="68" t="s">
        <v>424</v>
      </c>
      <c r="E133" s="202">
        <f>SUMIFS('305 Inputs'!$F:$F,'305 Inputs'!$I:$I,$D133,'305 Inputs'!$C:$C,$D$120)</f>
        <v>-23884.2</v>
      </c>
      <c r="F133" s="188">
        <v>0</v>
      </c>
      <c r="G133" s="188">
        <f t="shared" ref="G133" si="96">-E133</f>
        <v>23884.2</v>
      </c>
      <c r="H133" s="188">
        <v>0</v>
      </c>
      <c r="I133" s="188">
        <v>0</v>
      </c>
      <c r="J133" s="188">
        <f t="shared" si="95"/>
        <v>23884.2</v>
      </c>
      <c r="K133" s="202">
        <f>E133+J133</f>
        <v>0</v>
      </c>
      <c r="L133" s="369">
        <v>0</v>
      </c>
      <c r="M133" s="188">
        <v>0</v>
      </c>
      <c r="N133" s="188">
        <f>SUM(M133:M133)</f>
        <v>0</v>
      </c>
      <c r="O133" s="202">
        <f>N133+K133</f>
        <v>0</v>
      </c>
      <c r="P133" s="369"/>
      <c r="Q133" s="188"/>
      <c r="R133" s="188"/>
      <c r="S133" s="202">
        <f>R133+O133</f>
        <v>0</v>
      </c>
      <c r="T133" s="188"/>
      <c r="U133" s="188">
        <f>J133+N133+R133</f>
        <v>23884.2</v>
      </c>
      <c r="V133" s="370">
        <f>+E133+U133</f>
        <v>0</v>
      </c>
      <c r="W133" s="7"/>
    </row>
    <row r="134" spans="1:23" s="6" customFormat="1">
      <c r="B134" s="2"/>
      <c r="C134" s="2"/>
      <c r="D134" s="68"/>
      <c r="E134" s="202"/>
      <c r="F134" s="188"/>
      <c r="G134" s="188"/>
      <c r="H134" s="188"/>
      <c r="I134" s="188"/>
      <c r="J134" s="188"/>
      <c r="K134" s="202"/>
      <c r="L134" s="369"/>
      <c r="M134" s="188"/>
      <c r="N134" s="188"/>
      <c r="O134" s="202"/>
      <c r="P134" s="369"/>
      <c r="Q134" s="188"/>
      <c r="R134" s="188"/>
      <c r="S134" s="202"/>
      <c r="T134" s="188"/>
      <c r="U134" s="188"/>
      <c r="V134" s="370"/>
      <c r="W134" s="7"/>
    </row>
    <row r="135" spans="1:23" s="6" customFormat="1">
      <c r="B135" s="2" t="s">
        <v>73</v>
      </c>
      <c r="C135" s="2"/>
      <c r="D135" s="68" t="s">
        <v>141</v>
      </c>
      <c r="E135" s="202">
        <f>SUMIFS('305 Inputs'!$F:$F,'305 Inputs'!$I:$I,$D135,'305 Inputs'!$C:$C,$D$120)</f>
        <v>123000</v>
      </c>
      <c r="F135" s="188">
        <f>-E135</f>
        <v>-123000</v>
      </c>
      <c r="G135" s="188">
        <v>0</v>
      </c>
      <c r="H135" s="188">
        <v>0</v>
      </c>
      <c r="I135" s="188">
        <v>0</v>
      </c>
      <c r="J135" s="188">
        <f t="shared" si="95"/>
        <v>-123000</v>
      </c>
      <c r="K135" s="202">
        <f>E135+J135</f>
        <v>0</v>
      </c>
      <c r="L135" s="369">
        <v>0</v>
      </c>
      <c r="M135" s="188">
        <v>0</v>
      </c>
      <c r="N135" s="188">
        <f>SUM(M135:M135)</f>
        <v>0</v>
      </c>
      <c r="O135" s="202">
        <f>N135+K135</f>
        <v>0</v>
      </c>
      <c r="P135" s="369">
        <v>0</v>
      </c>
      <c r="Q135" s="188">
        <v>0</v>
      </c>
      <c r="R135" s="188">
        <f>SUM(Q135:Q135)</f>
        <v>0</v>
      </c>
      <c r="S135" s="202">
        <f>R135+O135</f>
        <v>0</v>
      </c>
      <c r="T135" s="188"/>
      <c r="U135" s="188">
        <f>J135+N135+R135</f>
        <v>-123000</v>
      </c>
      <c r="V135" s="370">
        <f>+E135+U135</f>
        <v>0</v>
      </c>
      <c r="W135" s="7"/>
    </row>
    <row r="136" spans="1:23" s="6" customFormat="1">
      <c r="A136" s="2"/>
      <c r="D136" s="68"/>
      <c r="E136" s="202"/>
      <c r="F136" s="188"/>
      <c r="G136" s="188"/>
      <c r="H136" s="188"/>
      <c r="I136" s="188"/>
      <c r="J136" s="188"/>
      <c r="K136" s="202"/>
      <c r="L136" s="188"/>
      <c r="M136" s="188"/>
      <c r="N136" s="188"/>
      <c r="O136" s="202"/>
      <c r="P136" s="188"/>
      <c r="Q136" s="188"/>
      <c r="R136" s="188"/>
      <c r="S136" s="202"/>
      <c r="T136" s="188"/>
      <c r="U136" s="188"/>
      <c r="V136" s="188"/>
      <c r="W136" s="7"/>
    </row>
    <row r="137" spans="1:23">
      <c r="B137" s="18" t="s">
        <v>8</v>
      </c>
      <c r="C137" s="19"/>
      <c r="D137" s="331"/>
      <c r="E137" s="203">
        <f t="shared" ref="E137:K137" si="97">E127+E129+SUM(E131:E135)</f>
        <v>1414342.11</v>
      </c>
      <c r="F137" s="193">
        <f t="shared" ref="F137" si="98">F127+F129+SUM(F131:F135)</f>
        <v>0</v>
      </c>
      <c r="G137" s="193">
        <f t="shared" si="97"/>
        <v>40474.386047099702</v>
      </c>
      <c r="H137" s="193">
        <f t="shared" si="97"/>
        <v>0</v>
      </c>
      <c r="I137" s="193">
        <f t="shared" si="97"/>
        <v>0</v>
      </c>
      <c r="J137" s="193">
        <f t="shared" si="97"/>
        <v>40466.194457456368</v>
      </c>
      <c r="K137" s="203">
        <f t="shared" si="97"/>
        <v>1454816.4960470998</v>
      </c>
      <c r="L137" s="193" t="s">
        <v>29</v>
      </c>
      <c r="M137" s="193">
        <f>M127+M129+SUM(M131:M135)</f>
        <v>6870</v>
      </c>
      <c r="N137" s="193">
        <f>N127+N129+SUM(N131:N135)</f>
        <v>6870</v>
      </c>
      <c r="O137" s="203">
        <f>O127+O129+SUM(O131:O135)</f>
        <v>1461686.4960470998</v>
      </c>
      <c r="P137" s="193" t="s">
        <v>29</v>
      </c>
      <c r="Q137" s="193">
        <f>Q127+Q129+SUM(Q131:Q135)</f>
        <v>0</v>
      </c>
      <c r="R137" s="193">
        <f>R127+R129+SUM(R131:R135)</f>
        <v>0</v>
      </c>
      <c r="S137" s="203">
        <f>S127+S129+SUM(S131:S135)</f>
        <v>1461686.4960470998</v>
      </c>
      <c r="T137" s="193"/>
      <c r="U137" s="193">
        <f>U127+U129+SUM(U131:U135)</f>
        <v>47344.386047099702</v>
      </c>
      <c r="V137" s="193">
        <f>V127+V129+SUM(V131:V135)</f>
        <v>1461686.4960470998</v>
      </c>
      <c r="W137" s="5"/>
    </row>
    <row r="138" spans="1:23">
      <c r="E138" s="201"/>
      <c r="F138" s="16"/>
      <c r="G138" s="16"/>
      <c r="H138" s="16"/>
      <c r="I138" s="16"/>
      <c r="J138" s="16"/>
      <c r="K138" s="205"/>
      <c r="L138" s="4"/>
      <c r="M138" s="4"/>
      <c r="N138" s="4" t="s">
        <v>29</v>
      </c>
      <c r="O138" s="201"/>
      <c r="P138" s="4"/>
      <c r="Q138" s="4"/>
      <c r="R138" s="4" t="s">
        <v>29</v>
      </c>
      <c r="S138" s="201"/>
      <c r="T138" s="16"/>
      <c r="U138" s="16"/>
      <c r="V138" s="75"/>
    </row>
    <row r="139" spans="1:23" ht="16.2" thickBot="1">
      <c r="E139" s="201"/>
      <c r="F139" s="16"/>
      <c r="G139" s="16"/>
      <c r="H139" s="16"/>
      <c r="I139" s="206"/>
      <c r="J139" s="16"/>
      <c r="K139" s="205"/>
      <c r="L139" s="4"/>
      <c r="M139" s="4"/>
      <c r="N139" s="4"/>
      <c r="O139" s="201"/>
      <c r="P139" s="4"/>
      <c r="Q139" s="4"/>
      <c r="R139" s="4"/>
      <c r="S139" s="201"/>
      <c r="T139" s="16"/>
      <c r="U139" s="16"/>
      <c r="V139" s="75"/>
    </row>
    <row r="140" spans="1:23" s="8" customFormat="1" ht="16.8" thickTop="1" thickBot="1">
      <c r="A140" s="2"/>
      <c r="B140" s="22" t="s">
        <v>154</v>
      </c>
      <c r="C140" s="333"/>
      <c r="D140" s="332"/>
      <c r="E140" s="207">
        <f t="shared" ref="E140:K140" si="99">E36+E65+E96+E117+E137</f>
        <v>320750613.12000006</v>
      </c>
      <c r="F140" s="196">
        <f t="shared" ref="F140" si="100">F36+F65+F96+F117+F137</f>
        <v>0</v>
      </c>
      <c r="G140" s="196">
        <f t="shared" si="99"/>
        <v>10750247.09115031</v>
      </c>
      <c r="H140" s="196">
        <f t="shared" si="99"/>
        <v>13763696.41</v>
      </c>
      <c r="I140" s="196">
        <f t="shared" si="99"/>
        <v>0</v>
      </c>
      <c r="J140" s="196">
        <f t="shared" si="99"/>
        <v>24513935.309560664</v>
      </c>
      <c r="K140" s="207">
        <f t="shared" si="99"/>
        <v>345264556.62115031</v>
      </c>
      <c r="L140" s="196"/>
      <c r="M140" s="196">
        <f>M36+M65+M96+M117+M137</f>
        <v>1637837</v>
      </c>
      <c r="N140" s="196">
        <f>N36+N65+N96+N117+N137</f>
        <v>1637837</v>
      </c>
      <c r="O140" s="207">
        <f>O36+O65+O96+O117+O137</f>
        <v>346902393.62115031</v>
      </c>
      <c r="P140" s="196"/>
      <c r="Q140" s="196">
        <f>Q36+Q65+Q96+Q117+Q137</f>
        <v>0</v>
      </c>
      <c r="R140" s="196">
        <f>R36+R65+R96+R117+R137</f>
        <v>0</v>
      </c>
      <c r="S140" s="207">
        <f>S36+S65+S96+S117+S137</f>
        <v>346902393.62115031</v>
      </c>
      <c r="T140" s="196"/>
      <c r="U140" s="196">
        <f>U36+U65+U96+U117+U137</f>
        <v>26151780.501150306</v>
      </c>
      <c r="V140" s="196">
        <f>V36+V65+V96+V117+V137</f>
        <v>346902393.62115031</v>
      </c>
      <c r="W140" s="11"/>
    </row>
    <row r="141" spans="1:23" ht="16.2" thickTop="1">
      <c r="E141" s="4"/>
      <c r="F141" s="287" t="s">
        <v>29</v>
      </c>
      <c r="G141" s="287" t="s">
        <v>29</v>
      </c>
      <c r="H141" s="16"/>
      <c r="I141" s="4" t="s">
        <v>29</v>
      </c>
      <c r="J141" s="4"/>
      <c r="K141" s="16" t="s">
        <v>29</v>
      </c>
      <c r="N141" s="16"/>
      <c r="O141" s="17" t="s">
        <v>29</v>
      </c>
      <c r="P141" s="17"/>
      <c r="Q141" s="17"/>
      <c r="R141" s="17"/>
      <c r="S141" s="17"/>
      <c r="T141" s="17"/>
      <c r="U141" s="4"/>
      <c r="V141" s="5"/>
    </row>
    <row r="142" spans="1:23" ht="19.5" customHeight="1">
      <c r="E142" s="157" t="s">
        <v>440</v>
      </c>
      <c r="F142" s="337"/>
      <c r="G142" s="337"/>
      <c r="H142" s="337"/>
      <c r="I142" s="337"/>
      <c r="J142" s="337"/>
      <c r="K142" s="337"/>
      <c r="L142" s="337"/>
      <c r="M142" s="336"/>
      <c r="N142" s="337"/>
      <c r="O142" s="337"/>
      <c r="P142" s="337"/>
      <c r="Q142" s="337"/>
      <c r="R142" s="337"/>
      <c r="S142" s="337"/>
      <c r="T142" s="337"/>
      <c r="U142" s="75"/>
    </row>
    <row r="143" spans="1:23" ht="19.5" customHeight="1">
      <c r="E143" s="157" t="s">
        <v>444</v>
      </c>
      <c r="F143" s="337"/>
      <c r="G143" s="337"/>
      <c r="H143" s="337"/>
      <c r="I143" s="337"/>
      <c r="J143" s="337"/>
      <c r="K143" s="337"/>
      <c r="L143" s="337"/>
      <c r="M143" s="337"/>
      <c r="N143" s="337"/>
      <c r="O143" s="337"/>
      <c r="P143" s="337"/>
      <c r="Q143" s="337"/>
      <c r="R143" s="337"/>
      <c r="S143" s="337"/>
      <c r="T143" s="337"/>
      <c r="U143" s="75"/>
    </row>
    <row r="144" spans="1:23" ht="18.600000000000001">
      <c r="E144" s="26" t="s">
        <v>441</v>
      </c>
      <c r="L144" s="26"/>
      <c r="M144" s="26"/>
    </row>
    <row r="145" spans="5:11" ht="18.600000000000001">
      <c r="E145" s="26" t="s">
        <v>29</v>
      </c>
      <c r="F145" s="183"/>
      <c r="G145" s="183"/>
      <c r="H145" s="183"/>
      <c r="J145" s="75"/>
    </row>
    <row r="146" spans="5:11">
      <c r="F146" s="183"/>
      <c r="G146" s="183"/>
      <c r="H146" s="214"/>
    </row>
    <row r="147" spans="5:11">
      <c r="E147" s="215"/>
      <c r="F147" s="183" t="s">
        <v>169</v>
      </c>
      <c r="G147" s="183" t="s">
        <v>169</v>
      </c>
      <c r="H147" s="75">
        <f>-'WA SBC'!R50</f>
        <v>-13667004.709280584</v>
      </c>
    </row>
    <row r="148" spans="5:11">
      <c r="F148" s="216" t="s">
        <v>248</v>
      </c>
      <c r="G148" s="216" t="s">
        <v>248</v>
      </c>
      <c r="H148" s="75">
        <f>G27+G56+G87+G107+G131</f>
        <v>26509738.129999999</v>
      </c>
    </row>
    <row r="149" spans="5:11">
      <c r="F149" s="216" t="s">
        <v>249</v>
      </c>
      <c r="G149" s="216" t="s">
        <v>249</v>
      </c>
      <c r="H149" s="75">
        <f>G106</f>
        <v>-43000</v>
      </c>
    </row>
    <row r="150" spans="5:11">
      <c r="F150" s="216" t="s">
        <v>281</v>
      </c>
      <c r="G150" s="216" t="s">
        <v>281</v>
      </c>
      <c r="H150" s="75">
        <f>G28+G57+G88+G108+G132</f>
        <v>-11653594.649999999</v>
      </c>
    </row>
    <row r="151" spans="5:11">
      <c r="F151" s="216" t="s">
        <v>277</v>
      </c>
      <c r="G151" s="216" t="s">
        <v>277</v>
      </c>
      <c r="H151" s="75">
        <f>G29+G58+G109+G89</f>
        <v>-121540.40999999999</v>
      </c>
    </row>
    <row r="152" spans="5:11">
      <c r="F152" s="216" t="s">
        <v>423</v>
      </c>
      <c r="G152" s="216" t="s">
        <v>423</v>
      </c>
      <c r="H152" s="75">
        <f>G31+G60+G91+G112+G133</f>
        <v>8556163.7399999984</v>
      </c>
    </row>
    <row r="153" spans="5:11">
      <c r="F153" s="216" t="s">
        <v>422</v>
      </c>
      <c r="G153" s="216" t="s">
        <v>422</v>
      </c>
      <c r="H153" s="75">
        <f>G32+G61+G92+G113</f>
        <v>1560911.1500000001</v>
      </c>
      <c r="J153" s="75"/>
    </row>
    <row r="154" spans="5:11">
      <c r="F154" s="216" t="s">
        <v>438</v>
      </c>
      <c r="G154" s="216" t="s">
        <v>438</v>
      </c>
      <c r="H154" s="75">
        <f>'WA Decoupling'!F44</f>
        <v>-391426.15956910595</v>
      </c>
    </row>
    <row r="155" spans="5:11">
      <c r="H155" s="75">
        <f>SUM(H147:H154)</f>
        <v>10750247.09115031</v>
      </c>
    </row>
    <row r="156" spans="5:11">
      <c r="J156" s="2" t="s">
        <v>439</v>
      </c>
      <c r="K156" s="75">
        <f>H155-G140</f>
        <v>0</v>
      </c>
    </row>
  </sheetData>
  <phoneticPr fontId="0" type="noConversion"/>
  <printOptions horizontalCentered="1"/>
  <pageMargins left="0.25" right="0.25" top="1" bottom="1" header="0.5" footer="0.5"/>
  <pageSetup scale="28" fitToHeight="0" orientation="landscape" r:id="rId1"/>
  <headerFooter alignWithMargins="0">
    <oddFooter>&amp;CPrepared by Pricing &amp;D&amp;R&amp;F&amp;A</oddFooter>
  </headerFooter>
  <rowBreaks count="1" manualBreakCount="1">
    <brk id="66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37"/>
  <sheetViews>
    <sheetView topLeftCell="B43" zoomScaleNormal="100" workbookViewId="0">
      <selection activeCell="H2" sqref="H2"/>
    </sheetView>
  </sheetViews>
  <sheetFormatPr defaultRowHeight="15.6"/>
  <cols>
    <col min="1" max="1" width="4.59765625" style="2" customWidth="1"/>
    <col min="2" max="2" width="28.59765625" style="2" bestFit="1" customWidth="1"/>
    <col min="3" max="3" width="39.09765625" style="2" bestFit="1" customWidth="1"/>
    <col min="4" max="4" width="13.69921875" style="2" bestFit="1" customWidth="1"/>
    <col min="5" max="5" width="37.59765625" style="2" bestFit="1" customWidth="1"/>
    <col min="6" max="6" width="16.19921875" style="2" bestFit="1" customWidth="1"/>
    <col min="7" max="7" width="17.8984375" style="2" bestFit="1" customWidth="1"/>
    <col min="8" max="8" width="14" style="2" bestFit="1" customWidth="1"/>
    <col min="9" max="9" width="9" style="2"/>
    <col min="10" max="10" width="10.8984375" style="2" bestFit="1" customWidth="1"/>
    <col min="11" max="251" width="9" style="2"/>
    <col min="252" max="252" width="4.59765625" style="2" customWidth="1"/>
    <col min="253" max="253" width="14" style="2" customWidth="1"/>
    <col min="254" max="254" width="16.19921875" style="2" customWidth="1"/>
    <col min="255" max="255" width="11.19921875" style="2" customWidth="1"/>
    <col min="256" max="256" width="36.3984375" style="2" customWidth="1"/>
    <col min="257" max="260" width="12.59765625" style="2" customWidth="1"/>
    <col min="261" max="507" width="9" style="2"/>
    <col min="508" max="508" width="4.59765625" style="2" customWidth="1"/>
    <col min="509" max="509" width="14" style="2" customWidth="1"/>
    <col min="510" max="510" width="16.19921875" style="2" customWidth="1"/>
    <col min="511" max="511" width="11.19921875" style="2" customWidth="1"/>
    <col min="512" max="512" width="36.3984375" style="2" customWidth="1"/>
    <col min="513" max="516" width="12.59765625" style="2" customWidth="1"/>
    <col min="517" max="763" width="9" style="2"/>
    <col min="764" max="764" width="4.59765625" style="2" customWidth="1"/>
    <col min="765" max="765" width="14" style="2" customWidth="1"/>
    <col min="766" max="766" width="16.19921875" style="2" customWidth="1"/>
    <col min="767" max="767" width="11.19921875" style="2" customWidth="1"/>
    <col min="768" max="768" width="36.3984375" style="2" customWidth="1"/>
    <col min="769" max="772" width="12.59765625" style="2" customWidth="1"/>
    <col min="773" max="1019" width="9" style="2"/>
    <col min="1020" max="1020" width="4.59765625" style="2" customWidth="1"/>
    <col min="1021" max="1021" width="14" style="2" customWidth="1"/>
    <col min="1022" max="1022" width="16.19921875" style="2" customWidth="1"/>
    <col min="1023" max="1023" width="11.19921875" style="2" customWidth="1"/>
    <col min="1024" max="1024" width="36.3984375" style="2" customWidth="1"/>
    <col min="1025" max="1028" width="12.59765625" style="2" customWidth="1"/>
    <col min="1029" max="1275" width="9" style="2"/>
    <col min="1276" max="1276" width="4.59765625" style="2" customWidth="1"/>
    <col min="1277" max="1277" width="14" style="2" customWidth="1"/>
    <col min="1278" max="1278" width="16.19921875" style="2" customWidth="1"/>
    <col min="1279" max="1279" width="11.19921875" style="2" customWidth="1"/>
    <col min="1280" max="1280" width="36.3984375" style="2" customWidth="1"/>
    <col min="1281" max="1284" width="12.59765625" style="2" customWidth="1"/>
    <col min="1285" max="1531" width="9" style="2"/>
    <col min="1532" max="1532" width="4.59765625" style="2" customWidth="1"/>
    <col min="1533" max="1533" width="14" style="2" customWidth="1"/>
    <col min="1534" max="1534" width="16.19921875" style="2" customWidth="1"/>
    <col min="1535" max="1535" width="11.19921875" style="2" customWidth="1"/>
    <col min="1536" max="1536" width="36.3984375" style="2" customWidth="1"/>
    <col min="1537" max="1540" width="12.59765625" style="2" customWidth="1"/>
    <col min="1541" max="1787" width="9" style="2"/>
    <col min="1788" max="1788" width="4.59765625" style="2" customWidth="1"/>
    <col min="1789" max="1789" width="14" style="2" customWidth="1"/>
    <col min="1790" max="1790" width="16.19921875" style="2" customWidth="1"/>
    <col min="1791" max="1791" width="11.19921875" style="2" customWidth="1"/>
    <col min="1792" max="1792" width="36.3984375" style="2" customWidth="1"/>
    <col min="1793" max="1796" width="12.59765625" style="2" customWidth="1"/>
    <col min="1797" max="2043" width="9" style="2"/>
    <col min="2044" max="2044" width="4.59765625" style="2" customWidth="1"/>
    <col min="2045" max="2045" width="14" style="2" customWidth="1"/>
    <col min="2046" max="2046" width="16.19921875" style="2" customWidth="1"/>
    <col min="2047" max="2047" width="11.19921875" style="2" customWidth="1"/>
    <col min="2048" max="2048" width="36.3984375" style="2" customWidth="1"/>
    <col min="2049" max="2052" width="12.59765625" style="2" customWidth="1"/>
    <col min="2053" max="2299" width="9" style="2"/>
    <col min="2300" max="2300" width="4.59765625" style="2" customWidth="1"/>
    <col min="2301" max="2301" width="14" style="2" customWidth="1"/>
    <col min="2302" max="2302" width="16.19921875" style="2" customWidth="1"/>
    <col min="2303" max="2303" width="11.19921875" style="2" customWidth="1"/>
    <col min="2304" max="2304" width="36.3984375" style="2" customWidth="1"/>
    <col min="2305" max="2308" width="12.59765625" style="2" customWidth="1"/>
    <col min="2309" max="2555" width="9" style="2"/>
    <col min="2556" max="2556" width="4.59765625" style="2" customWidth="1"/>
    <col min="2557" max="2557" width="14" style="2" customWidth="1"/>
    <col min="2558" max="2558" width="16.19921875" style="2" customWidth="1"/>
    <col min="2559" max="2559" width="11.19921875" style="2" customWidth="1"/>
    <col min="2560" max="2560" width="36.3984375" style="2" customWidth="1"/>
    <col min="2561" max="2564" width="12.59765625" style="2" customWidth="1"/>
    <col min="2565" max="2811" width="9" style="2"/>
    <col min="2812" max="2812" width="4.59765625" style="2" customWidth="1"/>
    <col min="2813" max="2813" width="14" style="2" customWidth="1"/>
    <col min="2814" max="2814" width="16.19921875" style="2" customWidth="1"/>
    <col min="2815" max="2815" width="11.19921875" style="2" customWidth="1"/>
    <col min="2816" max="2816" width="36.3984375" style="2" customWidth="1"/>
    <col min="2817" max="2820" width="12.59765625" style="2" customWidth="1"/>
    <col min="2821" max="3067" width="9" style="2"/>
    <col min="3068" max="3068" width="4.59765625" style="2" customWidth="1"/>
    <col min="3069" max="3069" width="14" style="2" customWidth="1"/>
    <col min="3070" max="3070" width="16.19921875" style="2" customWidth="1"/>
    <col min="3071" max="3071" width="11.19921875" style="2" customWidth="1"/>
    <col min="3072" max="3072" width="36.3984375" style="2" customWidth="1"/>
    <col min="3073" max="3076" width="12.59765625" style="2" customWidth="1"/>
    <col min="3077" max="3323" width="9" style="2"/>
    <col min="3324" max="3324" width="4.59765625" style="2" customWidth="1"/>
    <col min="3325" max="3325" width="14" style="2" customWidth="1"/>
    <col min="3326" max="3326" width="16.19921875" style="2" customWidth="1"/>
    <col min="3327" max="3327" width="11.19921875" style="2" customWidth="1"/>
    <col min="3328" max="3328" width="36.3984375" style="2" customWidth="1"/>
    <col min="3329" max="3332" width="12.59765625" style="2" customWidth="1"/>
    <col min="3333" max="3579" width="9" style="2"/>
    <col min="3580" max="3580" width="4.59765625" style="2" customWidth="1"/>
    <col min="3581" max="3581" width="14" style="2" customWidth="1"/>
    <col min="3582" max="3582" width="16.19921875" style="2" customWidth="1"/>
    <col min="3583" max="3583" width="11.19921875" style="2" customWidth="1"/>
    <col min="3584" max="3584" width="36.3984375" style="2" customWidth="1"/>
    <col min="3585" max="3588" width="12.59765625" style="2" customWidth="1"/>
    <col min="3589" max="3835" width="9" style="2"/>
    <col min="3836" max="3836" width="4.59765625" style="2" customWidth="1"/>
    <col min="3837" max="3837" width="14" style="2" customWidth="1"/>
    <col min="3838" max="3838" width="16.19921875" style="2" customWidth="1"/>
    <col min="3839" max="3839" width="11.19921875" style="2" customWidth="1"/>
    <col min="3840" max="3840" width="36.3984375" style="2" customWidth="1"/>
    <col min="3841" max="3844" width="12.59765625" style="2" customWidth="1"/>
    <col min="3845" max="4091" width="9" style="2"/>
    <col min="4092" max="4092" width="4.59765625" style="2" customWidth="1"/>
    <col min="4093" max="4093" width="14" style="2" customWidth="1"/>
    <col min="4094" max="4094" width="16.19921875" style="2" customWidth="1"/>
    <col min="4095" max="4095" width="11.19921875" style="2" customWidth="1"/>
    <col min="4096" max="4096" width="36.3984375" style="2" customWidth="1"/>
    <col min="4097" max="4100" width="12.59765625" style="2" customWidth="1"/>
    <col min="4101" max="4347" width="9" style="2"/>
    <col min="4348" max="4348" width="4.59765625" style="2" customWidth="1"/>
    <col min="4349" max="4349" width="14" style="2" customWidth="1"/>
    <col min="4350" max="4350" width="16.19921875" style="2" customWidth="1"/>
    <col min="4351" max="4351" width="11.19921875" style="2" customWidth="1"/>
    <col min="4352" max="4352" width="36.3984375" style="2" customWidth="1"/>
    <col min="4353" max="4356" width="12.59765625" style="2" customWidth="1"/>
    <col min="4357" max="4603" width="9" style="2"/>
    <col min="4604" max="4604" width="4.59765625" style="2" customWidth="1"/>
    <col min="4605" max="4605" width="14" style="2" customWidth="1"/>
    <col min="4606" max="4606" width="16.19921875" style="2" customWidth="1"/>
    <col min="4607" max="4607" width="11.19921875" style="2" customWidth="1"/>
    <col min="4608" max="4608" width="36.3984375" style="2" customWidth="1"/>
    <col min="4609" max="4612" width="12.59765625" style="2" customWidth="1"/>
    <col min="4613" max="4859" width="9" style="2"/>
    <col min="4860" max="4860" width="4.59765625" style="2" customWidth="1"/>
    <col min="4861" max="4861" width="14" style="2" customWidth="1"/>
    <col min="4862" max="4862" width="16.19921875" style="2" customWidth="1"/>
    <col min="4863" max="4863" width="11.19921875" style="2" customWidth="1"/>
    <col min="4864" max="4864" width="36.3984375" style="2" customWidth="1"/>
    <col min="4865" max="4868" width="12.59765625" style="2" customWidth="1"/>
    <col min="4869" max="5115" width="9" style="2"/>
    <col min="5116" max="5116" width="4.59765625" style="2" customWidth="1"/>
    <col min="5117" max="5117" width="14" style="2" customWidth="1"/>
    <col min="5118" max="5118" width="16.19921875" style="2" customWidth="1"/>
    <col min="5119" max="5119" width="11.19921875" style="2" customWidth="1"/>
    <col min="5120" max="5120" width="36.3984375" style="2" customWidth="1"/>
    <col min="5121" max="5124" width="12.59765625" style="2" customWidth="1"/>
    <col min="5125" max="5371" width="9" style="2"/>
    <col min="5372" max="5372" width="4.59765625" style="2" customWidth="1"/>
    <col min="5373" max="5373" width="14" style="2" customWidth="1"/>
    <col min="5374" max="5374" width="16.19921875" style="2" customWidth="1"/>
    <col min="5375" max="5375" width="11.19921875" style="2" customWidth="1"/>
    <col min="5376" max="5376" width="36.3984375" style="2" customWidth="1"/>
    <col min="5377" max="5380" width="12.59765625" style="2" customWidth="1"/>
    <col min="5381" max="5627" width="9" style="2"/>
    <col min="5628" max="5628" width="4.59765625" style="2" customWidth="1"/>
    <col min="5629" max="5629" width="14" style="2" customWidth="1"/>
    <col min="5630" max="5630" width="16.19921875" style="2" customWidth="1"/>
    <col min="5631" max="5631" width="11.19921875" style="2" customWidth="1"/>
    <col min="5632" max="5632" width="36.3984375" style="2" customWidth="1"/>
    <col min="5633" max="5636" width="12.59765625" style="2" customWidth="1"/>
    <col min="5637" max="5883" width="9" style="2"/>
    <col min="5884" max="5884" width="4.59765625" style="2" customWidth="1"/>
    <col min="5885" max="5885" width="14" style="2" customWidth="1"/>
    <col min="5886" max="5886" width="16.19921875" style="2" customWidth="1"/>
    <col min="5887" max="5887" width="11.19921875" style="2" customWidth="1"/>
    <col min="5888" max="5888" width="36.3984375" style="2" customWidth="1"/>
    <col min="5889" max="5892" width="12.59765625" style="2" customWidth="1"/>
    <col min="5893" max="6139" width="9" style="2"/>
    <col min="6140" max="6140" width="4.59765625" style="2" customWidth="1"/>
    <col min="6141" max="6141" width="14" style="2" customWidth="1"/>
    <col min="6142" max="6142" width="16.19921875" style="2" customWidth="1"/>
    <col min="6143" max="6143" width="11.19921875" style="2" customWidth="1"/>
    <col min="6144" max="6144" width="36.3984375" style="2" customWidth="1"/>
    <col min="6145" max="6148" width="12.59765625" style="2" customWidth="1"/>
    <col min="6149" max="6395" width="9" style="2"/>
    <col min="6396" max="6396" width="4.59765625" style="2" customWidth="1"/>
    <col min="6397" max="6397" width="14" style="2" customWidth="1"/>
    <col min="6398" max="6398" width="16.19921875" style="2" customWidth="1"/>
    <col min="6399" max="6399" width="11.19921875" style="2" customWidth="1"/>
    <col min="6400" max="6400" width="36.3984375" style="2" customWidth="1"/>
    <col min="6401" max="6404" width="12.59765625" style="2" customWidth="1"/>
    <col min="6405" max="6651" width="9" style="2"/>
    <col min="6652" max="6652" width="4.59765625" style="2" customWidth="1"/>
    <col min="6653" max="6653" width="14" style="2" customWidth="1"/>
    <col min="6654" max="6654" width="16.19921875" style="2" customWidth="1"/>
    <col min="6655" max="6655" width="11.19921875" style="2" customWidth="1"/>
    <col min="6656" max="6656" width="36.3984375" style="2" customWidth="1"/>
    <col min="6657" max="6660" width="12.59765625" style="2" customWidth="1"/>
    <col min="6661" max="6907" width="9" style="2"/>
    <col min="6908" max="6908" width="4.59765625" style="2" customWidth="1"/>
    <col min="6909" max="6909" width="14" style="2" customWidth="1"/>
    <col min="6910" max="6910" width="16.19921875" style="2" customWidth="1"/>
    <col min="6911" max="6911" width="11.19921875" style="2" customWidth="1"/>
    <col min="6912" max="6912" width="36.3984375" style="2" customWidth="1"/>
    <col min="6913" max="6916" width="12.59765625" style="2" customWidth="1"/>
    <col min="6917" max="7163" width="9" style="2"/>
    <col min="7164" max="7164" width="4.59765625" style="2" customWidth="1"/>
    <col min="7165" max="7165" width="14" style="2" customWidth="1"/>
    <col min="7166" max="7166" width="16.19921875" style="2" customWidth="1"/>
    <col min="7167" max="7167" width="11.19921875" style="2" customWidth="1"/>
    <col min="7168" max="7168" width="36.3984375" style="2" customWidth="1"/>
    <col min="7169" max="7172" width="12.59765625" style="2" customWidth="1"/>
    <col min="7173" max="7419" width="9" style="2"/>
    <col min="7420" max="7420" width="4.59765625" style="2" customWidth="1"/>
    <col min="7421" max="7421" width="14" style="2" customWidth="1"/>
    <col min="7422" max="7422" width="16.19921875" style="2" customWidth="1"/>
    <col min="7423" max="7423" width="11.19921875" style="2" customWidth="1"/>
    <col min="7424" max="7424" width="36.3984375" style="2" customWidth="1"/>
    <col min="7425" max="7428" width="12.59765625" style="2" customWidth="1"/>
    <col min="7429" max="7675" width="9" style="2"/>
    <col min="7676" max="7676" width="4.59765625" style="2" customWidth="1"/>
    <col min="7677" max="7677" width="14" style="2" customWidth="1"/>
    <col min="7678" max="7678" width="16.19921875" style="2" customWidth="1"/>
    <col min="7679" max="7679" width="11.19921875" style="2" customWidth="1"/>
    <col min="7680" max="7680" width="36.3984375" style="2" customWidth="1"/>
    <col min="7681" max="7684" width="12.59765625" style="2" customWidth="1"/>
    <col min="7685" max="7931" width="9" style="2"/>
    <col min="7932" max="7932" width="4.59765625" style="2" customWidth="1"/>
    <col min="7933" max="7933" width="14" style="2" customWidth="1"/>
    <col min="7934" max="7934" width="16.19921875" style="2" customWidth="1"/>
    <col min="7935" max="7935" width="11.19921875" style="2" customWidth="1"/>
    <col min="7936" max="7936" width="36.3984375" style="2" customWidth="1"/>
    <col min="7937" max="7940" width="12.59765625" style="2" customWidth="1"/>
    <col min="7941" max="8187" width="9" style="2"/>
    <col min="8188" max="8188" width="4.59765625" style="2" customWidth="1"/>
    <col min="8189" max="8189" width="14" style="2" customWidth="1"/>
    <col min="8190" max="8190" width="16.19921875" style="2" customWidth="1"/>
    <col min="8191" max="8191" width="11.19921875" style="2" customWidth="1"/>
    <col min="8192" max="8192" width="36.3984375" style="2" customWidth="1"/>
    <col min="8193" max="8196" width="12.59765625" style="2" customWidth="1"/>
    <col min="8197" max="8443" width="9" style="2"/>
    <col min="8444" max="8444" width="4.59765625" style="2" customWidth="1"/>
    <col min="8445" max="8445" width="14" style="2" customWidth="1"/>
    <col min="8446" max="8446" width="16.19921875" style="2" customWidth="1"/>
    <col min="8447" max="8447" width="11.19921875" style="2" customWidth="1"/>
    <col min="8448" max="8448" width="36.3984375" style="2" customWidth="1"/>
    <col min="8449" max="8452" width="12.59765625" style="2" customWidth="1"/>
    <col min="8453" max="8699" width="9" style="2"/>
    <col min="8700" max="8700" width="4.59765625" style="2" customWidth="1"/>
    <col min="8701" max="8701" width="14" style="2" customWidth="1"/>
    <col min="8702" max="8702" width="16.19921875" style="2" customWidth="1"/>
    <col min="8703" max="8703" width="11.19921875" style="2" customWidth="1"/>
    <col min="8704" max="8704" width="36.3984375" style="2" customWidth="1"/>
    <col min="8705" max="8708" width="12.59765625" style="2" customWidth="1"/>
    <col min="8709" max="8955" width="9" style="2"/>
    <col min="8956" max="8956" width="4.59765625" style="2" customWidth="1"/>
    <col min="8957" max="8957" width="14" style="2" customWidth="1"/>
    <col min="8958" max="8958" width="16.19921875" style="2" customWidth="1"/>
    <col min="8959" max="8959" width="11.19921875" style="2" customWidth="1"/>
    <col min="8960" max="8960" width="36.3984375" style="2" customWidth="1"/>
    <col min="8961" max="8964" width="12.59765625" style="2" customWidth="1"/>
    <col min="8965" max="9211" width="9" style="2"/>
    <col min="9212" max="9212" width="4.59765625" style="2" customWidth="1"/>
    <col min="9213" max="9213" width="14" style="2" customWidth="1"/>
    <col min="9214" max="9214" width="16.19921875" style="2" customWidth="1"/>
    <col min="9215" max="9215" width="11.19921875" style="2" customWidth="1"/>
    <col min="9216" max="9216" width="36.3984375" style="2" customWidth="1"/>
    <col min="9217" max="9220" width="12.59765625" style="2" customWidth="1"/>
    <col min="9221" max="9467" width="9" style="2"/>
    <col min="9468" max="9468" width="4.59765625" style="2" customWidth="1"/>
    <col min="9469" max="9469" width="14" style="2" customWidth="1"/>
    <col min="9470" max="9470" width="16.19921875" style="2" customWidth="1"/>
    <col min="9471" max="9471" width="11.19921875" style="2" customWidth="1"/>
    <col min="9472" max="9472" width="36.3984375" style="2" customWidth="1"/>
    <col min="9473" max="9476" width="12.59765625" style="2" customWidth="1"/>
    <col min="9477" max="9723" width="9" style="2"/>
    <col min="9724" max="9724" width="4.59765625" style="2" customWidth="1"/>
    <col min="9725" max="9725" width="14" style="2" customWidth="1"/>
    <col min="9726" max="9726" width="16.19921875" style="2" customWidth="1"/>
    <col min="9727" max="9727" width="11.19921875" style="2" customWidth="1"/>
    <col min="9728" max="9728" width="36.3984375" style="2" customWidth="1"/>
    <col min="9729" max="9732" width="12.59765625" style="2" customWidth="1"/>
    <col min="9733" max="9979" width="9" style="2"/>
    <col min="9980" max="9980" width="4.59765625" style="2" customWidth="1"/>
    <col min="9981" max="9981" width="14" style="2" customWidth="1"/>
    <col min="9982" max="9982" width="16.19921875" style="2" customWidth="1"/>
    <col min="9983" max="9983" width="11.19921875" style="2" customWidth="1"/>
    <col min="9984" max="9984" width="36.3984375" style="2" customWidth="1"/>
    <col min="9985" max="9988" width="12.59765625" style="2" customWidth="1"/>
    <col min="9989" max="10235" width="9" style="2"/>
    <col min="10236" max="10236" width="4.59765625" style="2" customWidth="1"/>
    <col min="10237" max="10237" width="14" style="2" customWidth="1"/>
    <col min="10238" max="10238" width="16.19921875" style="2" customWidth="1"/>
    <col min="10239" max="10239" width="11.19921875" style="2" customWidth="1"/>
    <col min="10240" max="10240" width="36.3984375" style="2" customWidth="1"/>
    <col min="10241" max="10244" width="12.59765625" style="2" customWidth="1"/>
    <col min="10245" max="10491" width="9" style="2"/>
    <col min="10492" max="10492" width="4.59765625" style="2" customWidth="1"/>
    <col min="10493" max="10493" width="14" style="2" customWidth="1"/>
    <col min="10494" max="10494" width="16.19921875" style="2" customWidth="1"/>
    <col min="10495" max="10495" width="11.19921875" style="2" customWidth="1"/>
    <col min="10496" max="10496" width="36.3984375" style="2" customWidth="1"/>
    <col min="10497" max="10500" width="12.59765625" style="2" customWidth="1"/>
    <col min="10501" max="10747" width="9" style="2"/>
    <col min="10748" max="10748" width="4.59765625" style="2" customWidth="1"/>
    <col min="10749" max="10749" width="14" style="2" customWidth="1"/>
    <col min="10750" max="10750" width="16.19921875" style="2" customWidth="1"/>
    <col min="10751" max="10751" width="11.19921875" style="2" customWidth="1"/>
    <col min="10752" max="10752" width="36.3984375" style="2" customWidth="1"/>
    <col min="10753" max="10756" width="12.59765625" style="2" customWidth="1"/>
    <col min="10757" max="11003" width="9" style="2"/>
    <col min="11004" max="11004" width="4.59765625" style="2" customWidth="1"/>
    <col min="11005" max="11005" width="14" style="2" customWidth="1"/>
    <col min="11006" max="11006" width="16.19921875" style="2" customWidth="1"/>
    <col min="11007" max="11007" width="11.19921875" style="2" customWidth="1"/>
    <col min="11008" max="11008" width="36.3984375" style="2" customWidth="1"/>
    <col min="11009" max="11012" width="12.59765625" style="2" customWidth="1"/>
    <col min="11013" max="11259" width="9" style="2"/>
    <col min="11260" max="11260" width="4.59765625" style="2" customWidth="1"/>
    <col min="11261" max="11261" width="14" style="2" customWidth="1"/>
    <col min="11262" max="11262" width="16.19921875" style="2" customWidth="1"/>
    <col min="11263" max="11263" width="11.19921875" style="2" customWidth="1"/>
    <col min="11264" max="11264" width="36.3984375" style="2" customWidth="1"/>
    <col min="11265" max="11268" width="12.59765625" style="2" customWidth="1"/>
    <col min="11269" max="11515" width="9" style="2"/>
    <col min="11516" max="11516" width="4.59765625" style="2" customWidth="1"/>
    <col min="11517" max="11517" width="14" style="2" customWidth="1"/>
    <col min="11518" max="11518" width="16.19921875" style="2" customWidth="1"/>
    <col min="11519" max="11519" width="11.19921875" style="2" customWidth="1"/>
    <col min="11520" max="11520" width="36.3984375" style="2" customWidth="1"/>
    <col min="11521" max="11524" width="12.59765625" style="2" customWidth="1"/>
    <col min="11525" max="11771" width="9" style="2"/>
    <col min="11772" max="11772" width="4.59765625" style="2" customWidth="1"/>
    <col min="11773" max="11773" width="14" style="2" customWidth="1"/>
    <col min="11774" max="11774" width="16.19921875" style="2" customWidth="1"/>
    <col min="11775" max="11775" width="11.19921875" style="2" customWidth="1"/>
    <col min="11776" max="11776" width="36.3984375" style="2" customWidth="1"/>
    <col min="11777" max="11780" width="12.59765625" style="2" customWidth="1"/>
    <col min="11781" max="12027" width="9" style="2"/>
    <col min="12028" max="12028" width="4.59765625" style="2" customWidth="1"/>
    <col min="12029" max="12029" width="14" style="2" customWidth="1"/>
    <col min="12030" max="12030" width="16.19921875" style="2" customWidth="1"/>
    <col min="12031" max="12031" width="11.19921875" style="2" customWidth="1"/>
    <col min="12032" max="12032" width="36.3984375" style="2" customWidth="1"/>
    <col min="12033" max="12036" width="12.59765625" style="2" customWidth="1"/>
    <col min="12037" max="12283" width="9" style="2"/>
    <col min="12284" max="12284" width="4.59765625" style="2" customWidth="1"/>
    <col min="12285" max="12285" width="14" style="2" customWidth="1"/>
    <col min="12286" max="12286" width="16.19921875" style="2" customWidth="1"/>
    <col min="12287" max="12287" width="11.19921875" style="2" customWidth="1"/>
    <col min="12288" max="12288" width="36.3984375" style="2" customWidth="1"/>
    <col min="12289" max="12292" width="12.59765625" style="2" customWidth="1"/>
    <col min="12293" max="12539" width="9" style="2"/>
    <col min="12540" max="12540" width="4.59765625" style="2" customWidth="1"/>
    <col min="12541" max="12541" width="14" style="2" customWidth="1"/>
    <col min="12542" max="12542" width="16.19921875" style="2" customWidth="1"/>
    <col min="12543" max="12543" width="11.19921875" style="2" customWidth="1"/>
    <col min="12544" max="12544" width="36.3984375" style="2" customWidth="1"/>
    <col min="12545" max="12548" width="12.59765625" style="2" customWidth="1"/>
    <col min="12549" max="12795" width="9" style="2"/>
    <col min="12796" max="12796" width="4.59765625" style="2" customWidth="1"/>
    <col min="12797" max="12797" width="14" style="2" customWidth="1"/>
    <col min="12798" max="12798" width="16.19921875" style="2" customWidth="1"/>
    <col min="12799" max="12799" width="11.19921875" style="2" customWidth="1"/>
    <col min="12800" max="12800" width="36.3984375" style="2" customWidth="1"/>
    <col min="12801" max="12804" width="12.59765625" style="2" customWidth="1"/>
    <col min="12805" max="13051" width="9" style="2"/>
    <col min="13052" max="13052" width="4.59765625" style="2" customWidth="1"/>
    <col min="13053" max="13053" width="14" style="2" customWidth="1"/>
    <col min="13054" max="13054" width="16.19921875" style="2" customWidth="1"/>
    <col min="13055" max="13055" width="11.19921875" style="2" customWidth="1"/>
    <col min="13056" max="13056" width="36.3984375" style="2" customWidth="1"/>
    <col min="13057" max="13060" width="12.59765625" style="2" customWidth="1"/>
    <col min="13061" max="13307" width="9" style="2"/>
    <col min="13308" max="13308" width="4.59765625" style="2" customWidth="1"/>
    <col min="13309" max="13309" width="14" style="2" customWidth="1"/>
    <col min="13310" max="13310" width="16.19921875" style="2" customWidth="1"/>
    <col min="13311" max="13311" width="11.19921875" style="2" customWidth="1"/>
    <col min="13312" max="13312" width="36.3984375" style="2" customWidth="1"/>
    <col min="13313" max="13316" width="12.59765625" style="2" customWidth="1"/>
    <col min="13317" max="13563" width="9" style="2"/>
    <col min="13564" max="13564" width="4.59765625" style="2" customWidth="1"/>
    <col min="13565" max="13565" width="14" style="2" customWidth="1"/>
    <col min="13566" max="13566" width="16.19921875" style="2" customWidth="1"/>
    <col min="13567" max="13567" width="11.19921875" style="2" customWidth="1"/>
    <col min="13568" max="13568" width="36.3984375" style="2" customWidth="1"/>
    <col min="13569" max="13572" width="12.59765625" style="2" customWidth="1"/>
    <col min="13573" max="13819" width="9" style="2"/>
    <col min="13820" max="13820" width="4.59765625" style="2" customWidth="1"/>
    <col min="13821" max="13821" width="14" style="2" customWidth="1"/>
    <col min="13822" max="13822" width="16.19921875" style="2" customWidth="1"/>
    <col min="13823" max="13823" width="11.19921875" style="2" customWidth="1"/>
    <col min="13824" max="13824" width="36.3984375" style="2" customWidth="1"/>
    <col min="13825" max="13828" width="12.59765625" style="2" customWidth="1"/>
    <col min="13829" max="14075" width="9" style="2"/>
    <col min="14076" max="14076" width="4.59765625" style="2" customWidth="1"/>
    <col min="14077" max="14077" width="14" style="2" customWidth="1"/>
    <col min="14078" max="14078" width="16.19921875" style="2" customWidth="1"/>
    <col min="14079" max="14079" width="11.19921875" style="2" customWidth="1"/>
    <col min="14080" max="14080" width="36.3984375" style="2" customWidth="1"/>
    <col min="14081" max="14084" width="12.59765625" style="2" customWidth="1"/>
    <col min="14085" max="14331" width="9" style="2"/>
    <col min="14332" max="14332" width="4.59765625" style="2" customWidth="1"/>
    <col min="14333" max="14333" width="14" style="2" customWidth="1"/>
    <col min="14334" max="14334" width="16.19921875" style="2" customWidth="1"/>
    <col min="14335" max="14335" width="11.19921875" style="2" customWidth="1"/>
    <col min="14336" max="14336" width="36.3984375" style="2" customWidth="1"/>
    <col min="14337" max="14340" width="12.59765625" style="2" customWidth="1"/>
    <col min="14341" max="14587" width="9" style="2"/>
    <col min="14588" max="14588" width="4.59765625" style="2" customWidth="1"/>
    <col min="14589" max="14589" width="14" style="2" customWidth="1"/>
    <col min="14590" max="14590" width="16.19921875" style="2" customWidth="1"/>
    <col min="14591" max="14591" width="11.19921875" style="2" customWidth="1"/>
    <col min="14592" max="14592" width="36.3984375" style="2" customWidth="1"/>
    <col min="14593" max="14596" width="12.59765625" style="2" customWidth="1"/>
    <col min="14597" max="14843" width="9" style="2"/>
    <col min="14844" max="14844" width="4.59765625" style="2" customWidth="1"/>
    <col min="14845" max="14845" width="14" style="2" customWidth="1"/>
    <col min="14846" max="14846" width="16.19921875" style="2" customWidth="1"/>
    <col min="14847" max="14847" width="11.19921875" style="2" customWidth="1"/>
    <col min="14848" max="14848" width="36.3984375" style="2" customWidth="1"/>
    <col min="14849" max="14852" width="12.59765625" style="2" customWidth="1"/>
    <col min="14853" max="15099" width="9" style="2"/>
    <col min="15100" max="15100" width="4.59765625" style="2" customWidth="1"/>
    <col min="15101" max="15101" width="14" style="2" customWidth="1"/>
    <col min="15102" max="15102" width="16.19921875" style="2" customWidth="1"/>
    <col min="15103" max="15103" width="11.19921875" style="2" customWidth="1"/>
    <col min="15104" max="15104" width="36.3984375" style="2" customWidth="1"/>
    <col min="15105" max="15108" width="12.59765625" style="2" customWidth="1"/>
    <col min="15109" max="15355" width="9" style="2"/>
    <col min="15356" max="15356" width="4.59765625" style="2" customWidth="1"/>
    <col min="15357" max="15357" width="14" style="2" customWidth="1"/>
    <col min="15358" max="15358" width="16.19921875" style="2" customWidth="1"/>
    <col min="15359" max="15359" width="11.19921875" style="2" customWidth="1"/>
    <col min="15360" max="15360" width="36.3984375" style="2" customWidth="1"/>
    <col min="15361" max="15364" width="12.59765625" style="2" customWidth="1"/>
    <col min="15365" max="15611" width="9" style="2"/>
    <col min="15612" max="15612" width="4.59765625" style="2" customWidth="1"/>
    <col min="15613" max="15613" width="14" style="2" customWidth="1"/>
    <col min="15614" max="15614" width="16.19921875" style="2" customWidth="1"/>
    <col min="15615" max="15615" width="11.19921875" style="2" customWidth="1"/>
    <col min="15616" max="15616" width="36.3984375" style="2" customWidth="1"/>
    <col min="15617" max="15620" width="12.59765625" style="2" customWidth="1"/>
    <col min="15621" max="15867" width="9" style="2"/>
    <col min="15868" max="15868" width="4.59765625" style="2" customWidth="1"/>
    <col min="15869" max="15869" width="14" style="2" customWidth="1"/>
    <col min="15870" max="15870" width="16.19921875" style="2" customWidth="1"/>
    <col min="15871" max="15871" width="11.19921875" style="2" customWidth="1"/>
    <col min="15872" max="15872" width="36.3984375" style="2" customWidth="1"/>
    <col min="15873" max="15876" width="12.59765625" style="2" customWidth="1"/>
    <col min="15877" max="16123" width="9" style="2"/>
    <col min="16124" max="16124" width="4.59765625" style="2" customWidth="1"/>
    <col min="16125" max="16125" width="14" style="2" customWidth="1"/>
    <col min="16126" max="16126" width="16.19921875" style="2" customWidth="1"/>
    <col min="16127" max="16127" width="11.19921875" style="2" customWidth="1"/>
    <col min="16128" max="16128" width="36.3984375" style="2" customWidth="1"/>
    <col min="16129" max="16132" width="12.59765625" style="2" customWidth="1"/>
    <col min="16133" max="16384" width="9" style="2"/>
  </cols>
  <sheetData>
    <row r="1" spans="2:10" s="384" customFormat="1" ht="8.6999999999999993" customHeight="1"/>
    <row r="2" spans="2:10" s="384" customFormat="1" ht="30.9" customHeight="1">
      <c r="C2" s="385" t="s">
        <v>334</v>
      </c>
    </row>
    <row r="3" spans="2:10" s="384" customFormat="1" ht="18" customHeight="1"/>
    <row r="4" spans="2:10" s="384" customFormat="1" ht="23.4" customHeight="1">
      <c r="B4" s="386" t="s">
        <v>335</v>
      </c>
      <c r="C4" s="386" t="s">
        <v>336</v>
      </c>
      <c r="D4" s="386" t="s">
        <v>337</v>
      </c>
      <c r="E4" s="386" t="s">
        <v>338</v>
      </c>
      <c r="F4" s="386" t="s">
        <v>339</v>
      </c>
      <c r="G4" s="386" t="s">
        <v>340</v>
      </c>
      <c r="H4" s="386" t="s">
        <v>341</v>
      </c>
      <c r="I4" s="384" t="s">
        <v>344</v>
      </c>
      <c r="J4" s="384" t="s">
        <v>345</v>
      </c>
    </row>
    <row r="5" spans="2:10" s="384" customFormat="1" ht="19.5" customHeight="1">
      <c r="B5" s="387" t="s">
        <v>374</v>
      </c>
      <c r="C5" s="384" t="s">
        <v>94</v>
      </c>
      <c r="D5" s="387" t="s">
        <v>4</v>
      </c>
      <c r="E5" s="387" t="s">
        <v>195</v>
      </c>
      <c r="F5" s="388">
        <v>-220866.97</v>
      </c>
      <c r="G5" s="389">
        <v>17876</v>
      </c>
      <c r="H5" s="388">
        <v>27846264</v>
      </c>
      <c r="I5" s="384">
        <f>VLOOKUP(Table2[[#This Row],[Rate Desc]],lookup305[],2,TRUE)</f>
        <v>24</v>
      </c>
      <c r="J5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6" spans="2:10" s="384" customFormat="1" ht="19.5" customHeight="1">
      <c r="B6" s="387" t="s">
        <v>374</v>
      </c>
      <c r="C6" s="384" t="s">
        <v>94</v>
      </c>
      <c r="D6" s="387" t="s">
        <v>4</v>
      </c>
      <c r="E6" s="387" t="s">
        <v>188</v>
      </c>
      <c r="F6" s="388">
        <v>-6.89</v>
      </c>
      <c r="G6" s="389">
        <v>12</v>
      </c>
      <c r="H6" s="388">
        <v>864</v>
      </c>
      <c r="I6" s="384" t="str">
        <f>VLOOKUP(Table2[[#This Row],[Rate Desc]],lookup305[],2,TRUE)</f>
        <v>24f</v>
      </c>
      <c r="J6" s="384" t="str">
        <f>IF(Table2[[#This Row],[Rate Group Cd]]="B",IF(OR(Table2[[#This Row],[Code]]="bpa",Table2[[#This Row],[Code]]="bpaadj"),Table2[[#This Row],[Code]],"b"&amp;Table2[[#This Row],[Code]]),Table2[[#This Row],[Code]])</f>
        <v>b24f</v>
      </c>
    </row>
    <row r="7" spans="2:10" s="384" customFormat="1" ht="19.5" customHeight="1">
      <c r="B7" s="387" t="s">
        <v>374</v>
      </c>
      <c r="C7" s="384" t="s">
        <v>94</v>
      </c>
      <c r="D7" s="387" t="s">
        <v>4</v>
      </c>
      <c r="E7" s="387" t="s">
        <v>196</v>
      </c>
      <c r="F7" s="388">
        <v>-1500.66</v>
      </c>
      <c r="G7" s="389">
        <v>921</v>
      </c>
      <c r="H7" s="388">
        <v>189148</v>
      </c>
      <c r="I7" s="384" t="str">
        <f>VLOOKUP(Table2[[#This Row],[Rate Desc]],lookup305[],2,TRUE)</f>
        <v>24fp</v>
      </c>
      <c r="J7" s="384" t="str">
        <f>IF(Table2[[#This Row],[Rate Group Cd]]="B",IF(OR(Table2[[#This Row],[Code]]="bpa",Table2[[#This Row],[Code]]="bpaadj"),Table2[[#This Row],[Code]],"b"&amp;Table2[[#This Row],[Code]]),Table2[[#This Row],[Code]])</f>
        <v>b24fp</v>
      </c>
    </row>
    <row r="8" spans="2:10" s="384" customFormat="1" ht="19.5" customHeight="1">
      <c r="B8" s="387" t="s">
        <v>374</v>
      </c>
      <c r="C8" s="384" t="s">
        <v>94</v>
      </c>
      <c r="D8" s="387" t="s">
        <v>4</v>
      </c>
      <c r="E8" s="387" t="s">
        <v>192</v>
      </c>
      <c r="F8" s="388">
        <v>-483690.18</v>
      </c>
      <c r="G8" s="389">
        <v>1214</v>
      </c>
      <c r="H8" s="388">
        <v>60959120</v>
      </c>
      <c r="I8" s="384">
        <f>VLOOKUP(Table2[[#This Row],[Rate Desc]],lookup305[],2,TRUE)</f>
        <v>36</v>
      </c>
      <c r="J8" s="384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9" spans="2:10" s="384" customFormat="1" ht="19.5" customHeight="1">
      <c r="B9" s="387" t="s">
        <v>374</v>
      </c>
      <c r="C9" s="384" t="s">
        <v>94</v>
      </c>
      <c r="D9" s="387" t="s">
        <v>4</v>
      </c>
      <c r="E9" s="387" t="s">
        <v>254</v>
      </c>
      <c r="F9" s="388">
        <v>-1865.13</v>
      </c>
      <c r="G9" s="389">
        <v>295</v>
      </c>
      <c r="H9" s="388">
        <v>231828</v>
      </c>
      <c r="I9" s="384">
        <f>VLOOKUP(Table2[[#This Row],[Rate Desc]],lookup305[],2,TRUE)</f>
        <v>24</v>
      </c>
      <c r="J9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0" spans="2:10" s="384" customFormat="1" ht="19.5" customHeight="1">
      <c r="B10" s="387" t="s">
        <v>374</v>
      </c>
      <c r="C10" s="384" t="s">
        <v>94</v>
      </c>
      <c r="D10" s="387" t="s">
        <v>4</v>
      </c>
      <c r="E10" s="387" t="s">
        <v>193</v>
      </c>
      <c r="F10" s="388">
        <v>-4063.9</v>
      </c>
      <c r="G10" s="389"/>
      <c r="H10" s="388">
        <v>510088</v>
      </c>
      <c r="I10" s="384" t="str">
        <f>VLOOKUP(Table2[[#This Row],[Rate Desc]],lookup305[],2,TRUE)</f>
        <v>15n</v>
      </c>
      <c r="J10" s="384" t="str">
        <f>IF(Table2[[#This Row],[Rate Group Cd]]="B",IF(OR(Table2[[#This Row],[Code]]="bpa",Table2[[#This Row],[Code]]="bpaadj"),Table2[[#This Row],[Code]],"b"&amp;Table2[[#This Row],[Code]]),Table2[[#This Row],[Code]])</f>
        <v>b15n</v>
      </c>
    </row>
    <row r="11" spans="2:10" s="384" customFormat="1" ht="19.5" customHeight="1">
      <c r="B11" s="387" t="s">
        <v>374</v>
      </c>
      <c r="C11" s="384" t="s">
        <v>94</v>
      </c>
      <c r="D11" s="387" t="s">
        <v>4</v>
      </c>
      <c r="E11" s="387" t="s">
        <v>387</v>
      </c>
      <c r="F11" s="388">
        <v>14786.15</v>
      </c>
      <c r="G11" s="389">
        <v>0</v>
      </c>
      <c r="H11" s="388">
        <v>0</v>
      </c>
      <c r="I11" s="384" t="str">
        <f>VLOOKUP(Table2[[#This Row],[Rate Desc]],lookup305[],2,TRUE)</f>
        <v>bpa</v>
      </c>
      <c r="J11" s="384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12" spans="2:10" s="384" customFormat="1" ht="19.5" customHeight="1">
      <c r="B12" s="387" t="s">
        <v>374</v>
      </c>
      <c r="C12" s="384" t="s">
        <v>94</v>
      </c>
      <c r="D12" s="387" t="s">
        <v>4</v>
      </c>
      <c r="E12" s="387" t="s">
        <v>388</v>
      </c>
      <c r="F12" s="388"/>
      <c r="G12" s="389">
        <v>0</v>
      </c>
      <c r="H12" s="388"/>
    </row>
    <row r="13" spans="2:10" s="384" customFormat="1" ht="19.5" customHeight="1">
      <c r="B13" s="387" t="s">
        <v>374</v>
      </c>
      <c r="C13" s="384" t="s">
        <v>94</v>
      </c>
      <c r="D13" s="387" t="s">
        <v>342</v>
      </c>
      <c r="E13" s="387" t="s">
        <v>189</v>
      </c>
      <c r="F13" s="388">
        <v>2798787.66</v>
      </c>
      <c r="G13" s="389">
        <v>17876</v>
      </c>
      <c r="H13" s="388">
        <v>27846346</v>
      </c>
      <c r="I13" s="384">
        <f>VLOOKUP(Table2[[#This Row],[Rate Desc]],lookup305[],2,TRUE)</f>
        <v>24</v>
      </c>
      <c r="J13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4" spans="2:10" s="384" customFormat="1" ht="19.5" customHeight="1">
      <c r="B14" s="387" t="s">
        <v>374</v>
      </c>
      <c r="C14" s="384" t="s">
        <v>94</v>
      </c>
      <c r="D14" s="387" t="s">
        <v>342</v>
      </c>
      <c r="E14" s="387" t="s">
        <v>198</v>
      </c>
      <c r="F14" s="388">
        <v>20500.420000000002</v>
      </c>
      <c r="G14" s="389">
        <v>72</v>
      </c>
      <c r="H14" s="388">
        <v>154287</v>
      </c>
      <c r="I14" s="384" t="str">
        <f>VLOOKUP(Table2[[#This Row],[Rate Desc]],lookup305[],2,TRUE)</f>
        <v>24f</v>
      </c>
      <c r="J14" s="384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15" spans="2:10" s="384" customFormat="1" ht="19.5" customHeight="1">
      <c r="B15" s="387" t="s">
        <v>374</v>
      </c>
      <c r="C15" s="384" t="s">
        <v>94</v>
      </c>
      <c r="D15" s="387" t="s">
        <v>342</v>
      </c>
      <c r="E15" s="387" t="s">
        <v>190</v>
      </c>
      <c r="F15" s="388">
        <v>86090.29</v>
      </c>
      <c r="G15" s="389">
        <v>921</v>
      </c>
      <c r="H15" s="388">
        <v>189149</v>
      </c>
      <c r="I15" s="384" t="str">
        <f>VLOOKUP(Table2[[#This Row],[Rate Desc]],lookup305[],2,TRUE)</f>
        <v>24fp</v>
      </c>
      <c r="J15" s="384" t="str">
        <f>IF(Table2[[#This Row],[Rate Group Cd]]="B",IF(OR(Table2[[#This Row],[Code]]="bpa",Table2[[#This Row],[Code]]="bpaadj"),Table2[[#This Row],[Code]],"b"&amp;Table2[[#This Row],[Code]]),Table2[[#This Row],[Code]])</f>
        <v>24fp</v>
      </c>
    </row>
    <row r="16" spans="2:10" s="384" customFormat="1" ht="19.5" customHeight="1">
      <c r="B16" s="387" t="s">
        <v>374</v>
      </c>
      <c r="C16" s="384" t="s">
        <v>94</v>
      </c>
      <c r="D16" s="387" t="s">
        <v>342</v>
      </c>
      <c r="E16" s="387" t="s">
        <v>375</v>
      </c>
      <c r="F16" s="388">
        <v>45913052.710000001</v>
      </c>
      <c r="G16" s="389">
        <v>169353</v>
      </c>
      <c r="H16" s="388">
        <v>480073127</v>
      </c>
      <c r="I16" s="384">
        <f>VLOOKUP(Table2[[#This Row],[Rate Desc]],lookup305[],2,TRUE)</f>
        <v>24</v>
      </c>
      <c r="J16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7" spans="2:10" s="384" customFormat="1" ht="19.5" customHeight="1">
      <c r="B17" s="387" t="s">
        <v>374</v>
      </c>
      <c r="C17" s="384" t="s">
        <v>94</v>
      </c>
      <c r="D17" s="387" t="s">
        <v>342</v>
      </c>
      <c r="E17" s="387" t="s">
        <v>376</v>
      </c>
      <c r="F17" s="388">
        <v>153836.11000000002</v>
      </c>
      <c r="G17" s="389">
        <v>1263</v>
      </c>
      <c r="H17" s="388">
        <v>1071646</v>
      </c>
      <c r="I17" s="384" t="str">
        <f>VLOOKUP(Table2[[#This Row],[Rate Desc]],lookup305[],2,TRUE)</f>
        <v>24f</v>
      </c>
      <c r="J17" s="384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18" spans="2:10" s="384" customFormat="1" ht="19.5" customHeight="1">
      <c r="B18" s="387" t="s">
        <v>374</v>
      </c>
      <c r="C18" s="384" t="s">
        <v>94</v>
      </c>
      <c r="D18" s="387" t="s">
        <v>342</v>
      </c>
      <c r="E18" s="387" t="s">
        <v>199</v>
      </c>
      <c r="F18" s="388">
        <v>5165642.54</v>
      </c>
      <c r="G18" s="389">
        <v>1214</v>
      </c>
      <c r="H18" s="388">
        <v>60959124</v>
      </c>
      <c r="I18" s="384">
        <f>VLOOKUP(Table2[[#This Row],[Rate Desc]],lookup305[],2,TRUE)</f>
        <v>36</v>
      </c>
      <c r="J18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9" spans="2:10" s="384" customFormat="1" ht="19.5" customHeight="1">
      <c r="B19" s="387" t="s">
        <v>374</v>
      </c>
      <c r="C19" s="384" t="s">
        <v>94</v>
      </c>
      <c r="D19" s="387" t="s">
        <v>342</v>
      </c>
      <c r="E19" s="387" t="s">
        <v>377</v>
      </c>
      <c r="F19" s="388">
        <v>63147756.82</v>
      </c>
      <c r="G19" s="389">
        <v>10372</v>
      </c>
      <c r="H19" s="388">
        <v>768261970</v>
      </c>
      <c r="I19" s="384">
        <f>VLOOKUP(Table2[[#This Row],[Rate Desc]],lookup305[],2,TRUE)</f>
        <v>36</v>
      </c>
      <c r="J19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20" spans="2:10" s="384" customFormat="1" ht="19.5" customHeight="1">
      <c r="B20" s="387" t="s">
        <v>374</v>
      </c>
      <c r="C20" s="384" t="s">
        <v>94</v>
      </c>
      <c r="D20" s="387" t="s">
        <v>342</v>
      </c>
      <c r="E20" s="387" t="s">
        <v>378</v>
      </c>
      <c r="F20" s="388">
        <v>14920716.949999999</v>
      </c>
      <c r="G20" s="389">
        <v>440</v>
      </c>
      <c r="H20" s="388">
        <v>198331383</v>
      </c>
      <c r="I20" s="384" t="str">
        <f>VLOOKUP(Table2[[#This Row],[Rate Desc]],lookup305[],2,TRUE)</f>
        <v>48t</v>
      </c>
      <c r="J20" s="384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21" spans="2:10" s="384" customFormat="1" ht="19.5" customHeight="1">
      <c r="B21" s="387" t="s">
        <v>374</v>
      </c>
      <c r="C21" s="384" t="s">
        <v>94</v>
      </c>
      <c r="D21" s="387" t="s">
        <v>342</v>
      </c>
      <c r="E21" s="387" t="s">
        <v>379</v>
      </c>
      <c r="F21" s="388">
        <v>53577.27</v>
      </c>
      <c r="G21" s="389"/>
      <c r="H21" s="388">
        <v>0</v>
      </c>
      <c r="I21" s="384" t="str">
        <f>VLOOKUP(Table2[[#This Row],[Rate Desc]],lookup305[],2,TRUE)</f>
        <v>aga</v>
      </c>
      <c r="J21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2" spans="2:10" s="384" customFormat="1" ht="19.5" customHeight="1">
      <c r="B22" s="387" t="s">
        <v>374</v>
      </c>
      <c r="C22" s="384" t="s">
        <v>94</v>
      </c>
      <c r="D22" s="387" t="s">
        <v>342</v>
      </c>
      <c r="E22" s="387" t="s">
        <v>380</v>
      </c>
      <c r="F22" s="388">
        <v>8538.5499999999993</v>
      </c>
      <c r="G22" s="389"/>
      <c r="H22" s="388">
        <v>0</v>
      </c>
      <c r="I22" s="384" t="str">
        <f>VLOOKUP(Table2[[#This Row],[Rate Desc]],lookup305[],2,TRUE)</f>
        <v>aga</v>
      </c>
      <c r="J22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3" spans="2:10" s="384" customFormat="1" ht="19.5" customHeight="1">
      <c r="B23" s="387" t="s">
        <v>374</v>
      </c>
      <c r="C23" s="384" t="s">
        <v>94</v>
      </c>
      <c r="D23" s="387" t="s">
        <v>342</v>
      </c>
      <c r="E23" s="387" t="s">
        <v>381</v>
      </c>
      <c r="F23" s="388">
        <v>1755.92</v>
      </c>
      <c r="G23" s="389"/>
      <c r="H23" s="388">
        <v>0</v>
      </c>
      <c r="I23" s="384" t="str">
        <f>VLOOKUP(Table2[[#This Row],[Rate Desc]],lookup305[],2,TRUE)</f>
        <v>aga</v>
      </c>
      <c r="J23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4" spans="2:10" s="384" customFormat="1" ht="19.5" customHeight="1">
      <c r="B24" s="387" t="s">
        <v>374</v>
      </c>
      <c r="C24" s="384" t="s">
        <v>94</v>
      </c>
      <c r="D24" s="387" t="s">
        <v>342</v>
      </c>
      <c r="E24" s="387" t="s">
        <v>382</v>
      </c>
      <c r="F24" s="388">
        <v>250469.5</v>
      </c>
      <c r="G24" s="389"/>
      <c r="H24" s="388">
        <v>0</v>
      </c>
      <c r="I24" s="384" t="str">
        <f>VLOOKUP(Table2[[#This Row],[Rate Desc]],lookup305[],2,TRUE)</f>
        <v>aga</v>
      </c>
      <c r="J24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5" spans="2:10" s="384" customFormat="1" ht="19.5" customHeight="1">
      <c r="B25" s="387" t="s">
        <v>374</v>
      </c>
      <c r="C25" s="384" t="s">
        <v>94</v>
      </c>
      <c r="D25" s="387" t="s">
        <v>342</v>
      </c>
      <c r="E25" s="387" t="s">
        <v>383</v>
      </c>
      <c r="F25" s="388">
        <v>39320.450000000004</v>
      </c>
      <c r="G25" s="389"/>
      <c r="H25" s="388">
        <v>0</v>
      </c>
      <c r="I25" s="384" t="str">
        <f>VLOOKUP(Table2[[#This Row],[Rate Desc]],lookup305[],2,TRUE)</f>
        <v>aga</v>
      </c>
      <c r="J25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6" spans="2:10" s="384" customFormat="1" ht="19.5" customHeight="1">
      <c r="B26" s="387" t="s">
        <v>374</v>
      </c>
      <c r="C26" s="384" t="s">
        <v>94</v>
      </c>
      <c r="D26" s="387" t="s">
        <v>342</v>
      </c>
      <c r="E26" s="387" t="s">
        <v>384</v>
      </c>
      <c r="F26" s="388">
        <v>668.76</v>
      </c>
      <c r="G26" s="389"/>
      <c r="H26" s="388">
        <v>0</v>
      </c>
      <c r="I26" s="384" t="str">
        <f>VLOOKUP(Table2[[#This Row],[Rate Desc]],lookup305[],2,TRUE)</f>
        <v>aga</v>
      </c>
      <c r="J26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7" spans="2:10" s="384" customFormat="1" ht="19.5" customHeight="1">
      <c r="B27" s="387" t="s">
        <v>374</v>
      </c>
      <c r="C27" s="384" t="s">
        <v>94</v>
      </c>
      <c r="D27" s="387" t="s">
        <v>342</v>
      </c>
      <c r="E27" s="387" t="s">
        <v>170</v>
      </c>
      <c r="F27" s="388">
        <v>2694.06</v>
      </c>
      <c r="G27" s="389"/>
      <c r="H27" s="388">
        <v>0</v>
      </c>
      <c r="I27" s="384" t="str">
        <f>VLOOKUP(Table2[[#This Row],[Rate Desc]],lookup305[],2,TRUE)</f>
        <v>aga</v>
      </c>
      <c r="J27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8" spans="2:10" s="384" customFormat="1" ht="19.5" customHeight="1">
      <c r="B28" s="387" t="s">
        <v>374</v>
      </c>
      <c r="C28" s="384" t="s">
        <v>94</v>
      </c>
      <c r="D28" s="387" t="s">
        <v>342</v>
      </c>
      <c r="E28" s="387" t="s">
        <v>211</v>
      </c>
      <c r="F28" s="388">
        <v>59177.3</v>
      </c>
      <c r="G28" s="389"/>
      <c r="H28" s="388">
        <v>0</v>
      </c>
      <c r="I28" s="384" t="str">
        <f>VLOOKUP(Table2[[#This Row],[Rate Desc]],lookup305[],2,TRUE)</f>
        <v>aga</v>
      </c>
      <c r="J28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9" spans="2:10" s="384" customFormat="1" ht="19.5" customHeight="1">
      <c r="B29" s="387" t="s">
        <v>374</v>
      </c>
      <c r="C29" s="384" t="s">
        <v>94</v>
      </c>
      <c r="D29" s="387" t="s">
        <v>342</v>
      </c>
      <c r="E29" s="387" t="s">
        <v>213</v>
      </c>
      <c r="F29" s="388">
        <v>13387.58</v>
      </c>
      <c r="G29" s="389"/>
      <c r="H29" s="388">
        <v>0</v>
      </c>
      <c r="I29" s="384" t="str">
        <f>VLOOKUP(Table2[[#This Row],[Rate Desc]],lookup305[],2,TRUE)</f>
        <v>aga</v>
      </c>
      <c r="J29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30" spans="2:10" s="384" customFormat="1" ht="19.5" customHeight="1">
      <c r="B30" s="387" t="s">
        <v>374</v>
      </c>
      <c r="C30" s="384" t="s">
        <v>94</v>
      </c>
      <c r="D30" s="387" t="s">
        <v>342</v>
      </c>
      <c r="E30" s="387" t="s">
        <v>185</v>
      </c>
      <c r="F30" s="388">
        <v>333027.53999999998</v>
      </c>
      <c r="G30" s="389">
        <v>999</v>
      </c>
      <c r="H30" s="388">
        <v>3478354</v>
      </c>
      <c r="I30" s="384">
        <f>VLOOKUP(Table2[[#This Row],[Rate Desc]],lookup305[],2,TRUE)</f>
        <v>24</v>
      </c>
      <c r="J30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31" spans="2:10" s="384" customFormat="1" ht="19.5" customHeight="1">
      <c r="B31" s="387" t="s">
        <v>374</v>
      </c>
      <c r="C31" s="384" t="s">
        <v>94</v>
      </c>
      <c r="D31" s="387" t="s">
        <v>342</v>
      </c>
      <c r="E31" s="387" t="s">
        <v>230</v>
      </c>
      <c r="F31" s="388">
        <v>880325.29</v>
      </c>
      <c r="G31" s="389">
        <v>156</v>
      </c>
      <c r="H31" s="388">
        <v>10047831</v>
      </c>
      <c r="I31" s="384">
        <f>VLOOKUP(Table2[[#This Row],[Rate Desc]],lookup305[],2,TRUE)</f>
        <v>36</v>
      </c>
      <c r="J31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32" spans="2:10" s="384" customFormat="1" ht="19.5" customHeight="1">
      <c r="B32" s="387" t="s">
        <v>374</v>
      </c>
      <c r="C32" s="384" t="s">
        <v>94</v>
      </c>
      <c r="D32" s="387" t="s">
        <v>342</v>
      </c>
      <c r="E32" s="387" t="s">
        <v>309</v>
      </c>
      <c r="F32" s="388">
        <v>772086.87</v>
      </c>
      <c r="G32" s="389">
        <v>24</v>
      </c>
      <c r="H32" s="388">
        <v>10345200</v>
      </c>
      <c r="I32" s="384" t="str">
        <f>VLOOKUP(Table2[[#This Row],[Rate Desc]],lookup305[],2,TRUE)</f>
        <v>48t</v>
      </c>
      <c r="J32" s="384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33" spans="2:10" s="384" customFormat="1" ht="19.5" customHeight="1">
      <c r="B33" s="387" t="s">
        <v>374</v>
      </c>
      <c r="C33" s="384" t="s">
        <v>94</v>
      </c>
      <c r="D33" s="387" t="s">
        <v>342</v>
      </c>
      <c r="E33" s="387" t="s">
        <v>385</v>
      </c>
      <c r="F33" s="388">
        <v>216208.22</v>
      </c>
      <c r="G33" s="389">
        <v>9251</v>
      </c>
      <c r="H33" s="388">
        <v>1471989</v>
      </c>
      <c r="I33" s="384" t="str">
        <f>VLOOKUP(Table2[[#This Row],[Rate Desc]],lookup305[],2,TRUE)</f>
        <v>15n</v>
      </c>
      <c r="J33" s="384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34" spans="2:10" s="384" customFormat="1" ht="19.5" customHeight="1">
      <c r="B34" s="387" t="s">
        <v>374</v>
      </c>
      <c r="C34" s="384" t="s">
        <v>94</v>
      </c>
      <c r="D34" s="387" t="s">
        <v>342</v>
      </c>
      <c r="E34" s="387" t="s">
        <v>197</v>
      </c>
      <c r="F34" s="388">
        <v>82082.650000000009</v>
      </c>
      <c r="G34" s="389">
        <v>5587</v>
      </c>
      <c r="H34" s="388">
        <v>510126</v>
      </c>
      <c r="I34" s="384" t="str">
        <f>VLOOKUP(Table2[[#This Row],[Rate Desc]],lookup305[],2,TRUE)</f>
        <v>15n</v>
      </c>
      <c r="J34" s="384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35" spans="2:10" s="384" customFormat="1" ht="19.5" customHeight="1">
      <c r="B35" s="387" t="s">
        <v>374</v>
      </c>
      <c r="C35" s="384" t="s">
        <v>94</v>
      </c>
      <c r="D35" s="387" t="s">
        <v>342</v>
      </c>
      <c r="E35" s="387" t="s">
        <v>386</v>
      </c>
      <c r="F35" s="388">
        <v>27763.8</v>
      </c>
      <c r="G35" s="389">
        <v>328</v>
      </c>
      <c r="H35" s="388">
        <v>291359</v>
      </c>
      <c r="I35" s="384">
        <f>VLOOKUP(Table2[[#This Row],[Rate Desc]],lookup305[],2,TRUE)</f>
        <v>54</v>
      </c>
      <c r="J35" s="384">
        <f>IF(Table2[[#This Row],[Rate Group Cd]]="B",IF(OR(Table2[[#This Row],[Code]]="bpa",Table2[[#This Row],[Code]]="bpaadj"),Table2[[#This Row],[Code]],"b"&amp;Table2[[#This Row],[Code]]),Table2[[#This Row],[Code]])</f>
        <v>54</v>
      </c>
    </row>
    <row r="36" spans="2:10" s="384" customFormat="1" ht="19.5" customHeight="1">
      <c r="B36" s="387" t="s">
        <v>374</v>
      </c>
      <c r="C36" s="384" t="s">
        <v>94</v>
      </c>
      <c r="D36" s="387" t="s">
        <v>342</v>
      </c>
      <c r="E36" s="387" t="s">
        <v>107</v>
      </c>
      <c r="F36" s="388">
        <v>-0.72</v>
      </c>
      <c r="G36" s="389"/>
      <c r="H36" s="388">
        <v>0</v>
      </c>
      <c r="I36" s="384" t="str">
        <f>VLOOKUP(Table2[[#This Row],[Rate Desc]],lookup305[],2,TRUE)</f>
        <v>cent</v>
      </c>
      <c r="J36" s="384" t="str">
        <f>IF(Table2[[#This Row],[Rate Group Cd]]="B",IF(OR(Table2[[#This Row],[Code]]="bpa",Table2[[#This Row],[Code]]="bpaadj"),Table2[[#This Row],[Code]],"b"&amp;Table2[[#This Row],[Code]]),Table2[[#This Row],[Code]])</f>
        <v>cent</v>
      </c>
    </row>
    <row r="37" spans="2:10" s="384" customFormat="1" ht="19.5" customHeight="1">
      <c r="B37" s="387" t="s">
        <v>374</v>
      </c>
      <c r="C37" s="384" t="s">
        <v>94</v>
      </c>
      <c r="D37" s="387" t="s">
        <v>342</v>
      </c>
      <c r="E37" s="387" t="s">
        <v>269</v>
      </c>
      <c r="F37" s="388">
        <v>4368260.92</v>
      </c>
      <c r="G37" s="389">
        <v>0</v>
      </c>
      <c r="H37" s="388">
        <v>0</v>
      </c>
      <c r="I37" s="384" t="str">
        <f>VLOOKUP(Table2[[#This Row],[Rate Desc]],lookup305[],2,TRUE)</f>
        <v>dsm</v>
      </c>
      <c r="J37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38" spans="2:10" s="384" customFormat="1" ht="19.5" customHeight="1">
      <c r="B38" s="387" t="s">
        <v>374</v>
      </c>
      <c r="C38" s="384" t="s">
        <v>94</v>
      </c>
      <c r="D38" s="387" t="s">
        <v>342</v>
      </c>
      <c r="E38" s="387" t="s">
        <v>270</v>
      </c>
      <c r="F38" s="388">
        <v>11079.71</v>
      </c>
      <c r="G38" s="389">
        <v>12</v>
      </c>
      <c r="H38" s="388">
        <v>0</v>
      </c>
      <c r="I38" s="384" t="str">
        <f>VLOOKUP(Table2[[#This Row],[Rate Desc]],lookup305[],2,TRUE)</f>
        <v>blue</v>
      </c>
      <c r="J38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39" spans="2:10" s="384" customFormat="1" ht="19.5" customHeight="1">
      <c r="B39" s="387" t="s">
        <v>374</v>
      </c>
      <c r="C39" s="384" t="s">
        <v>94</v>
      </c>
      <c r="D39" s="387" t="s">
        <v>342</v>
      </c>
      <c r="E39" s="387" t="s">
        <v>415</v>
      </c>
      <c r="F39" s="388">
        <v>-1120942.1299999999</v>
      </c>
      <c r="G39" s="389">
        <v>0</v>
      </c>
      <c r="H39" s="388">
        <v>0</v>
      </c>
      <c r="I39" s="384" t="str">
        <f>VLOOKUP(Table2[[#This Row],[Rate Desc]],lookup305[],2,TRUE)</f>
        <v>arp</v>
      </c>
      <c r="J39" s="408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40" spans="2:10" s="384" customFormat="1" ht="19.5" customHeight="1">
      <c r="B40" s="387" t="s">
        <v>374</v>
      </c>
      <c r="C40" s="384" t="s">
        <v>94</v>
      </c>
      <c r="D40" s="387" t="s">
        <v>342</v>
      </c>
      <c r="E40" s="387" t="s">
        <v>389</v>
      </c>
      <c r="F40" s="388"/>
      <c r="G40" s="389">
        <v>0</v>
      </c>
      <c r="H40" s="388"/>
    </row>
    <row r="41" spans="2:10" s="384" customFormat="1" ht="19.5" customHeight="1">
      <c r="B41" s="387" t="s">
        <v>374</v>
      </c>
      <c r="C41" s="384" t="s">
        <v>94</v>
      </c>
      <c r="D41" s="387" t="s">
        <v>342</v>
      </c>
      <c r="E41" s="387" t="s">
        <v>416</v>
      </c>
      <c r="F41" s="388">
        <v>-3149364</v>
      </c>
      <c r="G41" s="389">
        <v>0</v>
      </c>
      <c r="H41" s="388">
        <v>0</v>
      </c>
      <c r="I41" s="384" t="str">
        <f>VLOOKUP(Table2[[#This Row],[Rate Desc]],lookup305[],2,TRUE)</f>
        <v>itd</v>
      </c>
      <c r="J41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42" spans="2:10" s="384" customFormat="1" ht="19.5" customHeight="1">
      <c r="B42" s="387" t="s">
        <v>374</v>
      </c>
      <c r="C42" s="384" t="s">
        <v>94</v>
      </c>
      <c r="D42" s="387" t="s">
        <v>342</v>
      </c>
      <c r="E42" s="387" t="s">
        <v>253</v>
      </c>
      <c r="F42" s="388">
        <v>54184.63</v>
      </c>
      <c r="G42" s="389">
        <v>0</v>
      </c>
      <c r="H42" s="388">
        <v>0</v>
      </c>
      <c r="I42" s="384" t="str">
        <f>VLOOKUP(Table2[[#This Row],[Rate Desc]],lookup305[],2,TRUE)</f>
        <v>rev</v>
      </c>
      <c r="J42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43" spans="2:10" s="384" customFormat="1" ht="19.5" customHeight="1">
      <c r="B43" s="387" t="s">
        <v>374</v>
      </c>
      <c r="C43" s="384" t="s">
        <v>94</v>
      </c>
      <c r="D43" s="387" t="s">
        <v>342</v>
      </c>
      <c r="E43" s="387" t="s">
        <v>229</v>
      </c>
      <c r="F43" s="388">
        <v>-9600757.5299999993</v>
      </c>
      <c r="G43" s="389">
        <v>0</v>
      </c>
      <c r="H43" s="388">
        <v>0</v>
      </c>
      <c r="I43" s="384" t="str">
        <f>VLOOKUP(Table2[[#This Row],[Rate Desc]],lookup305[],2,TRUE)</f>
        <v>rev</v>
      </c>
      <c r="J43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44" spans="2:10" s="384" customFormat="1" ht="19.5" customHeight="1">
      <c r="B44" s="387" t="s">
        <v>374</v>
      </c>
      <c r="C44" s="384" t="s">
        <v>94</v>
      </c>
      <c r="D44" s="387" t="s">
        <v>343</v>
      </c>
      <c r="E44" s="387" t="s">
        <v>390</v>
      </c>
      <c r="F44" s="388">
        <v>-161000</v>
      </c>
      <c r="G44" s="389">
        <v>0</v>
      </c>
      <c r="H44" s="388">
        <v>-1881000</v>
      </c>
      <c r="I44" s="384" t="str">
        <f>VLOOKUP(Table2[[#This Row],[Rate Desc]],lookup305[],2,TRUE)</f>
        <v>unbilled</v>
      </c>
      <c r="J44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45" spans="2:10" s="384" customFormat="1" ht="19.5" customHeight="1">
      <c r="B45" s="387" t="s">
        <v>374</v>
      </c>
      <c r="C45" s="384" t="s">
        <v>114</v>
      </c>
      <c r="D45" s="387" t="s">
        <v>4</v>
      </c>
      <c r="E45" s="387" t="s">
        <v>195</v>
      </c>
      <c r="F45" s="388">
        <v>-7393.04</v>
      </c>
      <c r="G45" s="389">
        <v>516</v>
      </c>
      <c r="H45" s="388">
        <v>940515</v>
      </c>
      <c r="I45" s="384">
        <f>VLOOKUP(Table2[[#This Row],[Rate Desc]],lookup305[],2,TRUE)</f>
        <v>24</v>
      </c>
      <c r="J45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46" spans="2:10" s="384" customFormat="1" ht="19.5" customHeight="1">
      <c r="B46" s="387" t="s">
        <v>374</v>
      </c>
      <c r="C46" s="384" t="s">
        <v>114</v>
      </c>
      <c r="D46" s="387" t="s">
        <v>4</v>
      </c>
      <c r="E46" s="387" t="s">
        <v>196</v>
      </c>
      <c r="F46" s="388">
        <v>-26.58</v>
      </c>
      <c r="G46" s="389">
        <v>12</v>
      </c>
      <c r="H46" s="388">
        <v>3274</v>
      </c>
      <c r="I46" s="384" t="str">
        <f>VLOOKUP(Table2[[#This Row],[Rate Desc]],lookup305[],2,TRUE)</f>
        <v>24fp</v>
      </c>
      <c r="J46" s="384" t="str">
        <f>IF(Table2[[#This Row],[Rate Group Cd]]="B",IF(OR(Table2[[#This Row],[Code]]="bpa",Table2[[#This Row],[Code]]="bpaadj"),Table2[[#This Row],[Code]],"b"&amp;Table2[[#This Row],[Code]]),Table2[[#This Row],[Code]])</f>
        <v>b24fp</v>
      </c>
    </row>
    <row r="47" spans="2:10" s="384" customFormat="1" ht="19.5" customHeight="1">
      <c r="B47" s="387" t="s">
        <v>374</v>
      </c>
      <c r="C47" s="384" t="s">
        <v>114</v>
      </c>
      <c r="D47" s="387" t="s">
        <v>4</v>
      </c>
      <c r="E47" s="387" t="s">
        <v>192</v>
      </c>
      <c r="F47" s="388">
        <v>-12267.26</v>
      </c>
      <c r="G47" s="389">
        <v>110</v>
      </c>
      <c r="H47" s="388">
        <v>1582080</v>
      </c>
      <c r="I47" s="384">
        <f>VLOOKUP(Table2[[#This Row],[Rate Desc]],lookup305[],2,TRUE)</f>
        <v>36</v>
      </c>
      <c r="J47" s="384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48" spans="2:10" s="384" customFormat="1" ht="19.5" customHeight="1">
      <c r="B48" s="387" t="s">
        <v>374</v>
      </c>
      <c r="C48" s="384" t="s">
        <v>114</v>
      </c>
      <c r="D48" s="387" t="s">
        <v>4</v>
      </c>
      <c r="E48" s="387" t="s">
        <v>193</v>
      </c>
      <c r="F48" s="388">
        <v>-212.17</v>
      </c>
      <c r="G48" s="389"/>
      <c r="H48" s="388">
        <v>26736</v>
      </c>
      <c r="I48" s="384" t="str">
        <f>VLOOKUP(Table2[[#This Row],[Rate Desc]],lookup305[],2,TRUE)</f>
        <v>15n</v>
      </c>
      <c r="J48" s="384" t="str">
        <f>IF(Table2[[#This Row],[Rate Group Cd]]="B",IF(OR(Table2[[#This Row],[Code]]="bpa",Table2[[#This Row],[Code]]="bpaadj"),Table2[[#This Row],[Code]],"b"&amp;Table2[[#This Row],[Code]]),Table2[[#This Row],[Code]])</f>
        <v>b15n</v>
      </c>
    </row>
    <row r="49" spans="2:10" s="384" customFormat="1" ht="19.5" customHeight="1">
      <c r="B49" s="387" t="s">
        <v>374</v>
      </c>
      <c r="C49" s="384" t="s">
        <v>114</v>
      </c>
      <c r="D49" s="387" t="s">
        <v>4</v>
      </c>
      <c r="E49" s="387" t="s">
        <v>387</v>
      </c>
      <c r="F49" s="388">
        <v>221.5</v>
      </c>
      <c r="G49" s="389">
        <v>0</v>
      </c>
      <c r="H49" s="388">
        <v>0</v>
      </c>
      <c r="I49" s="384" t="str">
        <f>VLOOKUP(Table2[[#This Row],[Rate Desc]],lookup305[],2,TRUE)</f>
        <v>bpa</v>
      </c>
      <c r="J49" s="384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50" spans="2:10" s="384" customFormat="1" ht="19.5" customHeight="1">
      <c r="B50" s="387" t="s">
        <v>374</v>
      </c>
      <c r="C50" s="384" t="s">
        <v>114</v>
      </c>
      <c r="D50" s="387" t="s">
        <v>4</v>
      </c>
      <c r="E50" s="387" t="s">
        <v>388</v>
      </c>
      <c r="F50" s="388"/>
      <c r="G50" s="389">
        <v>0</v>
      </c>
      <c r="H50" s="388"/>
    </row>
    <row r="51" spans="2:10" s="384" customFormat="1" ht="19.5" customHeight="1">
      <c r="B51" s="387" t="s">
        <v>374</v>
      </c>
      <c r="C51" s="384" t="s">
        <v>114</v>
      </c>
      <c r="D51" s="387" t="s">
        <v>342</v>
      </c>
      <c r="E51" s="387" t="s">
        <v>189</v>
      </c>
      <c r="F51" s="388">
        <v>104111.6</v>
      </c>
      <c r="G51" s="389">
        <v>516</v>
      </c>
      <c r="H51" s="388">
        <v>940517</v>
      </c>
      <c r="I51" s="384">
        <f>VLOOKUP(Table2[[#This Row],[Rate Desc]],lookup305[],2,TRUE)</f>
        <v>24</v>
      </c>
      <c r="J51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52" spans="2:10" s="384" customFormat="1" ht="19.5" customHeight="1">
      <c r="B52" s="387" t="s">
        <v>374</v>
      </c>
      <c r="C52" s="384" t="s">
        <v>114</v>
      </c>
      <c r="D52" s="387" t="s">
        <v>342</v>
      </c>
      <c r="E52" s="387" t="s">
        <v>190</v>
      </c>
      <c r="F52" s="388">
        <v>2085.4700000000003</v>
      </c>
      <c r="G52" s="389">
        <v>12</v>
      </c>
      <c r="H52" s="388">
        <v>3274</v>
      </c>
      <c r="I52" s="384" t="str">
        <f>VLOOKUP(Table2[[#This Row],[Rate Desc]],lookup305[],2,TRUE)</f>
        <v>24fp</v>
      </c>
      <c r="J52" s="384" t="str">
        <f>IF(Table2[[#This Row],[Rate Group Cd]]="B",IF(OR(Table2[[#This Row],[Code]]="bpa",Table2[[#This Row],[Code]]="bpaadj"),Table2[[#This Row],[Code]],"b"&amp;Table2[[#This Row],[Code]]),Table2[[#This Row],[Code]])</f>
        <v>24fp</v>
      </c>
    </row>
    <row r="53" spans="2:10" s="384" customFormat="1" ht="19.5" customHeight="1">
      <c r="B53" s="387" t="s">
        <v>374</v>
      </c>
      <c r="C53" s="384" t="s">
        <v>114</v>
      </c>
      <c r="D53" s="387" t="s">
        <v>342</v>
      </c>
      <c r="E53" s="387" t="s">
        <v>375</v>
      </c>
      <c r="F53" s="388">
        <v>1478318.45</v>
      </c>
      <c r="G53" s="389">
        <v>3927</v>
      </c>
      <c r="H53" s="388">
        <v>15228512</v>
      </c>
      <c r="I53" s="384">
        <f>VLOOKUP(Table2[[#This Row],[Rate Desc]],lookup305[],2,TRUE)</f>
        <v>24</v>
      </c>
      <c r="J53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54" spans="2:10" s="384" customFormat="1" ht="19.5" customHeight="1">
      <c r="B54" s="387" t="s">
        <v>374</v>
      </c>
      <c r="C54" s="384" t="s">
        <v>114</v>
      </c>
      <c r="D54" s="387" t="s">
        <v>342</v>
      </c>
      <c r="E54" s="387" t="s">
        <v>376</v>
      </c>
      <c r="F54" s="388">
        <v>8856.41</v>
      </c>
      <c r="G54" s="389">
        <v>48</v>
      </c>
      <c r="H54" s="388">
        <v>33312</v>
      </c>
      <c r="I54" s="384" t="str">
        <f>VLOOKUP(Table2[[#This Row],[Rate Desc]],lookup305[],2,TRUE)</f>
        <v>24f</v>
      </c>
      <c r="J54" s="384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55" spans="2:10" s="384" customFormat="1" ht="19.5" customHeight="1">
      <c r="B55" s="387" t="s">
        <v>374</v>
      </c>
      <c r="C55" s="384" t="s">
        <v>114</v>
      </c>
      <c r="D55" s="387" t="s">
        <v>342</v>
      </c>
      <c r="E55" s="387" t="s">
        <v>199</v>
      </c>
      <c r="F55" s="388">
        <v>196091.46</v>
      </c>
      <c r="G55" s="389">
        <v>110</v>
      </c>
      <c r="H55" s="388">
        <v>1582083</v>
      </c>
      <c r="I55" s="384">
        <f>VLOOKUP(Table2[[#This Row],[Rate Desc]],lookup305[],2,TRUE)</f>
        <v>36</v>
      </c>
      <c r="J55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56" spans="2:10" s="384" customFormat="1" ht="19.5" customHeight="1">
      <c r="B56" s="387" t="s">
        <v>374</v>
      </c>
      <c r="C56" s="384" t="s">
        <v>114</v>
      </c>
      <c r="D56" s="387" t="s">
        <v>342</v>
      </c>
      <c r="E56" s="387" t="s">
        <v>377</v>
      </c>
      <c r="F56" s="388">
        <v>7976044.9699999997</v>
      </c>
      <c r="G56" s="389">
        <v>1157</v>
      </c>
      <c r="H56" s="388">
        <v>92679821</v>
      </c>
      <c r="I56" s="384">
        <f>VLOOKUP(Table2[[#This Row],[Rate Desc]],lookup305[],2,TRUE)</f>
        <v>36</v>
      </c>
      <c r="J56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57" spans="2:10" s="384" customFormat="1" ht="19.5" customHeight="1">
      <c r="B57" s="387" t="s">
        <v>374</v>
      </c>
      <c r="C57" s="384" t="s">
        <v>114</v>
      </c>
      <c r="D57" s="387" t="s">
        <v>342</v>
      </c>
      <c r="E57" s="387" t="s">
        <v>378</v>
      </c>
      <c r="F57" s="388">
        <v>41489222.350000001</v>
      </c>
      <c r="G57" s="389">
        <v>387</v>
      </c>
      <c r="H57" s="388">
        <v>620274951</v>
      </c>
      <c r="I57" s="384" t="str">
        <f>VLOOKUP(Table2[[#This Row],[Rate Desc]],lookup305[],2,TRUE)</f>
        <v>48t</v>
      </c>
      <c r="J57" s="384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58" spans="2:10" s="384" customFormat="1" ht="19.5" customHeight="1">
      <c r="B58" s="387" t="s">
        <v>374</v>
      </c>
      <c r="C58" s="384" t="s">
        <v>114</v>
      </c>
      <c r="D58" s="387" t="s">
        <v>342</v>
      </c>
      <c r="E58" s="387" t="s">
        <v>380</v>
      </c>
      <c r="F58" s="388">
        <v>25144.080000000002</v>
      </c>
      <c r="G58" s="389"/>
      <c r="H58" s="388">
        <v>0</v>
      </c>
      <c r="I58" s="384" t="str">
        <f>VLOOKUP(Table2[[#This Row],[Rate Desc]],lookup305[],2,TRUE)</f>
        <v>aga</v>
      </c>
      <c r="J58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59" spans="2:10" s="384" customFormat="1" ht="19.5" customHeight="1">
      <c r="B59" s="387" t="s">
        <v>374</v>
      </c>
      <c r="C59" s="384" t="s">
        <v>114</v>
      </c>
      <c r="D59" s="387" t="s">
        <v>342</v>
      </c>
      <c r="E59" s="387" t="s">
        <v>385</v>
      </c>
      <c r="F59" s="388">
        <v>13259.56</v>
      </c>
      <c r="G59" s="389">
        <v>450</v>
      </c>
      <c r="H59" s="388">
        <v>96818</v>
      </c>
      <c r="I59" s="384" t="str">
        <f>VLOOKUP(Table2[[#This Row],[Rate Desc]],lookup305[],2,TRUE)</f>
        <v>15n</v>
      </c>
      <c r="J59" s="384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60" spans="2:10" s="384" customFormat="1" ht="19.5" customHeight="1">
      <c r="B60" s="387" t="s">
        <v>374</v>
      </c>
      <c r="C60" s="384" t="s">
        <v>114</v>
      </c>
      <c r="D60" s="387" t="s">
        <v>342</v>
      </c>
      <c r="E60" s="387" t="s">
        <v>197</v>
      </c>
      <c r="F60" s="388">
        <v>4177.88</v>
      </c>
      <c r="G60" s="389">
        <v>168</v>
      </c>
      <c r="H60" s="388">
        <v>26737</v>
      </c>
      <c r="I60" s="384" t="str">
        <f>VLOOKUP(Table2[[#This Row],[Rate Desc]],lookup305[],2,TRUE)</f>
        <v>15n</v>
      </c>
      <c r="J60" s="384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61" spans="2:10" s="384" customFormat="1" ht="19.5" customHeight="1">
      <c r="B61" s="387" t="s">
        <v>374</v>
      </c>
      <c r="C61" s="384" t="s">
        <v>114</v>
      </c>
      <c r="D61" s="387" t="s">
        <v>342</v>
      </c>
      <c r="E61" s="387" t="s">
        <v>391</v>
      </c>
      <c r="F61" s="388">
        <v>331421.83</v>
      </c>
      <c r="G61" s="389">
        <v>12</v>
      </c>
      <c r="H61" s="388">
        <v>2044000</v>
      </c>
      <c r="I61" s="384">
        <f>VLOOKUP(Table2[[#This Row],[Rate Desc]],lookup305[],2,TRUE)</f>
        <v>47</v>
      </c>
      <c r="J61" s="384">
        <f>IF(Table2[[#This Row],[Rate Group Cd]]="B",IF(OR(Table2[[#This Row],[Code]]="bpa",Table2[[#This Row],[Code]]="bpaadj"),Table2[[#This Row],[Code]],"b"&amp;Table2[[#This Row],[Code]]),Table2[[#This Row],[Code]])</f>
        <v>47</v>
      </c>
    </row>
    <row r="62" spans="2:10" s="384" customFormat="1" ht="19.5" customHeight="1">
      <c r="B62" s="387" t="s">
        <v>374</v>
      </c>
      <c r="C62" s="384" t="s">
        <v>114</v>
      </c>
      <c r="D62" s="387" t="s">
        <v>342</v>
      </c>
      <c r="E62" s="387" t="s">
        <v>271</v>
      </c>
      <c r="F62" s="388">
        <v>1665639.08</v>
      </c>
      <c r="G62" s="389">
        <v>0</v>
      </c>
      <c r="H62" s="388">
        <v>0</v>
      </c>
      <c r="I62" s="384" t="str">
        <f>VLOOKUP(Table2[[#This Row],[Rate Desc]],lookup305[],2,TRUE)</f>
        <v>dsm</v>
      </c>
      <c r="J62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63" spans="2:10" s="384" customFormat="1" ht="19.5" customHeight="1">
      <c r="B63" s="387" t="s">
        <v>374</v>
      </c>
      <c r="C63" s="384" t="s">
        <v>114</v>
      </c>
      <c r="D63" s="387" t="s">
        <v>342</v>
      </c>
      <c r="E63" s="387" t="s">
        <v>372</v>
      </c>
      <c r="F63" s="388">
        <v>33.92</v>
      </c>
      <c r="G63" s="389">
        <v>24</v>
      </c>
      <c r="H63" s="388">
        <v>0</v>
      </c>
      <c r="I63" s="384" t="str">
        <f>VLOOKUP(Table2[[#This Row],[Rate Desc]],lookup305[],2,TRUE)</f>
        <v>blue</v>
      </c>
      <c r="J63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64" spans="2:10" s="384" customFormat="1" ht="19.5" customHeight="1">
      <c r="B64" s="387" t="s">
        <v>374</v>
      </c>
      <c r="C64" s="384" t="s">
        <v>114</v>
      </c>
      <c r="D64" s="387" t="s">
        <v>342</v>
      </c>
      <c r="E64" s="387" t="s">
        <v>415</v>
      </c>
      <c r="F64" s="388">
        <v>-30381.040000000001</v>
      </c>
      <c r="G64" s="389">
        <v>0</v>
      </c>
      <c r="H64" s="388">
        <v>0</v>
      </c>
      <c r="I64" s="384" t="str">
        <f>VLOOKUP(Table2[[#This Row],[Rate Desc]],lookup305[],2,TRUE)</f>
        <v>arp</v>
      </c>
      <c r="J64" s="408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65" spans="2:10" s="384" customFormat="1" ht="19.5" customHeight="1">
      <c r="B65" s="387" t="s">
        <v>374</v>
      </c>
      <c r="C65" s="384" t="s">
        <v>114</v>
      </c>
      <c r="D65" s="387" t="s">
        <v>342</v>
      </c>
      <c r="E65" s="387" t="s">
        <v>389</v>
      </c>
      <c r="F65" s="388"/>
      <c r="G65" s="389">
        <v>0</v>
      </c>
      <c r="H65" s="388"/>
    </row>
    <row r="66" spans="2:10" s="384" customFormat="1" ht="19.5" customHeight="1">
      <c r="B66" s="387" t="s">
        <v>374</v>
      </c>
      <c r="C66" s="384" t="s">
        <v>114</v>
      </c>
      <c r="D66" s="387" t="s">
        <v>342</v>
      </c>
      <c r="E66" s="387" t="s">
        <v>416</v>
      </c>
      <c r="F66" s="388">
        <v>-1650105.3</v>
      </c>
      <c r="G66" s="389">
        <v>0</v>
      </c>
      <c r="H66" s="388">
        <v>0</v>
      </c>
      <c r="I66" s="384" t="str">
        <f>VLOOKUP(Table2[[#This Row],[Rate Desc]],lookup305[],2,TRUE)</f>
        <v>itd</v>
      </c>
      <c r="J66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67" spans="2:10" s="384" customFormat="1" ht="19.5" customHeight="1">
      <c r="B67" s="387" t="s">
        <v>374</v>
      </c>
      <c r="C67" s="384" t="s">
        <v>114</v>
      </c>
      <c r="D67" s="387" t="s">
        <v>342</v>
      </c>
      <c r="E67" s="387" t="s">
        <v>253</v>
      </c>
      <c r="F67" s="388">
        <v>28717.7</v>
      </c>
      <c r="G67" s="389">
        <v>0</v>
      </c>
      <c r="H67" s="388">
        <v>0</v>
      </c>
      <c r="I67" s="384" t="str">
        <f>VLOOKUP(Table2[[#This Row],[Rate Desc]],lookup305[],2,TRUE)</f>
        <v>rev</v>
      </c>
      <c r="J67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68" spans="2:10" s="384" customFormat="1" ht="19.5" customHeight="1">
      <c r="B68" s="387" t="s">
        <v>374</v>
      </c>
      <c r="C68" s="384" t="s">
        <v>114</v>
      </c>
      <c r="D68" s="387" t="s">
        <v>342</v>
      </c>
      <c r="E68" s="387" t="s">
        <v>229</v>
      </c>
      <c r="F68" s="388">
        <v>-4173512.93</v>
      </c>
      <c r="G68" s="389">
        <v>0</v>
      </c>
      <c r="H68" s="388">
        <v>0</v>
      </c>
      <c r="I68" s="384" t="str">
        <f>VLOOKUP(Table2[[#This Row],[Rate Desc]],lookup305[],2,TRUE)</f>
        <v>rev</v>
      </c>
      <c r="J68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69" spans="2:10" s="384" customFormat="1" ht="19.5" customHeight="1">
      <c r="B69" s="387" t="s">
        <v>374</v>
      </c>
      <c r="C69" s="384" t="s">
        <v>114</v>
      </c>
      <c r="D69" s="387" t="s">
        <v>343</v>
      </c>
      <c r="E69" s="387" t="s">
        <v>390</v>
      </c>
      <c r="F69" s="388">
        <v>876000</v>
      </c>
      <c r="G69" s="389">
        <v>0</v>
      </c>
      <c r="H69" s="388">
        <v>5650000</v>
      </c>
      <c r="I69" s="384" t="str">
        <f>VLOOKUP(Table2[[#This Row],[Rate Desc]],lookup305[],2,TRUE)</f>
        <v>unbilled</v>
      </c>
      <c r="J69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70" spans="2:10" s="384" customFormat="1" ht="19.5" customHeight="1">
      <c r="B70" s="387" t="s">
        <v>374</v>
      </c>
      <c r="C70" s="384" t="s">
        <v>117</v>
      </c>
      <c r="D70" s="387" t="s">
        <v>4</v>
      </c>
      <c r="E70" s="387" t="s">
        <v>392</v>
      </c>
      <c r="F70" s="388">
        <v>-851580.77</v>
      </c>
      <c r="G70" s="389">
        <v>36276</v>
      </c>
      <c r="H70" s="388">
        <v>110633592</v>
      </c>
      <c r="I70" s="384">
        <f>VLOOKUP(Table2[[#This Row],[Rate Desc]],lookup305[],2,TRUE)</f>
        <v>40</v>
      </c>
      <c r="J70" s="384" t="str">
        <f>IF(Table2[[#This Row],[Rate Group Cd]]="B",IF(OR(Table2[[#This Row],[Code]]="bpa",Table2[[#This Row],[Code]]="bpaadj"),Table2[[#This Row],[Code]],"b"&amp;Table2[[#This Row],[Code]]),Table2[[#This Row],[Code]])</f>
        <v>b40</v>
      </c>
    </row>
    <row r="71" spans="2:10" s="384" customFormat="1" ht="19.5" customHeight="1">
      <c r="B71" s="387" t="s">
        <v>374</v>
      </c>
      <c r="C71" s="384" t="s">
        <v>117</v>
      </c>
      <c r="D71" s="387" t="s">
        <v>4</v>
      </c>
      <c r="E71" s="387" t="s">
        <v>394</v>
      </c>
      <c r="F71" s="388">
        <v>108720.5</v>
      </c>
      <c r="G71" s="389"/>
      <c r="H71" s="388">
        <v>-14367568</v>
      </c>
      <c r="I71" s="384" t="str">
        <f>VLOOKUP(Table2[[#This Row],[Rate Desc]],lookup305[],2,TRUE)</f>
        <v>bpaadj</v>
      </c>
      <c r="J71" s="384" t="str">
        <f>IF(Table2[[#This Row],[Rate Group Cd]]="B",IF(OR(Table2[[#This Row],[Code]]="bpa",Table2[[#This Row],[Code]]="bpaadj"),Table2[[#This Row],[Code]],"b"&amp;Table2[[#This Row],[Code]]),Table2[[#This Row],[Code]])</f>
        <v>bpaadj</v>
      </c>
    </row>
    <row r="72" spans="2:10" s="384" customFormat="1" ht="19.5" customHeight="1">
      <c r="B72" s="387" t="s">
        <v>374</v>
      </c>
      <c r="C72" s="384" t="s">
        <v>117</v>
      </c>
      <c r="D72" s="387" t="s">
        <v>4</v>
      </c>
      <c r="E72" s="387" t="s">
        <v>311</v>
      </c>
      <c r="F72" s="388">
        <v>-2222.6799999999998</v>
      </c>
      <c r="G72" s="389">
        <v>110</v>
      </c>
      <c r="H72" s="388">
        <v>291496</v>
      </c>
      <c r="I72" s="384">
        <f>VLOOKUP(Table2[[#This Row],[Rate Desc]],lookup305[],2,TRUE)</f>
        <v>40</v>
      </c>
      <c r="J72" s="384" t="str">
        <f>IF(Table2[[#This Row],[Rate Group Cd]]="B",IF(OR(Table2[[#This Row],[Code]]="bpa",Table2[[#This Row],[Code]]="bpaadj"),Table2[[#This Row],[Code]],"b"&amp;Table2[[#This Row],[Code]]),Table2[[#This Row],[Code]])</f>
        <v>b40</v>
      </c>
    </row>
    <row r="73" spans="2:10" s="384" customFormat="1" ht="19.5" customHeight="1">
      <c r="B73" s="387" t="s">
        <v>374</v>
      </c>
      <c r="C73" s="384" t="s">
        <v>117</v>
      </c>
      <c r="D73" s="387" t="s">
        <v>4</v>
      </c>
      <c r="E73" s="387" t="s">
        <v>396</v>
      </c>
      <c r="F73" s="388"/>
      <c r="G73" s="389">
        <v>0</v>
      </c>
      <c r="H73" s="388"/>
    </row>
    <row r="74" spans="2:10" s="384" customFormat="1" ht="19.5" customHeight="1">
      <c r="B74" s="387" t="s">
        <v>374</v>
      </c>
      <c r="C74" s="384" t="s">
        <v>117</v>
      </c>
      <c r="D74" s="387" t="s">
        <v>4</v>
      </c>
      <c r="E74" s="387" t="s">
        <v>397</v>
      </c>
      <c r="F74" s="388">
        <v>4417.13</v>
      </c>
      <c r="G74" s="389">
        <v>0</v>
      </c>
      <c r="H74" s="388">
        <v>0</v>
      </c>
      <c r="I74" s="384" t="str">
        <f>VLOOKUP(Table2[[#This Row],[Rate Desc]],lookup305[],2,TRUE)</f>
        <v>bpa</v>
      </c>
      <c r="J74" s="384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75" spans="2:10" s="384" customFormat="1" ht="19.5" customHeight="1">
      <c r="B75" s="387" t="s">
        <v>374</v>
      </c>
      <c r="C75" s="384" t="s">
        <v>117</v>
      </c>
      <c r="D75" s="387" t="s">
        <v>342</v>
      </c>
      <c r="E75" s="387" t="s">
        <v>392</v>
      </c>
      <c r="F75" s="388">
        <v>10101226.24</v>
      </c>
      <c r="G75" s="389">
        <v>36276</v>
      </c>
      <c r="H75" s="388">
        <v>110633714</v>
      </c>
      <c r="I75" s="384">
        <f>VLOOKUP(Table2[[#This Row],[Rate Desc]],lookup305[],2,TRUE)</f>
        <v>40</v>
      </c>
      <c r="J75" s="384">
        <f>IF(Table2[[#This Row],[Rate Group Cd]]="B",IF(OR(Table2[[#This Row],[Code]]="bpa",Table2[[#This Row],[Code]]="bpaadj"),Table2[[#This Row],[Code]],"b"&amp;Table2[[#This Row],[Code]]),Table2[[#This Row],[Code]])</f>
        <v>40</v>
      </c>
    </row>
    <row r="76" spans="2:10" s="384" customFormat="1" ht="19.5" customHeight="1">
      <c r="B76" s="387" t="s">
        <v>374</v>
      </c>
      <c r="C76" s="384" t="s">
        <v>117</v>
      </c>
      <c r="D76" s="387" t="s">
        <v>342</v>
      </c>
      <c r="E76" s="387" t="s">
        <v>393</v>
      </c>
      <c r="F76" s="388">
        <v>4979633.5999999996</v>
      </c>
      <c r="G76" s="389">
        <v>25650</v>
      </c>
      <c r="H76" s="388">
        <v>53829448</v>
      </c>
      <c r="I76" s="384" t="str">
        <f>VLOOKUP(Table2[[#This Row],[Rate Desc]],lookup305[],2,TRUE)</f>
        <v>40x</v>
      </c>
      <c r="J76" s="384" t="str">
        <f>IF(Table2[[#This Row],[Rate Group Cd]]="B",IF(OR(Table2[[#This Row],[Code]]="bpa",Table2[[#This Row],[Code]]="bpaadj"),Table2[[#This Row],[Code]],"b"&amp;Table2[[#This Row],[Code]]),Table2[[#This Row],[Code]])</f>
        <v>40x</v>
      </c>
    </row>
    <row r="77" spans="2:10" s="384" customFormat="1" ht="19.5" customHeight="1">
      <c r="B77" s="387" t="s">
        <v>374</v>
      </c>
      <c r="C77" s="384" t="s">
        <v>117</v>
      </c>
      <c r="D77" s="387" t="s">
        <v>342</v>
      </c>
      <c r="E77" s="387" t="s">
        <v>379</v>
      </c>
      <c r="F77" s="388">
        <v>2560.75</v>
      </c>
      <c r="G77" s="389"/>
      <c r="H77" s="388">
        <v>0</v>
      </c>
      <c r="I77" s="384" t="str">
        <f>VLOOKUP(Table2[[#This Row],[Rate Desc]],lookup305[],2,TRUE)</f>
        <v>aga</v>
      </c>
      <c r="J77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78" spans="2:10" s="384" customFormat="1" ht="19.5" customHeight="1">
      <c r="B78" s="387" t="s">
        <v>374</v>
      </c>
      <c r="C78" s="384" t="s">
        <v>117</v>
      </c>
      <c r="D78" s="387" t="s">
        <v>342</v>
      </c>
      <c r="E78" s="387" t="s">
        <v>380</v>
      </c>
      <c r="F78" s="388">
        <v>10873.9</v>
      </c>
      <c r="G78" s="389"/>
      <c r="H78" s="388">
        <v>0</v>
      </c>
      <c r="I78" s="384" t="str">
        <f>VLOOKUP(Table2[[#This Row],[Rate Desc]],lookup305[],2,TRUE)</f>
        <v>aga</v>
      </c>
      <c r="J78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79" spans="2:10" s="384" customFormat="1" ht="19.5" customHeight="1">
      <c r="B79" s="387" t="s">
        <v>374</v>
      </c>
      <c r="C79" s="384" t="s">
        <v>117</v>
      </c>
      <c r="D79" s="387" t="s">
        <v>342</v>
      </c>
      <c r="E79" s="387" t="s">
        <v>381</v>
      </c>
      <c r="F79" s="388">
        <v>83.62</v>
      </c>
      <c r="G79" s="389"/>
      <c r="H79" s="388">
        <v>0</v>
      </c>
      <c r="I79" s="384" t="str">
        <f>VLOOKUP(Table2[[#This Row],[Rate Desc]],lookup305[],2,TRUE)</f>
        <v>aga</v>
      </c>
      <c r="J79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0" spans="2:10" s="384" customFormat="1" ht="19.5" customHeight="1">
      <c r="B80" s="387" t="s">
        <v>374</v>
      </c>
      <c r="C80" s="384" t="s">
        <v>117</v>
      </c>
      <c r="D80" s="387" t="s">
        <v>342</v>
      </c>
      <c r="E80" s="387" t="s">
        <v>382</v>
      </c>
      <c r="F80" s="388">
        <v>8150.01</v>
      </c>
      <c r="G80" s="389"/>
      <c r="H80" s="388">
        <v>0</v>
      </c>
      <c r="I80" s="384" t="str">
        <f>VLOOKUP(Table2[[#This Row],[Rate Desc]],lookup305[],2,TRUE)</f>
        <v>aga</v>
      </c>
      <c r="J80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1" spans="2:10" s="384" customFormat="1" ht="19.5" customHeight="1">
      <c r="B81" s="387" t="s">
        <v>374</v>
      </c>
      <c r="C81" s="384" t="s">
        <v>117</v>
      </c>
      <c r="D81" s="387" t="s">
        <v>342</v>
      </c>
      <c r="E81" s="387" t="s">
        <v>383</v>
      </c>
      <c r="F81" s="388">
        <v>175135.76</v>
      </c>
      <c r="G81" s="389"/>
      <c r="H81" s="388">
        <v>0</v>
      </c>
      <c r="I81" s="384" t="str">
        <f>VLOOKUP(Table2[[#This Row],[Rate Desc]],lookup305[],2,TRUE)</f>
        <v>aga</v>
      </c>
      <c r="J81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2" spans="2:10" s="384" customFormat="1" ht="19.5" customHeight="1">
      <c r="B82" s="387" t="s">
        <v>374</v>
      </c>
      <c r="C82" s="384" t="s">
        <v>117</v>
      </c>
      <c r="D82" s="387" t="s">
        <v>342</v>
      </c>
      <c r="E82" s="387" t="s">
        <v>212</v>
      </c>
      <c r="F82" s="388">
        <v>10702.8</v>
      </c>
      <c r="G82" s="389"/>
      <c r="H82" s="388">
        <v>0</v>
      </c>
      <c r="I82" s="384" t="str">
        <f>VLOOKUP(Table2[[#This Row],[Rate Desc]],lookup305[],2,TRUE)</f>
        <v>aga</v>
      </c>
      <c r="J82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3" spans="2:10" s="384" customFormat="1" ht="19.5" customHeight="1">
      <c r="B83" s="387" t="s">
        <v>374</v>
      </c>
      <c r="C83" s="384" t="s">
        <v>117</v>
      </c>
      <c r="D83" s="387" t="s">
        <v>342</v>
      </c>
      <c r="E83" s="387" t="s">
        <v>211</v>
      </c>
      <c r="F83" s="388">
        <v>19.920000000000002</v>
      </c>
      <c r="G83" s="389"/>
      <c r="H83" s="388">
        <v>0</v>
      </c>
      <c r="I83" s="384" t="str">
        <f>VLOOKUP(Table2[[#This Row],[Rate Desc]],lookup305[],2,TRUE)</f>
        <v>aga</v>
      </c>
      <c r="J83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4" spans="2:10" s="384" customFormat="1" ht="19.5" customHeight="1">
      <c r="B84" s="387" t="s">
        <v>374</v>
      </c>
      <c r="C84" s="384" t="s">
        <v>117</v>
      </c>
      <c r="D84" s="387" t="s">
        <v>342</v>
      </c>
      <c r="E84" s="387" t="s">
        <v>213</v>
      </c>
      <c r="F84" s="388">
        <v>28467.07</v>
      </c>
      <c r="G84" s="389"/>
      <c r="H84" s="388">
        <v>0</v>
      </c>
      <c r="I84" s="384" t="str">
        <f>VLOOKUP(Table2[[#This Row],[Rate Desc]],lookup305[],2,TRUE)</f>
        <v>aga</v>
      </c>
      <c r="J84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5" spans="2:10" s="384" customFormat="1" ht="19.5" customHeight="1">
      <c r="B85" s="387" t="s">
        <v>374</v>
      </c>
      <c r="C85" s="384" t="s">
        <v>117</v>
      </c>
      <c r="D85" s="387" t="s">
        <v>342</v>
      </c>
      <c r="E85" s="387" t="s">
        <v>310</v>
      </c>
      <c r="F85" s="388">
        <v>25908.2</v>
      </c>
      <c r="G85" s="389">
        <v>110</v>
      </c>
      <c r="H85" s="388">
        <v>291496</v>
      </c>
      <c r="I85" s="384">
        <f>VLOOKUP(Table2[[#This Row],[Rate Desc]],lookup305[],2,TRUE)</f>
        <v>40</v>
      </c>
      <c r="J85" s="384">
        <f>IF(Table2[[#This Row],[Rate Group Cd]]="B",IF(OR(Table2[[#This Row],[Code]]="bpa",Table2[[#This Row],[Code]]="bpaadj"),Table2[[#This Row],[Code]],"b"&amp;Table2[[#This Row],[Code]]),Table2[[#This Row],[Code]])</f>
        <v>40</v>
      </c>
    </row>
    <row r="86" spans="2:10" s="384" customFormat="1" ht="19.5" customHeight="1">
      <c r="B86" s="387" t="s">
        <v>374</v>
      </c>
      <c r="C86" s="384" t="s">
        <v>117</v>
      </c>
      <c r="D86" s="387" t="s">
        <v>342</v>
      </c>
      <c r="E86" s="387" t="s">
        <v>367</v>
      </c>
      <c r="F86" s="388">
        <v>5068.09</v>
      </c>
      <c r="G86" s="389">
        <v>18</v>
      </c>
      <c r="H86" s="388">
        <v>36337</v>
      </c>
      <c r="I86" s="384" t="str">
        <f>VLOOKUP(Table2[[#This Row],[Rate Desc]],lookup305[],2,TRUE)</f>
        <v>40x</v>
      </c>
      <c r="J86" s="384" t="str">
        <f>IF(Table2[[#This Row],[Rate Group Cd]]="B",IF(OR(Table2[[#This Row],[Code]]="bpa",Table2[[#This Row],[Code]]="bpaadj"),Table2[[#This Row],[Code]],"b"&amp;Table2[[#This Row],[Code]]),Table2[[#This Row],[Code]])</f>
        <v>40x</v>
      </c>
    </row>
    <row r="87" spans="2:10" s="384" customFormat="1" ht="19.5" customHeight="1">
      <c r="B87" s="387" t="s">
        <v>374</v>
      </c>
      <c r="C87" s="384" t="s">
        <v>117</v>
      </c>
      <c r="D87" s="387" t="s">
        <v>342</v>
      </c>
      <c r="E87" s="387" t="s">
        <v>231</v>
      </c>
      <c r="F87" s="388">
        <v>43000</v>
      </c>
      <c r="G87" s="389">
        <v>0</v>
      </c>
      <c r="H87" s="388">
        <v>0</v>
      </c>
      <c r="I87" s="384" t="str">
        <f>VLOOKUP(Table2[[#This Row],[Rate Desc]],lookup305[],2,TRUE)</f>
        <v>irr</v>
      </c>
      <c r="J87" s="384" t="str">
        <f>IF(Table2[[#This Row],[Rate Group Cd]]="B",IF(OR(Table2[[#This Row],[Code]]="bpa",Table2[[#This Row],[Code]]="bpaadj"),Table2[[#This Row],[Code]],"b"&amp;Table2[[#This Row],[Code]]),Table2[[#This Row],[Code]])</f>
        <v>irr</v>
      </c>
    </row>
    <row r="88" spans="2:10" s="384" customFormat="1" ht="19.5" customHeight="1">
      <c r="B88" s="387" t="s">
        <v>374</v>
      </c>
      <c r="C88" s="384" t="s">
        <v>117</v>
      </c>
      <c r="D88" s="387" t="s">
        <v>342</v>
      </c>
      <c r="E88" s="387" t="s">
        <v>272</v>
      </c>
      <c r="F88" s="388">
        <v>495123.91</v>
      </c>
      <c r="G88" s="389">
        <v>0</v>
      </c>
      <c r="H88" s="388">
        <v>0</v>
      </c>
      <c r="I88" s="384" t="str">
        <f>VLOOKUP(Table2[[#This Row],[Rate Desc]],lookup305[],2,TRUE)</f>
        <v>dsm</v>
      </c>
      <c r="J88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89" spans="2:10" s="384" customFormat="1" ht="19.5" customHeight="1">
      <c r="B89" s="387" t="s">
        <v>374</v>
      </c>
      <c r="C89" s="384" t="s">
        <v>117</v>
      </c>
      <c r="D89" s="387" t="s">
        <v>342</v>
      </c>
      <c r="E89" s="387" t="s">
        <v>273</v>
      </c>
      <c r="F89" s="388">
        <v>207.88</v>
      </c>
      <c r="G89" s="389">
        <v>0</v>
      </c>
      <c r="H89" s="388">
        <v>0</v>
      </c>
      <c r="I89" s="384" t="str">
        <f>VLOOKUP(Table2[[#This Row],[Rate Desc]],lookup305[],2,TRUE)</f>
        <v>blue</v>
      </c>
      <c r="J89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90" spans="2:10" s="384" customFormat="1" ht="19.5" customHeight="1">
      <c r="B90" s="387" t="s">
        <v>374</v>
      </c>
      <c r="C90" s="384" t="s">
        <v>117</v>
      </c>
      <c r="D90" s="387" t="s">
        <v>342</v>
      </c>
      <c r="E90" s="387" t="s">
        <v>415</v>
      </c>
      <c r="F90" s="388">
        <v>393142.91</v>
      </c>
      <c r="G90" s="389">
        <v>0</v>
      </c>
      <c r="H90" s="388">
        <v>0</v>
      </c>
      <c r="I90" s="384" t="str">
        <f>VLOOKUP(Table2[[#This Row],[Rate Desc]],lookup305[],2,TRUE)</f>
        <v>arp</v>
      </c>
      <c r="J90" s="408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91" spans="2:10" s="384" customFormat="1" ht="19.5" customHeight="1">
      <c r="B91" s="387" t="s">
        <v>374</v>
      </c>
      <c r="C91" s="384" t="s">
        <v>117</v>
      </c>
      <c r="D91" s="387" t="s">
        <v>342</v>
      </c>
      <c r="E91" s="387" t="s">
        <v>395</v>
      </c>
      <c r="F91" s="388"/>
      <c r="G91" s="389">
        <v>0</v>
      </c>
      <c r="H91" s="388"/>
    </row>
    <row r="92" spans="2:10" s="384" customFormat="1" ht="19.5" customHeight="1">
      <c r="B92" s="387" t="s">
        <v>374</v>
      </c>
      <c r="C92" s="384" t="s">
        <v>117</v>
      </c>
      <c r="D92" s="387" t="s">
        <v>342</v>
      </c>
      <c r="E92" s="387" t="s">
        <v>416</v>
      </c>
      <c r="F92" s="388">
        <v>-288287.46000000002</v>
      </c>
      <c r="G92" s="389">
        <v>0</v>
      </c>
      <c r="H92" s="388">
        <v>0</v>
      </c>
      <c r="I92" s="384" t="str">
        <f>VLOOKUP(Table2[[#This Row],[Rate Desc]],lookup305[],2,TRUE)</f>
        <v>itd</v>
      </c>
      <c r="J92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93" spans="2:10" s="384" customFormat="1" ht="19.5" customHeight="1">
      <c r="B93" s="387" t="s">
        <v>374</v>
      </c>
      <c r="C93" s="384" t="s">
        <v>117</v>
      </c>
      <c r="D93" s="387" t="s">
        <v>342</v>
      </c>
      <c r="E93" s="387" t="s">
        <v>253</v>
      </c>
      <c r="F93" s="388">
        <v>5393.65</v>
      </c>
      <c r="G93" s="389">
        <v>0</v>
      </c>
      <c r="H93" s="388">
        <v>0</v>
      </c>
      <c r="I93" s="384" t="str">
        <f>VLOOKUP(Table2[[#This Row],[Rate Desc]],lookup305[],2,TRUE)</f>
        <v>rev</v>
      </c>
      <c r="J93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94" spans="2:10" s="384" customFormat="1" ht="19.5" customHeight="1">
      <c r="B94" s="387" t="s">
        <v>374</v>
      </c>
      <c r="C94" s="384" t="s">
        <v>117</v>
      </c>
      <c r="D94" s="387" t="s">
        <v>342</v>
      </c>
      <c r="E94" s="387" t="s">
        <v>229</v>
      </c>
      <c r="F94" s="388">
        <v>-1594479.6</v>
      </c>
      <c r="G94" s="389">
        <v>0</v>
      </c>
      <c r="H94" s="388">
        <v>0</v>
      </c>
      <c r="I94" s="384" t="str">
        <f>VLOOKUP(Table2[[#This Row],[Rate Desc]],lookup305[],2,TRUE)</f>
        <v>rev</v>
      </c>
      <c r="J94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95" spans="2:10" s="384" customFormat="1" ht="19.5" customHeight="1">
      <c r="B95" s="387" t="s">
        <v>374</v>
      </c>
      <c r="C95" s="384" t="s">
        <v>117</v>
      </c>
      <c r="D95" s="387" t="s">
        <v>343</v>
      </c>
      <c r="E95" s="387" t="s">
        <v>398</v>
      </c>
      <c r="F95" s="388">
        <v>-327000</v>
      </c>
      <c r="G95" s="389">
        <v>0</v>
      </c>
      <c r="H95" s="388">
        <v>-6008000</v>
      </c>
      <c r="I95" s="384" t="str">
        <f>VLOOKUP(Table2[[#This Row],[Rate Desc]],lookup305[],2,TRUE)</f>
        <v>unbilled</v>
      </c>
      <c r="J95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96" spans="2:10" s="384" customFormat="1" ht="19.5" customHeight="1">
      <c r="B96" s="387" t="s">
        <v>374</v>
      </c>
      <c r="C96" s="384" t="s">
        <v>124</v>
      </c>
      <c r="D96" s="387" t="s">
        <v>342</v>
      </c>
      <c r="E96" s="387" t="s">
        <v>399</v>
      </c>
      <c r="F96" s="388">
        <v>90.84</v>
      </c>
      <c r="G96" s="389"/>
      <c r="H96" s="388">
        <v>0</v>
      </c>
      <c r="I96" s="384">
        <f>VLOOKUP(Table2[[#This Row],[Rate Desc]],lookup305[],2,TRUE)</f>
        <v>12</v>
      </c>
      <c r="J96" s="384">
        <f>IF(Table2[[#This Row],[Rate Group Cd]]="B",IF(OR(Table2[[#This Row],[Code]]="bpa",Table2[[#This Row],[Code]]="bpaadj"),Table2[[#This Row],[Code]],"b"&amp;Table2[[#This Row],[Code]]),Table2[[#This Row],[Code]])</f>
        <v>12</v>
      </c>
    </row>
    <row r="97" spans="2:10" s="384" customFormat="1" ht="19.5" customHeight="1">
      <c r="B97" s="387" t="s">
        <v>374</v>
      </c>
      <c r="C97" s="384" t="s">
        <v>124</v>
      </c>
      <c r="D97" s="387" t="s">
        <v>342</v>
      </c>
      <c r="E97" s="387" t="s">
        <v>400</v>
      </c>
      <c r="F97" s="388">
        <v>31380.01</v>
      </c>
      <c r="G97" s="389">
        <v>168</v>
      </c>
      <c r="H97" s="388">
        <v>146910</v>
      </c>
      <c r="I97" s="384">
        <f>VLOOKUP(Table2[[#This Row],[Rate Desc]],lookup305[],2,TRUE)</f>
        <v>52</v>
      </c>
      <c r="J97" s="384">
        <f>IF(Table2[[#This Row],[Rate Group Cd]]="B",IF(OR(Table2[[#This Row],[Code]]="bpa",Table2[[#This Row],[Code]]="bpaadj"),Table2[[#This Row],[Code]],"b"&amp;Table2[[#This Row],[Code]]),Table2[[#This Row],[Code]])</f>
        <v>52</v>
      </c>
    </row>
    <row r="98" spans="2:10" s="384" customFormat="1" ht="19.5" customHeight="1">
      <c r="B98" s="387" t="s">
        <v>374</v>
      </c>
      <c r="C98" s="384" t="s">
        <v>124</v>
      </c>
      <c r="D98" s="387" t="s">
        <v>342</v>
      </c>
      <c r="E98" s="387" t="s">
        <v>401</v>
      </c>
      <c r="F98" s="388">
        <v>237050.68</v>
      </c>
      <c r="G98" s="389">
        <v>1416</v>
      </c>
      <c r="H98" s="388">
        <v>3125255</v>
      </c>
      <c r="I98" s="384" t="str">
        <f>VLOOKUP(Table2[[#This Row],[Rate Desc]],lookup305[],2,TRUE)</f>
        <v>53f</v>
      </c>
      <c r="J98" s="384" t="str">
        <f>IF(Table2[[#This Row],[Rate Group Cd]]="B",IF(OR(Table2[[#This Row],[Code]]="bpa",Table2[[#This Row],[Code]]="bpaadj"),Table2[[#This Row],[Code]],"b"&amp;Table2[[#This Row],[Code]]),Table2[[#This Row],[Code]])</f>
        <v>53f</v>
      </c>
    </row>
    <row r="99" spans="2:10" s="384" customFormat="1" ht="19.5" customHeight="1">
      <c r="B99" s="387" t="s">
        <v>374</v>
      </c>
      <c r="C99" s="384" t="s">
        <v>124</v>
      </c>
      <c r="D99" s="387" t="s">
        <v>342</v>
      </c>
      <c r="E99" s="387" t="s">
        <v>402</v>
      </c>
      <c r="F99" s="388">
        <v>60523.53</v>
      </c>
      <c r="G99" s="389">
        <v>1287</v>
      </c>
      <c r="H99" s="388">
        <v>805949</v>
      </c>
      <c r="I99" s="384" t="str">
        <f>VLOOKUP(Table2[[#This Row],[Rate Desc]],lookup305[],2,TRUE)</f>
        <v>53m</v>
      </c>
      <c r="J99" s="384" t="str">
        <f>IF(Table2[[#This Row],[Rate Group Cd]]="B",IF(OR(Table2[[#This Row],[Code]]="bpa",Table2[[#This Row],[Code]]="bpaadj"),Table2[[#This Row],[Code]],"b"&amp;Table2[[#This Row],[Code]]),Table2[[#This Row],[Code]])</f>
        <v>53m</v>
      </c>
    </row>
    <row r="100" spans="2:10" s="384" customFormat="1" ht="19.5" customHeight="1">
      <c r="B100" s="387" t="s">
        <v>374</v>
      </c>
      <c r="C100" s="384" t="s">
        <v>124</v>
      </c>
      <c r="D100" s="387" t="s">
        <v>342</v>
      </c>
      <c r="E100" s="387" t="s">
        <v>403</v>
      </c>
      <c r="F100" s="388">
        <v>213876.04</v>
      </c>
      <c r="G100" s="389">
        <v>483</v>
      </c>
      <c r="H100" s="388">
        <v>1612610</v>
      </c>
      <c r="I100" s="384">
        <f>VLOOKUP(Table2[[#This Row],[Rate Desc]],lookup305[],2,TRUE)</f>
        <v>57</v>
      </c>
      <c r="J100" s="384">
        <f>IF(Table2[[#This Row],[Rate Group Cd]]="B",IF(OR(Table2[[#This Row],[Code]]="bpa",Table2[[#This Row],[Code]]="bpaadj"),Table2[[#This Row],[Code]],"b"&amp;Table2[[#This Row],[Code]]),Table2[[#This Row],[Code]])</f>
        <v>57</v>
      </c>
    </row>
    <row r="101" spans="2:10" s="384" customFormat="1" ht="19.5" customHeight="1">
      <c r="B101" s="387" t="s">
        <v>374</v>
      </c>
      <c r="C101" s="384" t="s">
        <v>124</v>
      </c>
      <c r="D101" s="387" t="s">
        <v>342</v>
      </c>
      <c r="E101" s="387" t="s">
        <v>320</v>
      </c>
      <c r="F101" s="388">
        <v>821077.89</v>
      </c>
      <c r="G101" s="389">
        <v>2403</v>
      </c>
      <c r="H101" s="388">
        <v>3856345</v>
      </c>
      <c r="I101" s="384">
        <f>VLOOKUP(Table2[[#This Row],[Rate Desc]],lookup305[],2,TRUE)</f>
        <v>51</v>
      </c>
      <c r="J101" s="384">
        <f>IF(Table2[[#This Row],[Rate Group Cd]]="B",IF(OR(Table2[[#This Row],[Code]]="bpa",Table2[[#This Row],[Code]]="bpaadj"),Table2[[#This Row],[Code]],"b"&amp;Table2[[#This Row],[Code]]),Table2[[#This Row],[Code]])</f>
        <v>51</v>
      </c>
    </row>
    <row r="102" spans="2:10" s="384" customFormat="1" ht="19.5" customHeight="1">
      <c r="B102" s="387" t="s">
        <v>374</v>
      </c>
      <c r="C102" s="384" t="s">
        <v>124</v>
      </c>
      <c r="D102" s="387" t="s">
        <v>342</v>
      </c>
      <c r="E102" s="387" t="s">
        <v>278</v>
      </c>
      <c r="F102" s="388">
        <v>26679.19</v>
      </c>
      <c r="G102" s="389">
        <v>0</v>
      </c>
      <c r="H102" s="388">
        <v>0</v>
      </c>
      <c r="I102" s="384" t="str">
        <f>VLOOKUP(Table2[[#This Row],[Rate Desc]],lookup305[],2,TRUE)</f>
        <v>dsm</v>
      </c>
      <c r="J102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103" spans="2:10" s="384" customFormat="1" ht="19.5" customHeight="1">
      <c r="B103" s="387" t="s">
        <v>374</v>
      </c>
      <c r="C103" s="384" t="s">
        <v>124</v>
      </c>
      <c r="D103" s="387" t="s">
        <v>342</v>
      </c>
      <c r="E103" s="387" t="s">
        <v>389</v>
      </c>
      <c r="F103" s="388"/>
      <c r="G103" s="389">
        <v>0</v>
      </c>
      <c r="H103" s="388"/>
    </row>
    <row r="104" spans="2:10" s="384" customFormat="1" ht="19.5" customHeight="1">
      <c r="B104" s="387" t="s">
        <v>374</v>
      </c>
      <c r="C104" s="384" t="s">
        <v>124</v>
      </c>
      <c r="D104" s="387" t="s">
        <v>342</v>
      </c>
      <c r="E104" s="387" t="s">
        <v>416</v>
      </c>
      <c r="F104" s="388">
        <v>-23884.2</v>
      </c>
      <c r="G104" s="389">
        <v>0</v>
      </c>
      <c r="H104" s="388">
        <v>0</v>
      </c>
      <c r="I104" s="384" t="str">
        <f>VLOOKUP(Table2[[#This Row],[Rate Desc]],lookup305[],2,TRUE)</f>
        <v>itd</v>
      </c>
      <c r="J104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105" spans="2:10" s="384" customFormat="1" ht="19.5" customHeight="1">
      <c r="B105" s="387" t="s">
        <v>374</v>
      </c>
      <c r="C105" s="384" t="s">
        <v>124</v>
      </c>
      <c r="D105" s="387" t="s">
        <v>342</v>
      </c>
      <c r="E105" s="387" t="s">
        <v>229</v>
      </c>
      <c r="F105" s="388">
        <v>-75451.87</v>
      </c>
      <c r="G105" s="389">
        <v>0</v>
      </c>
      <c r="H105" s="388">
        <v>0</v>
      </c>
      <c r="I105" s="384" t="str">
        <f>VLOOKUP(Table2[[#This Row],[Rate Desc]],lookup305[],2,TRUE)</f>
        <v>rev</v>
      </c>
      <c r="J105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06" spans="2:10" s="384" customFormat="1" ht="19.5" customHeight="1">
      <c r="B106" s="387" t="s">
        <v>374</v>
      </c>
      <c r="C106" s="384" t="s">
        <v>124</v>
      </c>
      <c r="D106" s="387" t="s">
        <v>343</v>
      </c>
      <c r="E106" s="387" t="s">
        <v>390</v>
      </c>
      <c r="F106" s="388">
        <v>123000</v>
      </c>
      <c r="G106" s="389">
        <v>0</v>
      </c>
      <c r="H106" s="388">
        <v>747000</v>
      </c>
      <c r="I106" s="384" t="str">
        <f>VLOOKUP(Table2[[#This Row],[Rate Desc]],lookup305[],2,TRUE)</f>
        <v>unbilled</v>
      </c>
      <c r="J106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07" spans="2:10" s="384" customFormat="1" ht="19.5" customHeight="1">
      <c r="B107" s="387" t="s">
        <v>374</v>
      </c>
      <c r="C107" s="384" t="s">
        <v>131</v>
      </c>
      <c r="D107" s="387" t="s">
        <v>4</v>
      </c>
      <c r="E107" s="387" t="s">
        <v>222</v>
      </c>
      <c r="F107" s="388">
        <v>-68248.350000000006</v>
      </c>
      <c r="G107" s="389">
        <v>9638</v>
      </c>
      <c r="H107" s="388">
        <v>8493481</v>
      </c>
      <c r="I107" s="384">
        <f>VLOOKUP(Table2[[#This Row],[Rate Desc]],lookup305[],2,TRUE)</f>
        <v>135</v>
      </c>
      <c r="J107" s="384" t="str">
        <f>IF(Table2[[#This Row],[Rate Group Cd]]="B",IF(OR(Table2[[#This Row],[Code]]="bpa",Table2[[#This Row],[Code]]="bpaadj"),Table2[[#This Row],[Code]],"b"&amp;Table2[[#This Row],[Code]]),Table2[[#This Row],[Code]])</f>
        <v>b135</v>
      </c>
    </row>
    <row r="108" spans="2:10" s="384" customFormat="1" ht="19.5" customHeight="1">
      <c r="B108" s="387" t="s">
        <v>374</v>
      </c>
      <c r="C108" s="384" t="s">
        <v>131</v>
      </c>
      <c r="D108" s="387" t="s">
        <v>4</v>
      </c>
      <c r="E108" s="387" t="s">
        <v>201</v>
      </c>
      <c r="F108" s="388">
        <v>-7718.69</v>
      </c>
      <c r="G108" s="389"/>
      <c r="H108" s="388">
        <v>967743</v>
      </c>
      <c r="I108" s="384" t="str">
        <f>VLOOKUP(Table2[[#This Row],[Rate Desc]],lookup305[],2,TRUE)</f>
        <v>15r</v>
      </c>
      <c r="J108" s="384" t="str">
        <f>IF(Table2[[#This Row],[Rate Group Cd]]="B",IF(OR(Table2[[#This Row],[Code]]="bpa",Table2[[#This Row],[Code]]="bpaadj"),Table2[[#This Row],[Code]],"b"&amp;Table2[[#This Row],[Code]]),Table2[[#This Row],[Code]])</f>
        <v>b15r</v>
      </c>
    </row>
    <row r="109" spans="2:10" s="384" customFormat="1" ht="19.5" customHeight="1">
      <c r="B109" s="387" t="s">
        <v>374</v>
      </c>
      <c r="C109" s="384" t="s">
        <v>131</v>
      </c>
      <c r="D109" s="387" t="s">
        <v>4</v>
      </c>
      <c r="E109" s="387" t="s">
        <v>312</v>
      </c>
      <c r="F109" s="388">
        <v>-11741686.289999999</v>
      </c>
      <c r="G109" s="389">
        <v>1217233</v>
      </c>
      <c r="H109" s="388">
        <v>1473757326</v>
      </c>
      <c r="I109" s="384">
        <f>VLOOKUP(Table2[[#This Row],[Rate Desc]],lookup305[],2,TRUE)</f>
        <v>16</v>
      </c>
      <c r="J109" s="384" t="str">
        <f>IF(Table2[[#This Row],[Rate Group Cd]]="B",IF(OR(Table2[[#This Row],[Code]]="bpa",Table2[[#This Row],[Code]]="bpaadj"),Table2[[#This Row],[Code]],"b"&amp;Table2[[#This Row],[Code]]),Table2[[#This Row],[Code]])</f>
        <v>b16</v>
      </c>
    </row>
    <row r="110" spans="2:10" s="384" customFormat="1" ht="19.5" customHeight="1">
      <c r="B110" s="387" t="s">
        <v>374</v>
      </c>
      <c r="C110" s="384" t="s">
        <v>131</v>
      </c>
      <c r="D110" s="387" t="s">
        <v>4</v>
      </c>
      <c r="E110" s="387" t="s">
        <v>134</v>
      </c>
      <c r="F110" s="388">
        <v>-600833.4</v>
      </c>
      <c r="G110" s="389">
        <v>60738</v>
      </c>
      <c r="H110" s="388">
        <v>75215475</v>
      </c>
      <c r="I110" s="384">
        <f>VLOOKUP(Table2[[#This Row],[Rate Desc]],lookup305[],2,TRUE)</f>
        <v>17</v>
      </c>
      <c r="J110" s="384" t="str">
        <f>IF(Table2[[#This Row],[Rate Group Cd]]="B",IF(OR(Table2[[#This Row],[Code]]="bpa",Table2[[#This Row],[Code]]="bpaadj"),Table2[[#This Row],[Code]],"b"&amp;Table2[[#This Row],[Code]]),Table2[[#This Row],[Code]])</f>
        <v>b17</v>
      </c>
    </row>
    <row r="111" spans="2:10" s="384" customFormat="1" ht="19.5" customHeight="1">
      <c r="B111" s="387" t="s">
        <v>374</v>
      </c>
      <c r="C111" s="384" t="s">
        <v>131</v>
      </c>
      <c r="D111" s="387" t="s">
        <v>4</v>
      </c>
      <c r="E111" s="387" t="s">
        <v>313</v>
      </c>
      <c r="F111" s="388">
        <v>-17138.150000000001</v>
      </c>
      <c r="G111" s="389">
        <v>985</v>
      </c>
      <c r="H111" s="388">
        <v>2158137</v>
      </c>
      <c r="I111" s="384">
        <f>VLOOKUP(Table2[[#This Row],[Rate Desc]],lookup305[],2,TRUE)</f>
        <v>18</v>
      </c>
      <c r="J111" s="384" t="str">
        <f>IF(Table2[[#This Row],[Rate Group Cd]]="B",IF(OR(Table2[[#This Row],[Code]]="bpa",Table2[[#This Row],[Code]]="bpaadj"),Table2[[#This Row],[Code]],"b"&amp;Table2[[#This Row],[Code]]),Table2[[#This Row],[Code]])</f>
        <v>b18</v>
      </c>
    </row>
    <row r="112" spans="2:10" s="384" customFormat="1" ht="19.5" customHeight="1">
      <c r="B112" s="387" t="s">
        <v>374</v>
      </c>
      <c r="C112" s="384" t="s">
        <v>131</v>
      </c>
      <c r="D112" s="387" t="s">
        <v>4</v>
      </c>
      <c r="E112" s="387" t="s">
        <v>314</v>
      </c>
      <c r="F112" s="388">
        <v>-2782.58</v>
      </c>
      <c r="G112" s="389">
        <v>179</v>
      </c>
      <c r="H112" s="388">
        <v>352104</v>
      </c>
      <c r="I112" s="384" t="str">
        <f>VLOOKUP(Table2[[#This Row],[Rate Desc]],lookup305[],2,TRUE)</f>
        <v>18x</v>
      </c>
      <c r="J112" s="384" t="str">
        <f>IF(Table2[[#This Row],[Rate Group Cd]]="B",IF(OR(Table2[[#This Row],[Code]]="bpa",Table2[[#This Row],[Code]]="bpaadj"),Table2[[#This Row],[Code]],"b"&amp;Table2[[#This Row],[Code]]),Table2[[#This Row],[Code]])</f>
        <v>b18x</v>
      </c>
    </row>
    <row r="113" spans="2:10" s="384" customFormat="1" ht="19.5" customHeight="1">
      <c r="B113" s="387" t="s">
        <v>374</v>
      </c>
      <c r="C113" s="384" t="s">
        <v>131</v>
      </c>
      <c r="D113" s="387" t="s">
        <v>4</v>
      </c>
      <c r="E113" s="387" t="s">
        <v>256</v>
      </c>
      <c r="F113" s="388">
        <v>-158784.72</v>
      </c>
      <c r="G113" s="389">
        <v>41147</v>
      </c>
      <c r="H113" s="388">
        <v>20013487</v>
      </c>
      <c r="I113" s="384">
        <f>VLOOKUP(Table2[[#This Row],[Rate Desc]],lookup305[],2,TRUE)</f>
        <v>24</v>
      </c>
      <c r="J113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14" spans="2:10" s="384" customFormat="1" ht="19.5" customHeight="1">
      <c r="B114" s="387" t="s">
        <v>374</v>
      </c>
      <c r="C114" s="384" t="s">
        <v>131</v>
      </c>
      <c r="D114" s="387" t="s">
        <v>4</v>
      </c>
      <c r="E114" s="387" t="s">
        <v>371</v>
      </c>
      <c r="F114" s="388">
        <v>-8727.86</v>
      </c>
      <c r="G114" s="389">
        <v>12</v>
      </c>
      <c r="H114" s="388">
        <v>1091700</v>
      </c>
      <c r="I114" s="384">
        <f>VLOOKUP(Table2[[#This Row],[Rate Desc]],lookup305[],2,TRUE)</f>
        <v>36</v>
      </c>
      <c r="J114" s="384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115" spans="2:10" s="384" customFormat="1" ht="19.5" customHeight="1">
      <c r="B115" s="387" t="s">
        <v>374</v>
      </c>
      <c r="C115" s="384" t="s">
        <v>131</v>
      </c>
      <c r="D115" s="387" t="s">
        <v>4</v>
      </c>
      <c r="E115" s="387" t="s">
        <v>368</v>
      </c>
      <c r="F115" s="388">
        <v>-118.01</v>
      </c>
      <c r="G115" s="389">
        <v>114</v>
      </c>
      <c r="H115" s="388">
        <v>14616</v>
      </c>
      <c r="I115" s="384">
        <f>VLOOKUP(Table2[[#This Row],[Rate Desc]],lookup305[],2,TRUE)</f>
        <v>24</v>
      </c>
      <c r="J115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16" spans="2:10" s="384" customFormat="1" ht="19.5" customHeight="1">
      <c r="B116" s="387" t="s">
        <v>374</v>
      </c>
      <c r="C116" s="384" t="s">
        <v>131</v>
      </c>
      <c r="D116" s="387" t="s">
        <v>4</v>
      </c>
      <c r="E116" s="387" t="s">
        <v>387</v>
      </c>
      <c r="F116" s="388">
        <v>299892.59000000003</v>
      </c>
      <c r="G116" s="389">
        <v>0</v>
      </c>
      <c r="H116" s="388">
        <v>0</v>
      </c>
      <c r="I116" s="384" t="str">
        <f>VLOOKUP(Table2[[#This Row],[Rate Desc]],lookup305[],2,TRUE)</f>
        <v>bpa</v>
      </c>
      <c r="J116" s="384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117" spans="2:10" s="384" customFormat="1" ht="19.5" customHeight="1">
      <c r="B117" s="387" t="s">
        <v>374</v>
      </c>
      <c r="C117" s="384" t="s">
        <v>131</v>
      </c>
      <c r="D117" s="387" t="s">
        <v>4</v>
      </c>
      <c r="E117" s="387" t="s">
        <v>388</v>
      </c>
      <c r="F117" s="388"/>
      <c r="G117" s="389">
        <v>0</v>
      </c>
      <c r="H117" s="388"/>
    </row>
    <row r="118" spans="2:10" s="384" customFormat="1" ht="19.5" customHeight="1">
      <c r="B118" s="387" t="s">
        <v>374</v>
      </c>
      <c r="C118" s="384" t="s">
        <v>131</v>
      </c>
      <c r="D118" s="387" t="s">
        <v>342</v>
      </c>
      <c r="E118" s="387" t="s">
        <v>404</v>
      </c>
      <c r="F118" s="388">
        <v>-1.47</v>
      </c>
      <c r="G118" s="389"/>
      <c r="H118" s="388">
        <v>0</v>
      </c>
      <c r="I118" s="384" t="str">
        <f>VLOOKUP(Table2[[#This Row],[Rate Desc]],lookup305[],2,TRUE)</f>
        <v>blue</v>
      </c>
      <c r="J118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119" spans="2:10" s="384" customFormat="1" ht="19.5" customHeight="1">
      <c r="B119" s="387" t="s">
        <v>374</v>
      </c>
      <c r="C119" s="384" t="s">
        <v>131</v>
      </c>
      <c r="D119" s="387" t="s">
        <v>342</v>
      </c>
      <c r="E119" s="387" t="s">
        <v>382</v>
      </c>
      <c r="F119" s="388">
        <v>1837.09</v>
      </c>
      <c r="G119" s="389"/>
      <c r="H119" s="388">
        <v>0</v>
      </c>
      <c r="I119" s="384" t="str">
        <f>VLOOKUP(Table2[[#This Row],[Rate Desc]],lookup305[],2,TRUE)</f>
        <v>aga</v>
      </c>
      <c r="J119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120" spans="2:10" s="384" customFormat="1" ht="19.5" customHeight="1">
      <c r="B120" s="387" t="s">
        <v>374</v>
      </c>
      <c r="C120" s="384" t="s">
        <v>131</v>
      </c>
      <c r="D120" s="387" t="s">
        <v>342</v>
      </c>
      <c r="E120" s="387" t="s">
        <v>217</v>
      </c>
      <c r="F120" s="388">
        <v>888428.5</v>
      </c>
      <c r="G120" s="389">
        <v>9638</v>
      </c>
      <c r="H120" s="388">
        <v>8609853</v>
      </c>
      <c r="I120" s="384">
        <f>VLOOKUP(Table2[[#This Row],[Rate Desc]],lookup305[],2,TRUE)</f>
        <v>135</v>
      </c>
      <c r="J120" s="384">
        <f>IF(Table2[[#This Row],[Rate Group Cd]]="B",IF(OR(Table2[[#This Row],[Code]]="bpa",Table2[[#This Row],[Code]]="bpaadj"),Table2[[#This Row],[Code]],"b"&amp;Table2[[#This Row],[Code]]),Table2[[#This Row],[Code]])</f>
        <v>135</v>
      </c>
    </row>
    <row r="121" spans="2:10" s="384" customFormat="1" ht="19.5" customHeight="1">
      <c r="B121" s="387" t="s">
        <v>374</v>
      </c>
      <c r="C121" s="384" t="s">
        <v>131</v>
      </c>
      <c r="D121" s="387" t="s">
        <v>342</v>
      </c>
      <c r="E121" s="387" t="s">
        <v>200</v>
      </c>
      <c r="F121" s="388">
        <v>153313.03</v>
      </c>
      <c r="G121" s="389">
        <v>12794</v>
      </c>
      <c r="H121" s="388">
        <v>967811</v>
      </c>
      <c r="I121" s="384" t="str">
        <f>VLOOKUP(Table2[[#This Row],[Rate Desc]],lookup305[],2,TRUE)</f>
        <v>15r</v>
      </c>
      <c r="J121" s="384" t="str">
        <f>IF(Table2[[#This Row],[Rate Group Cd]]="B",IF(OR(Table2[[#This Row],[Code]]="bpa",Table2[[#This Row],[Code]]="bpaadj"),Table2[[#This Row],[Code]],"b"&amp;Table2[[#This Row],[Code]]),Table2[[#This Row],[Code]])</f>
        <v>15r</v>
      </c>
    </row>
    <row r="122" spans="2:10" s="384" customFormat="1" ht="19.5" customHeight="1">
      <c r="B122" s="387" t="s">
        <v>374</v>
      </c>
      <c r="C122" s="384" t="s">
        <v>131</v>
      </c>
      <c r="D122" s="387" t="s">
        <v>342</v>
      </c>
      <c r="E122" s="387" t="s">
        <v>405</v>
      </c>
      <c r="F122" s="388">
        <v>144248764.69</v>
      </c>
      <c r="G122" s="389">
        <v>1217233</v>
      </c>
      <c r="H122" s="388">
        <v>1474756591</v>
      </c>
      <c r="I122" s="384">
        <f>VLOOKUP(Table2[[#This Row],[Rate Desc]],lookup305[],2,TRUE)</f>
        <v>16</v>
      </c>
      <c r="J122" s="384">
        <f>IF(Table2[[#This Row],[Rate Group Cd]]="B",IF(OR(Table2[[#This Row],[Code]]="bpa",Table2[[#This Row],[Code]]="bpaadj"),Table2[[#This Row],[Code]],"b"&amp;Table2[[#This Row],[Code]]),Table2[[#This Row],[Code]])</f>
        <v>16</v>
      </c>
    </row>
    <row r="123" spans="2:10" s="384" customFormat="1" ht="19.5" customHeight="1">
      <c r="B123" s="387" t="s">
        <v>374</v>
      </c>
      <c r="C123" s="384" t="s">
        <v>131</v>
      </c>
      <c r="D123" s="387" t="s">
        <v>342</v>
      </c>
      <c r="E123" s="387" t="s">
        <v>406</v>
      </c>
      <c r="F123" s="388">
        <v>7346017.0499999998</v>
      </c>
      <c r="G123" s="389">
        <v>60738</v>
      </c>
      <c r="H123" s="388">
        <v>75215921</v>
      </c>
      <c r="I123" s="384">
        <f>VLOOKUP(Table2[[#This Row],[Rate Desc]],lookup305[],2,TRUE)</f>
        <v>17</v>
      </c>
      <c r="J123" s="384">
        <f>IF(Table2[[#This Row],[Rate Group Cd]]="B",IF(OR(Table2[[#This Row],[Code]]="bpa",Table2[[#This Row],[Code]]="bpaadj"),Table2[[#This Row],[Code]],"b"&amp;Table2[[#This Row],[Code]]),Table2[[#This Row],[Code]])</f>
        <v>17</v>
      </c>
    </row>
    <row r="124" spans="2:10" s="384" customFormat="1" ht="19.5" customHeight="1">
      <c r="B124" s="387" t="s">
        <v>374</v>
      </c>
      <c r="C124" s="384" t="s">
        <v>131</v>
      </c>
      <c r="D124" s="387" t="s">
        <v>342</v>
      </c>
      <c r="E124" s="387" t="s">
        <v>407</v>
      </c>
      <c r="F124" s="388">
        <v>231549.42</v>
      </c>
      <c r="G124" s="389">
        <v>985</v>
      </c>
      <c r="H124" s="388">
        <v>2158142</v>
      </c>
      <c r="I124" s="384">
        <f>VLOOKUP(Table2[[#This Row],[Rate Desc]],lookup305[],2,TRUE)</f>
        <v>18</v>
      </c>
      <c r="J124" s="384">
        <f>IF(Table2[[#This Row],[Rate Group Cd]]="B",IF(OR(Table2[[#This Row],[Code]]="bpa",Table2[[#This Row],[Code]]="bpaadj"),Table2[[#This Row],[Code]],"b"&amp;Table2[[#This Row],[Code]]),Table2[[#This Row],[Code]])</f>
        <v>18</v>
      </c>
    </row>
    <row r="125" spans="2:10">
      <c r="B125" s="387" t="s">
        <v>374</v>
      </c>
      <c r="C125" s="384" t="s">
        <v>131</v>
      </c>
      <c r="D125" s="387" t="s">
        <v>342</v>
      </c>
      <c r="E125" s="387" t="s">
        <v>408</v>
      </c>
      <c r="F125" s="388">
        <v>36937.01</v>
      </c>
      <c r="G125" s="389">
        <v>179</v>
      </c>
      <c r="H125" s="388">
        <v>352104</v>
      </c>
      <c r="I125" s="384" t="str">
        <f>VLOOKUP(Table2[[#This Row],[Rate Desc]],lookup305[],2,TRUE)</f>
        <v>18x</v>
      </c>
      <c r="J125" s="384" t="str">
        <f>IF(Table2[[#This Row],[Rate Group Cd]]="B",IF(OR(Table2[[#This Row],[Code]]="bpa",Table2[[#This Row],[Code]]="bpaadj"),Table2[[#This Row],[Code]],"b"&amp;Table2[[#This Row],[Code]]),Table2[[#This Row],[Code]])</f>
        <v>18x</v>
      </c>
    </row>
    <row r="126" spans="2:10">
      <c r="B126" s="387" t="s">
        <v>374</v>
      </c>
      <c r="C126" s="384" t="s">
        <v>131</v>
      </c>
      <c r="D126" s="387" t="s">
        <v>342</v>
      </c>
      <c r="E126" s="387" t="s">
        <v>255</v>
      </c>
      <c r="F126" s="388">
        <v>2535168.7000000002</v>
      </c>
      <c r="G126" s="389">
        <v>41147</v>
      </c>
      <c r="H126" s="388">
        <v>20633982</v>
      </c>
      <c r="I126" s="384">
        <f>VLOOKUP(Table2[[#This Row],[Rate Desc]],lookup305[],2,TRUE)</f>
        <v>24</v>
      </c>
      <c r="J126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27" spans="2:10">
      <c r="B127" s="387" t="s">
        <v>374</v>
      </c>
      <c r="C127" s="384" t="s">
        <v>131</v>
      </c>
      <c r="D127" s="387" t="s">
        <v>342</v>
      </c>
      <c r="E127" s="387" t="s">
        <v>369</v>
      </c>
      <c r="F127" s="388">
        <v>123778.75</v>
      </c>
      <c r="G127" s="389">
        <v>24</v>
      </c>
      <c r="H127" s="388">
        <v>1534261</v>
      </c>
      <c r="I127" s="384">
        <f>VLOOKUP(Table2[[#This Row],[Rate Desc]],lookup305[],2,TRUE)</f>
        <v>36</v>
      </c>
      <c r="J127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28" spans="2:10">
      <c r="B128" s="387" t="s">
        <v>374</v>
      </c>
      <c r="C128" s="384" t="s">
        <v>131</v>
      </c>
      <c r="D128" s="387" t="s">
        <v>342</v>
      </c>
      <c r="E128" s="387" t="s">
        <v>370</v>
      </c>
      <c r="F128" s="388">
        <v>3162.98</v>
      </c>
      <c r="G128" s="389">
        <v>114</v>
      </c>
      <c r="H128" s="388">
        <v>14615</v>
      </c>
      <c r="I128" s="384">
        <f>VLOOKUP(Table2[[#This Row],[Rate Desc]],lookup305[],2,TRUE)</f>
        <v>24</v>
      </c>
      <c r="J128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29" spans="2:10">
      <c r="B129" s="387" t="s">
        <v>374</v>
      </c>
      <c r="C129" s="384" t="s">
        <v>131</v>
      </c>
      <c r="D129" s="387" t="s">
        <v>342</v>
      </c>
      <c r="E129" s="387" t="s">
        <v>279</v>
      </c>
      <c r="F129" s="388">
        <v>5097891.55</v>
      </c>
      <c r="G129" s="389">
        <v>0</v>
      </c>
      <c r="H129" s="388">
        <v>0</v>
      </c>
      <c r="I129" s="384" t="str">
        <f>VLOOKUP(Table2[[#This Row],[Rate Desc]],lookup305[],2,TRUE)</f>
        <v>dsm</v>
      </c>
      <c r="J129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130" spans="2:10">
      <c r="B130" s="387" t="s">
        <v>374</v>
      </c>
      <c r="C130" s="384" t="s">
        <v>131</v>
      </c>
      <c r="D130" s="387" t="s">
        <v>342</v>
      </c>
      <c r="E130" s="387" t="s">
        <v>280</v>
      </c>
      <c r="F130" s="388">
        <v>110220.37</v>
      </c>
      <c r="G130" s="389">
        <v>0</v>
      </c>
      <c r="H130" s="388">
        <v>0</v>
      </c>
      <c r="I130" s="384" t="str">
        <f>VLOOKUP(Table2[[#This Row],[Rate Desc]],lookup305[],2,TRUE)</f>
        <v>blue</v>
      </c>
      <c r="J130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131" spans="2:10">
      <c r="B131" s="387" t="s">
        <v>374</v>
      </c>
      <c r="C131" s="384" t="s">
        <v>131</v>
      </c>
      <c r="D131" s="387" t="s">
        <v>342</v>
      </c>
      <c r="E131" s="387" t="s">
        <v>415</v>
      </c>
      <c r="F131" s="388">
        <v>-802730.89</v>
      </c>
      <c r="G131" s="389">
        <v>0</v>
      </c>
      <c r="H131" s="388">
        <v>0</v>
      </c>
      <c r="I131" s="384" t="str">
        <f>VLOOKUP(Table2[[#This Row],[Rate Desc]],lookup305[],2,TRUE)</f>
        <v>arp</v>
      </c>
      <c r="J131" s="408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132" spans="2:10">
      <c r="B132" s="387" t="s">
        <v>374</v>
      </c>
      <c r="C132" s="384" t="s">
        <v>131</v>
      </c>
      <c r="D132" s="387" t="s">
        <v>342</v>
      </c>
      <c r="E132" s="387" t="s">
        <v>389</v>
      </c>
      <c r="F132" s="388"/>
      <c r="G132" s="389">
        <v>0</v>
      </c>
      <c r="H132" s="388"/>
      <c r="I132" s="384"/>
      <c r="J132" s="384"/>
    </row>
    <row r="133" spans="2:10">
      <c r="B133" s="387" t="s">
        <v>374</v>
      </c>
      <c r="C133" s="384" t="s">
        <v>131</v>
      </c>
      <c r="D133" s="387" t="s">
        <v>342</v>
      </c>
      <c r="E133" s="387" t="s">
        <v>416</v>
      </c>
      <c r="F133" s="388">
        <v>-3444522.78</v>
      </c>
      <c r="G133" s="389">
        <v>0</v>
      </c>
      <c r="H133" s="388">
        <v>0</v>
      </c>
      <c r="I133" s="384" t="str">
        <f>VLOOKUP(Table2[[#This Row],[Rate Desc]],lookup305[],2,TRUE)</f>
        <v>itd</v>
      </c>
      <c r="J133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134" spans="2:10">
      <c r="B134" s="387" t="s">
        <v>374</v>
      </c>
      <c r="C134" s="384" t="s">
        <v>131</v>
      </c>
      <c r="D134" s="387" t="s">
        <v>342</v>
      </c>
      <c r="E134" s="387" t="s">
        <v>253</v>
      </c>
      <c r="F134" s="388">
        <v>57479.17</v>
      </c>
      <c r="G134" s="389">
        <v>0</v>
      </c>
      <c r="H134" s="388">
        <v>0</v>
      </c>
      <c r="I134" s="384" t="str">
        <f>VLOOKUP(Table2[[#This Row],[Rate Desc]],lookup305[],2,TRUE)</f>
        <v>rev</v>
      </c>
      <c r="J134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35" spans="2:10">
      <c r="B135" s="387" t="s">
        <v>374</v>
      </c>
      <c r="C135" s="384" t="s">
        <v>131</v>
      </c>
      <c r="D135" s="387" t="s">
        <v>342</v>
      </c>
      <c r="E135" s="387" t="s">
        <v>229</v>
      </c>
      <c r="F135" s="388">
        <v>-11211311.35</v>
      </c>
      <c r="G135" s="389">
        <v>0</v>
      </c>
      <c r="H135" s="388">
        <v>0</v>
      </c>
      <c r="I135" s="384" t="str">
        <f>VLOOKUP(Table2[[#This Row],[Rate Desc]],lookup305[],2,TRUE)</f>
        <v>rev</v>
      </c>
      <c r="J135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36" spans="2:10">
      <c r="B136" s="387" t="s">
        <v>374</v>
      </c>
      <c r="C136" s="384" t="s">
        <v>131</v>
      </c>
      <c r="D136" s="387" t="s">
        <v>343</v>
      </c>
      <c r="E136" s="387" t="s">
        <v>187</v>
      </c>
      <c r="F136" s="388">
        <v>-6000</v>
      </c>
      <c r="G136" s="389">
        <v>0</v>
      </c>
      <c r="H136" s="388">
        <v>0</v>
      </c>
      <c r="I136" s="384" t="str">
        <f>VLOOKUP(Table2[[#This Row],[Rate Desc]],lookup305[],2,TRUE)</f>
        <v>unbilled</v>
      </c>
      <c r="J136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37" spans="2:10">
      <c r="B137" s="387" t="s">
        <v>374</v>
      </c>
      <c r="C137" s="384" t="s">
        <v>131</v>
      </c>
      <c r="D137" s="387" t="s">
        <v>343</v>
      </c>
      <c r="E137" s="387" t="s">
        <v>390</v>
      </c>
      <c r="F137" s="388">
        <v>-39000</v>
      </c>
      <c r="G137" s="389">
        <v>0</v>
      </c>
      <c r="H137" s="388">
        <v>-8420000</v>
      </c>
      <c r="I137" s="384" t="str">
        <f>VLOOKUP(Table2[[#This Row],[Rate Desc]],lookup305[],2,TRUE)</f>
        <v>unbilled</v>
      </c>
      <c r="J137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33"/>
  <sheetViews>
    <sheetView topLeftCell="A2" workbookViewId="0">
      <selection activeCell="E17" sqref="E17"/>
    </sheetView>
  </sheetViews>
  <sheetFormatPr defaultRowHeight="15.6"/>
  <cols>
    <col min="1" max="1" width="47.09765625" bestFit="1" customWidth="1"/>
    <col min="2" max="2" width="9" style="412"/>
    <col min="3" max="3" width="12.69921875" style="412" customWidth="1"/>
  </cols>
  <sheetData>
    <row r="1" spans="1:3">
      <c r="A1" t="s">
        <v>338</v>
      </c>
      <c r="B1" s="412" t="s">
        <v>344</v>
      </c>
      <c r="C1" s="412" t="s">
        <v>345</v>
      </c>
    </row>
    <row r="2" spans="1:3">
      <c r="A2" t="s">
        <v>392</v>
      </c>
      <c r="B2" s="412">
        <v>40</v>
      </c>
      <c r="C2" s="412" t="s">
        <v>226</v>
      </c>
    </row>
    <row r="3" spans="1:3">
      <c r="A3" t="s">
        <v>392</v>
      </c>
      <c r="B3" s="412">
        <v>40</v>
      </c>
      <c r="C3" s="412">
        <v>40</v>
      </c>
    </row>
    <row r="4" spans="1:3">
      <c r="A4" t="s">
        <v>393</v>
      </c>
      <c r="B4" s="412" t="s">
        <v>145</v>
      </c>
      <c r="C4" s="412" t="s">
        <v>145</v>
      </c>
    </row>
    <row r="5" spans="1:3">
      <c r="A5" t="s">
        <v>404</v>
      </c>
      <c r="B5" s="412" t="s">
        <v>275</v>
      </c>
      <c r="C5" s="412" t="s">
        <v>275</v>
      </c>
    </row>
    <row r="6" spans="1:3">
      <c r="A6" t="s">
        <v>394</v>
      </c>
      <c r="B6" s="412" t="s">
        <v>225</v>
      </c>
      <c r="C6" s="412" t="s">
        <v>225</v>
      </c>
    </row>
    <row r="7" spans="1:3">
      <c r="A7" t="s">
        <v>399</v>
      </c>
      <c r="B7" s="412">
        <v>12</v>
      </c>
      <c r="C7" s="412">
        <v>12</v>
      </c>
    </row>
    <row r="8" spans="1:3">
      <c r="A8" t="s">
        <v>400</v>
      </c>
      <c r="B8" s="412">
        <v>52</v>
      </c>
      <c r="C8" s="412">
        <v>52</v>
      </c>
    </row>
    <row r="9" spans="1:3">
      <c r="A9" t="s">
        <v>401</v>
      </c>
      <c r="B9" s="412" t="s">
        <v>146</v>
      </c>
      <c r="C9" s="412" t="s">
        <v>146</v>
      </c>
    </row>
    <row r="10" spans="1:3">
      <c r="A10" t="s">
        <v>402</v>
      </c>
      <c r="B10" s="412" t="s">
        <v>147</v>
      </c>
      <c r="C10" s="412" t="s">
        <v>147</v>
      </c>
    </row>
    <row r="11" spans="1:3">
      <c r="A11" t="s">
        <v>189</v>
      </c>
      <c r="B11" s="412">
        <v>24</v>
      </c>
      <c r="C11" s="412">
        <v>24</v>
      </c>
    </row>
    <row r="12" spans="1:3">
      <c r="A12" t="s">
        <v>189</v>
      </c>
      <c r="B12" s="412">
        <v>24</v>
      </c>
      <c r="C12" s="412">
        <v>24</v>
      </c>
    </row>
    <row r="13" spans="1:3">
      <c r="A13" t="s">
        <v>195</v>
      </c>
      <c r="B13" s="412">
        <v>24</v>
      </c>
      <c r="C13" s="412" t="s">
        <v>208</v>
      </c>
    </row>
    <row r="14" spans="1:3">
      <c r="A14" t="s">
        <v>195</v>
      </c>
      <c r="B14" s="412">
        <v>24</v>
      </c>
      <c r="C14" s="412" t="s">
        <v>208</v>
      </c>
    </row>
    <row r="15" spans="1:3">
      <c r="A15" t="s">
        <v>198</v>
      </c>
      <c r="B15" s="412" t="s">
        <v>137</v>
      </c>
      <c r="C15" s="412" t="s">
        <v>137</v>
      </c>
    </row>
    <row r="16" spans="1:3">
      <c r="A16" t="s">
        <v>188</v>
      </c>
      <c r="B16" s="412" t="s">
        <v>137</v>
      </c>
      <c r="C16" s="412" t="s">
        <v>204</v>
      </c>
    </row>
    <row r="17" spans="1:3">
      <c r="A17" t="s">
        <v>190</v>
      </c>
      <c r="B17" s="412" t="s">
        <v>144</v>
      </c>
      <c r="C17" s="412" t="s">
        <v>144</v>
      </c>
    </row>
    <row r="18" spans="1:3">
      <c r="A18" t="s">
        <v>190</v>
      </c>
      <c r="B18" s="412" t="s">
        <v>144</v>
      </c>
      <c r="C18" s="412" t="s">
        <v>144</v>
      </c>
    </row>
    <row r="19" spans="1:3">
      <c r="A19" t="s">
        <v>196</v>
      </c>
      <c r="B19" s="412" t="s">
        <v>144</v>
      </c>
      <c r="C19" s="412" t="s">
        <v>163</v>
      </c>
    </row>
    <row r="20" spans="1:3">
      <c r="A20" t="s">
        <v>196</v>
      </c>
      <c r="B20" s="412" t="s">
        <v>144</v>
      </c>
      <c r="C20" s="412" t="s">
        <v>163</v>
      </c>
    </row>
    <row r="21" spans="1:3">
      <c r="A21" t="s">
        <v>375</v>
      </c>
      <c r="B21" s="412">
        <v>24</v>
      </c>
      <c r="C21" s="412">
        <v>24</v>
      </c>
    </row>
    <row r="22" spans="1:3">
      <c r="A22" t="s">
        <v>375</v>
      </c>
      <c r="B22" s="412">
        <v>24</v>
      </c>
      <c r="C22" s="412">
        <v>24</v>
      </c>
    </row>
    <row r="23" spans="1:3">
      <c r="A23" t="s">
        <v>376</v>
      </c>
      <c r="B23" s="412" t="s">
        <v>137</v>
      </c>
      <c r="C23" s="412">
        <v>24</v>
      </c>
    </row>
    <row r="24" spans="1:3">
      <c r="A24" t="s">
        <v>376</v>
      </c>
      <c r="B24" s="412" t="s">
        <v>137</v>
      </c>
      <c r="C24" s="412" t="s">
        <v>137</v>
      </c>
    </row>
    <row r="25" spans="1:3">
      <c r="A25" t="s">
        <v>199</v>
      </c>
      <c r="B25" s="412">
        <v>36</v>
      </c>
      <c r="C25" s="412">
        <v>36</v>
      </c>
    </row>
    <row r="26" spans="1:3">
      <c r="A26" t="s">
        <v>199</v>
      </c>
      <c r="B26" s="412">
        <v>36</v>
      </c>
      <c r="C26" s="412">
        <v>36</v>
      </c>
    </row>
    <row r="27" spans="1:3">
      <c r="A27" t="s">
        <v>192</v>
      </c>
      <c r="B27" s="412">
        <v>36</v>
      </c>
      <c r="C27" s="412" t="s">
        <v>205</v>
      </c>
    </row>
    <row r="28" spans="1:3">
      <c r="A28" t="s">
        <v>192</v>
      </c>
      <c r="B28" s="412">
        <v>36</v>
      </c>
      <c r="C28" s="412" t="s">
        <v>205</v>
      </c>
    </row>
    <row r="29" spans="1:3">
      <c r="A29" t="s">
        <v>377</v>
      </c>
      <c r="B29" s="412">
        <v>36</v>
      </c>
      <c r="C29" s="412">
        <v>36</v>
      </c>
    </row>
    <row r="30" spans="1:3">
      <c r="A30" t="s">
        <v>377</v>
      </c>
      <c r="B30" s="412">
        <v>36</v>
      </c>
      <c r="C30" s="412">
        <v>36</v>
      </c>
    </row>
    <row r="31" spans="1:3">
      <c r="A31" t="s">
        <v>378</v>
      </c>
      <c r="B31" s="412" t="s">
        <v>143</v>
      </c>
      <c r="C31" s="412" t="s">
        <v>143</v>
      </c>
    </row>
    <row r="32" spans="1:3">
      <c r="A32" t="s">
        <v>378</v>
      </c>
      <c r="B32" s="412" t="s">
        <v>143</v>
      </c>
      <c r="C32" s="412" t="s">
        <v>143</v>
      </c>
    </row>
    <row r="33" spans="1:3">
      <c r="A33" t="s">
        <v>379</v>
      </c>
      <c r="B33" s="412" t="s">
        <v>138</v>
      </c>
      <c r="C33" s="412" t="s">
        <v>138</v>
      </c>
    </row>
    <row r="34" spans="1:3">
      <c r="A34" t="s">
        <v>379</v>
      </c>
      <c r="B34" s="412" t="s">
        <v>138</v>
      </c>
      <c r="C34" s="412" t="s">
        <v>138</v>
      </c>
    </row>
    <row r="35" spans="1:3">
      <c r="A35" t="s">
        <v>380</v>
      </c>
      <c r="B35" s="412" t="s">
        <v>138</v>
      </c>
      <c r="C35" s="412" t="s">
        <v>138</v>
      </c>
    </row>
    <row r="36" spans="1:3">
      <c r="A36" t="s">
        <v>380</v>
      </c>
      <c r="B36" s="412" t="s">
        <v>138</v>
      </c>
      <c r="C36" s="412" t="s">
        <v>138</v>
      </c>
    </row>
    <row r="37" spans="1:3">
      <c r="A37" t="s">
        <v>380</v>
      </c>
      <c r="B37" s="412" t="s">
        <v>138</v>
      </c>
      <c r="C37" s="412" t="s">
        <v>138</v>
      </c>
    </row>
    <row r="38" spans="1:3">
      <c r="A38" t="s">
        <v>381</v>
      </c>
      <c r="B38" s="412" t="s">
        <v>138</v>
      </c>
      <c r="C38" s="412" t="s">
        <v>138</v>
      </c>
    </row>
    <row r="39" spans="1:3">
      <c r="A39" t="s">
        <v>381</v>
      </c>
      <c r="B39" s="412" t="s">
        <v>138</v>
      </c>
      <c r="C39" s="412" t="s">
        <v>138</v>
      </c>
    </row>
    <row r="40" spans="1:3">
      <c r="A40" t="s">
        <v>382</v>
      </c>
      <c r="B40" s="412" t="s">
        <v>138</v>
      </c>
      <c r="C40" s="412" t="s">
        <v>138</v>
      </c>
    </row>
    <row r="41" spans="1:3">
      <c r="A41" t="s">
        <v>382</v>
      </c>
      <c r="B41" s="412" t="s">
        <v>138</v>
      </c>
      <c r="C41" s="412" t="s">
        <v>138</v>
      </c>
    </row>
    <row r="42" spans="1:3">
      <c r="A42" t="s">
        <v>382</v>
      </c>
      <c r="B42" s="412" t="s">
        <v>138</v>
      </c>
      <c r="C42" s="412" t="s">
        <v>138</v>
      </c>
    </row>
    <row r="43" spans="1:3">
      <c r="A43" t="s">
        <v>383</v>
      </c>
      <c r="B43" s="412" t="s">
        <v>138</v>
      </c>
      <c r="C43" s="412" t="s">
        <v>138</v>
      </c>
    </row>
    <row r="44" spans="1:3">
      <c r="A44" t="s">
        <v>383</v>
      </c>
      <c r="B44" s="412" t="s">
        <v>138</v>
      </c>
      <c r="C44" s="412" t="s">
        <v>138</v>
      </c>
    </row>
    <row r="45" spans="1:3">
      <c r="A45" t="s">
        <v>384</v>
      </c>
      <c r="B45" s="412" t="s">
        <v>138</v>
      </c>
      <c r="C45" s="412" t="s">
        <v>138</v>
      </c>
    </row>
    <row r="46" spans="1:3">
      <c r="A46" t="s">
        <v>170</v>
      </c>
      <c r="B46" s="412" t="s">
        <v>138</v>
      </c>
      <c r="C46" s="412" t="s">
        <v>138</v>
      </c>
    </row>
    <row r="47" spans="1:3">
      <c r="A47" t="s">
        <v>212</v>
      </c>
      <c r="B47" s="412" t="s">
        <v>138</v>
      </c>
      <c r="C47" s="412" t="s">
        <v>138</v>
      </c>
    </row>
    <row r="48" spans="1:3">
      <c r="A48" t="s">
        <v>211</v>
      </c>
      <c r="B48" s="412" t="s">
        <v>138</v>
      </c>
      <c r="C48" s="412" t="s">
        <v>138</v>
      </c>
    </row>
    <row r="49" spans="1:3">
      <c r="A49" t="s">
        <v>211</v>
      </c>
      <c r="B49" s="412" t="s">
        <v>138</v>
      </c>
      <c r="C49" s="412" t="s">
        <v>138</v>
      </c>
    </row>
    <row r="50" spans="1:3">
      <c r="A50" t="s">
        <v>213</v>
      </c>
      <c r="B50" s="412" t="s">
        <v>138</v>
      </c>
      <c r="C50" s="412" t="s">
        <v>138</v>
      </c>
    </row>
    <row r="51" spans="1:3">
      <c r="A51" t="s">
        <v>403</v>
      </c>
      <c r="B51" s="412">
        <v>57</v>
      </c>
      <c r="C51" s="412">
        <v>57</v>
      </c>
    </row>
    <row r="52" spans="1:3">
      <c r="A52" t="s">
        <v>217</v>
      </c>
      <c r="B52" s="412">
        <v>135</v>
      </c>
      <c r="C52" s="412">
        <v>135</v>
      </c>
    </row>
    <row r="53" spans="1:3">
      <c r="A53" t="s">
        <v>222</v>
      </c>
      <c r="B53" s="412">
        <v>135</v>
      </c>
      <c r="C53" s="412" t="s">
        <v>233</v>
      </c>
    </row>
    <row r="54" spans="1:3">
      <c r="A54" t="s">
        <v>185</v>
      </c>
      <c r="B54" s="412">
        <v>24</v>
      </c>
      <c r="C54" s="412">
        <v>24</v>
      </c>
    </row>
    <row r="55" spans="1:3">
      <c r="A55" t="s">
        <v>254</v>
      </c>
      <c r="B55" s="412">
        <v>24</v>
      </c>
      <c r="C55" s="412" t="s">
        <v>208</v>
      </c>
    </row>
    <row r="56" spans="1:3">
      <c r="A56" t="s">
        <v>230</v>
      </c>
      <c r="B56" s="412">
        <v>36</v>
      </c>
      <c r="C56" s="412">
        <v>36</v>
      </c>
    </row>
    <row r="57" spans="1:3">
      <c r="A57" t="s">
        <v>311</v>
      </c>
      <c r="B57" s="412">
        <v>40</v>
      </c>
      <c r="C57" s="412" t="s">
        <v>226</v>
      </c>
    </row>
    <row r="58" spans="1:3">
      <c r="A58" t="s">
        <v>310</v>
      </c>
      <c r="B58" s="412">
        <v>40</v>
      </c>
      <c r="C58" s="412">
        <v>40</v>
      </c>
    </row>
    <row r="59" spans="1:3">
      <c r="A59" t="s">
        <v>309</v>
      </c>
      <c r="B59" s="412" t="s">
        <v>143</v>
      </c>
      <c r="C59" s="412" t="s">
        <v>143</v>
      </c>
    </row>
    <row r="60" spans="1:3">
      <c r="A60" t="s">
        <v>367</v>
      </c>
      <c r="B60" s="412" t="s">
        <v>145</v>
      </c>
      <c r="C60" s="412" t="s">
        <v>145</v>
      </c>
    </row>
    <row r="61" spans="1:3">
      <c r="A61" t="s">
        <v>385</v>
      </c>
      <c r="B61" s="412" t="s">
        <v>139</v>
      </c>
      <c r="C61" s="412" t="s">
        <v>139</v>
      </c>
    </row>
    <row r="62" spans="1:3">
      <c r="A62" t="s">
        <v>385</v>
      </c>
      <c r="B62" s="412" t="s">
        <v>139</v>
      </c>
      <c r="C62" s="412" t="s">
        <v>139</v>
      </c>
    </row>
    <row r="63" spans="1:3">
      <c r="A63" t="s">
        <v>197</v>
      </c>
      <c r="B63" s="412" t="s">
        <v>139</v>
      </c>
      <c r="C63" s="412" t="s">
        <v>139</v>
      </c>
    </row>
    <row r="64" spans="1:3">
      <c r="A64" t="s">
        <v>197</v>
      </c>
      <c r="B64" s="412" t="s">
        <v>139</v>
      </c>
      <c r="C64" s="412" t="s">
        <v>139</v>
      </c>
    </row>
    <row r="65" spans="1:3">
      <c r="A65" t="s">
        <v>193</v>
      </c>
      <c r="B65" s="412" t="s">
        <v>139</v>
      </c>
      <c r="C65" s="412" t="s">
        <v>206</v>
      </c>
    </row>
    <row r="66" spans="1:3">
      <c r="A66" t="s">
        <v>193</v>
      </c>
      <c r="B66" s="412" t="s">
        <v>139</v>
      </c>
      <c r="C66" s="412" t="s">
        <v>206</v>
      </c>
    </row>
    <row r="67" spans="1:3">
      <c r="A67" t="s">
        <v>200</v>
      </c>
      <c r="B67" s="412" t="s">
        <v>148</v>
      </c>
      <c r="C67" s="412" t="s">
        <v>148</v>
      </c>
    </row>
    <row r="68" spans="1:3">
      <c r="A68" t="s">
        <v>201</v>
      </c>
      <c r="B68" s="412" t="s">
        <v>148</v>
      </c>
      <c r="C68" s="412" t="s">
        <v>209</v>
      </c>
    </row>
    <row r="69" spans="1:3">
      <c r="A69" t="s">
        <v>391</v>
      </c>
      <c r="B69" s="412">
        <v>47</v>
      </c>
      <c r="C69" s="412">
        <v>47</v>
      </c>
    </row>
    <row r="70" spans="1:3">
      <c r="A70" t="s">
        <v>386</v>
      </c>
      <c r="B70" s="412">
        <v>54</v>
      </c>
      <c r="C70" s="412">
        <v>54</v>
      </c>
    </row>
    <row r="71" spans="1:3">
      <c r="A71" t="s">
        <v>405</v>
      </c>
      <c r="B71" s="412">
        <v>16</v>
      </c>
      <c r="C71" s="412">
        <v>16</v>
      </c>
    </row>
    <row r="72" spans="1:3">
      <c r="A72" t="s">
        <v>312</v>
      </c>
      <c r="B72" s="412">
        <v>16</v>
      </c>
      <c r="C72" s="412" t="s">
        <v>164</v>
      </c>
    </row>
    <row r="73" spans="1:3">
      <c r="A73" t="s">
        <v>406</v>
      </c>
      <c r="B73" s="412">
        <v>17</v>
      </c>
      <c r="C73" s="412">
        <v>17</v>
      </c>
    </row>
    <row r="74" spans="1:3">
      <c r="A74" t="s">
        <v>134</v>
      </c>
      <c r="B74" s="412">
        <v>17</v>
      </c>
      <c r="C74" s="412" t="s">
        <v>165</v>
      </c>
    </row>
    <row r="75" spans="1:3">
      <c r="A75" t="s">
        <v>407</v>
      </c>
      <c r="B75" s="412">
        <v>18</v>
      </c>
      <c r="C75" s="412">
        <v>18</v>
      </c>
    </row>
    <row r="76" spans="1:3">
      <c r="A76" t="s">
        <v>313</v>
      </c>
      <c r="B76" s="412">
        <v>18</v>
      </c>
      <c r="C76" s="412" t="s">
        <v>166</v>
      </c>
    </row>
    <row r="77" spans="1:3">
      <c r="A77" t="s">
        <v>408</v>
      </c>
      <c r="B77" s="412" t="s">
        <v>149</v>
      </c>
      <c r="C77" s="412" t="s">
        <v>149</v>
      </c>
    </row>
    <row r="78" spans="1:3">
      <c r="A78" t="s">
        <v>314</v>
      </c>
      <c r="B78" s="412" t="s">
        <v>149</v>
      </c>
      <c r="C78" s="412" t="s">
        <v>167</v>
      </c>
    </row>
    <row r="79" spans="1:3">
      <c r="A79" t="s">
        <v>107</v>
      </c>
      <c r="B79" s="412" t="s">
        <v>346</v>
      </c>
      <c r="C79" s="412" t="s">
        <v>346</v>
      </c>
    </row>
    <row r="80" spans="1:3">
      <c r="A80" t="s">
        <v>255</v>
      </c>
      <c r="B80" s="412">
        <v>24</v>
      </c>
      <c r="C80" s="412">
        <v>24</v>
      </c>
    </row>
    <row r="81" spans="1:3">
      <c r="A81" t="s">
        <v>256</v>
      </c>
      <c r="B81" s="412">
        <v>24</v>
      </c>
      <c r="C81" s="412" t="s">
        <v>208</v>
      </c>
    </row>
    <row r="82" spans="1:3">
      <c r="A82" t="s">
        <v>369</v>
      </c>
      <c r="B82" s="412">
        <v>36</v>
      </c>
      <c r="C82" s="412">
        <v>36</v>
      </c>
    </row>
    <row r="83" spans="1:3">
      <c r="A83" t="s">
        <v>371</v>
      </c>
      <c r="B83" s="412">
        <v>36</v>
      </c>
      <c r="C83" s="412" t="s">
        <v>205</v>
      </c>
    </row>
    <row r="84" spans="1:3">
      <c r="A84" t="s">
        <v>370</v>
      </c>
      <c r="B84" s="412">
        <v>24</v>
      </c>
      <c r="C84" s="412">
        <v>24</v>
      </c>
    </row>
    <row r="85" spans="1:3">
      <c r="A85" t="s">
        <v>368</v>
      </c>
      <c r="B85" s="412">
        <v>24</v>
      </c>
      <c r="C85" s="412" t="s">
        <v>208</v>
      </c>
    </row>
    <row r="86" spans="1:3">
      <c r="A86" t="s">
        <v>320</v>
      </c>
      <c r="B86" s="412">
        <v>51</v>
      </c>
      <c r="C86" s="412">
        <v>51</v>
      </c>
    </row>
    <row r="87" spans="1:3">
      <c r="A87" t="s">
        <v>187</v>
      </c>
      <c r="B87" s="412" t="s">
        <v>141</v>
      </c>
      <c r="C87" s="412" t="s">
        <v>141</v>
      </c>
    </row>
    <row r="88" spans="1:3">
      <c r="A88" t="s">
        <v>279</v>
      </c>
      <c r="B88" s="412" t="s">
        <v>274</v>
      </c>
      <c r="C88" s="412" t="s">
        <v>274</v>
      </c>
    </row>
    <row r="89" spans="1:3">
      <c r="A89" t="s">
        <v>280</v>
      </c>
      <c r="B89" s="412" t="s">
        <v>275</v>
      </c>
      <c r="C89" s="412" t="s">
        <v>275</v>
      </c>
    </row>
    <row r="90" spans="1:3">
      <c r="A90" t="s">
        <v>269</v>
      </c>
      <c r="B90" s="412" t="s">
        <v>274</v>
      </c>
      <c r="C90" s="412" t="s">
        <v>274</v>
      </c>
    </row>
    <row r="91" spans="1:3">
      <c r="A91" t="s">
        <v>270</v>
      </c>
      <c r="B91" s="412" t="s">
        <v>275</v>
      </c>
      <c r="C91" s="412" t="s">
        <v>275</v>
      </c>
    </row>
    <row r="92" spans="1:3">
      <c r="A92" t="s">
        <v>271</v>
      </c>
      <c r="B92" s="412" t="s">
        <v>274</v>
      </c>
      <c r="C92" s="412" t="s">
        <v>274</v>
      </c>
    </row>
    <row r="93" spans="1:3">
      <c r="A93" t="s">
        <v>372</v>
      </c>
      <c r="B93" s="412" t="s">
        <v>275</v>
      </c>
      <c r="C93" s="412" t="s">
        <v>275</v>
      </c>
    </row>
    <row r="94" spans="1:3">
      <c r="A94" t="s">
        <v>231</v>
      </c>
      <c r="B94" s="412" t="s">
        <v>350</v>
      </c>
      <c r="C94" s="412" t="s">
        <v>350</v>
      </c>
    </row>
    <row r="95" spans="1:3">
      <c r="A95" t="s">
        <v>272</v>
      </c>
      <c r="B95" s="412" t="s">
        <v>274</v>
      </c>
      <c r="C95" s="412" t="s">
        <v>274</v>
      </c>
    </row>
    <row r="96" spans="1:3">
      <c r="A96" t="s">
        <v>273</v>
      </c>
      <c r="B96" s="412" t="s">
        <v>275</v>
      </c>
      <c r="C96" s="412" t="s">
        <v>275</v>
      </c>
    </row>
    <row r="97" spans="1:3">
      <c r="A97" t="s">
        <v>278</v>
      </c>
      <c r="B97" s="412" t="s">
        <v>274</v>
      </c>
      <c r="C97" s="412" t="s">
        <v>274</v>
      </c>
    </row>
    <row r="98" spans="1:3">
      <c r="A98" t="s">
        <v>415</v>
      </c>
      <c r="B98" s="412" t="s">
        <v>425</v>
      </c>
      <c r="C98" s="412" t="s">
        <v>425</v>
      </c>
    </row>
    <row r="99" spans="1:3">
      <c r="A99" t="s">
        <v>415</v>
      </c>
      <c r="B99" s="412" t="s">
        <v>425</v>
      </c>
      <c r="C99" s="412" t="s">
        <v>425</v>
      </c>
    </row>
    <row r="100" spans="1:3">
      <c r="A100" t="s">
        <v>415</v>
      </c>
      <c r="B100" s="412" t="s">
        <v>425</v>
      </c>
      <c r="C100" s="412" t="s">
        <v>425</v>
      </c>
    </row>
    <row r="101" spans="1:3">
      <c r="A101" t="s">
        <v>415</v>
      </c>
      <c r="B101" s="412" t="s">
        <v>425</v>
      </c>
      <c r="C101" s="412" t="s">
        <v>425</v>
      </c>
    </row>
    <row r="102" spans="1:3">
      <c r="A102" t="s">
        <v>387</v>
      </c>
      <c r="B102" s="412" t="s">
        <v>140</v>
      </c>
      <c r="C102" s="412" t="s">
        <v>140</v>
      </c>
    </row>
    <row r="103" spans="1:3">
      <c r="A103" t="s">
        <v>387</v>
      </c>
      <c r="B103" s="412" t="s">
        <v>140</v>
      </c>
      <c r="C103" s="412" t="s">
        <v>140</v>
      </c>
    </row>
    <row r="104" spans="1:3">
      <c r="A104" t="s">
        <v>387</v>
      </c>
      <c r="B104" s="412" t="s">
        <v>140</v>
      </c>
      <c r="C104" s="412" t="s">
        <v>140</v>
      </c>
    </row>
    <row r="105" spans="1:3">
      <c r="A105" t="s">
        <v>396</v>
      </c>
    </row>
    <row r="106" spans="1:3">
      <c r="A106" t="s">
        <v>395</v>
      </c>
    </row>
    <row r="107" spans="1:3">
      <c r="A107" t="s">
        <v>388</v>
      </c>
    </row>
    <row r="108" spans="1:3">
      <c r="A108" t="s">
        <v>388</v>
      </c>
    </row>
    <row r="109" spans="1:3">
      <c r="A109" t="s">
        <v>388</v>
      </c>
    </row>
    <row r="110" spans="1:3">
      <c r="A110" t="s">
        <v>389</v>
      </c>
    </row>
    <row r="111" spans="1:3">
      <c r="A111" t="s">
        <v>389</v>
      </c>
    </row>
    <row r="112" spans="1:3">
      <c r="A112" t="s">
        <v>389</v>
      </c>
    </row>
    <row r="113" spans="1:3">
      <c r="A113" t="s">
        <v>389</v>
      </c>
    </row>
    <row r="114" spans="1:3">
      <c r="A114" t="s">
        <v>416</v>
      </c>
      <c r="B114" s="412" t="s">
        <v>424</v>
      </c>
      <c r="C114" s="412" t="s">
        <v>424</v>
      </c>
    </row>
    <row r="115" spans="1:3">
      <c r="A115" t="s">
        <v>416</v>
      </c>
      <c r="B115" s="412" t="s">
        <v>424</v>
      </c>
      <c r="C115" s="412" t="s">
        <v>424</v>
      </c>
    </row>
    <row r="116" spans="1:3">
      <c r="A116" t="s">
        <v>416</v>
      </c>
      <c r="B116" s="412" t="s">
        <v>424</v>
      </c>
      <c r="C116" s="412" t="s">
        <v>424</v>
      </c>
    </row>
    <row r="117" spans="1:3">
      <c r="A117" t="s">
        <v>416</v>
      </c>
      <c r="B117" s="412" t="s">
        <v>424</v>
      </c>
      <c r="C117" s="412" t="s">
        <v>424</v>
      </c>
    </row>
    <row r="118" spans="1:3">
      <c r="A118" t="s">
        <v>416</v>
      </c>
      <c r="B118" s="412" t="s">
        <v>424</v>
      </c>
      <c r="C118" s="412" t="s">
        <v>424</v>
      </c>
    </row>
    <row r="119" spans="1:3">
      <c r="A119" t="s">
        <v>397</v>
      </c>
      <c r="B119" s="412" t="s">
        <v>140</v>
      </c>
      <c r="C119" s="412" t="s">
        <v>140</v>
      </c>
    </row>
    <row r="120" spans="1:3">
      <c r="A120" t="s">
        <v>398</v>
      </c>
      <c r="B120" s="412" t="s">
        <v>141</v>
      </c>
      <c r="C120" s="412" t="s">
        <v>141</v>
      </c>
    </row>
    <row r="121" spans="1:3">
      <c r="A121" t="s">
        <v>253</v>
      </c>
      <c r="B121" s="412" t="s">
        <v>203</v>
      </c>
      <c r="C121" s="412" t="s">
        <v>203</v>
      </c>
    </row>
    <row r="122" spans="1:3">
      <c r="A122" t="s">
        <v>253</v>
      </c>
      <c r="B122" s="412" t="s">
        <v>203</v>
      </c>
      <c r="C122" s="412" t="s">
        <v>203</v>
      </c>
    </row>
    <row r="123" spans="1:3">
      <c r="A123" t="s">
        <v>253</v>
      </c>
      <c r="B123" s="412" t="s">
        <v>203</v>
      </c>
      <c r="C123" s="412" t="s">
        <v>203</v>
      </c>
    </row>
    <row r="124" spans="1:3">
      <c r="A124" t="s">
        <v>253</v>
      </c>
      <c r="B124" s="412" t="s">
        <v>203</v>
      </c>
      <c r="C124" s="412" t="s">
        <v>203</v>
      </c>
    </row>
    <row r="125" spans="1:3">
      <c r="A125" t="s">
        <v>229</v>
      </c>
      <c r="B125" s="412" t="s">
        <v>203</v>
      </c>
      <c r="C125" s="412" t="s">
        <v>203</v>
      </c>
    </row>
    <row r="126" spans="1:3">
      <c r="A126" t="s">
        <v>229</v>
      </c>
      <c r="B126" s="412" t="s">
        <v>203</v>
      </c>
      <c r="C126" s="412" t="s">
        <v>203</v>
      </c>
    </row>
    <row r="127" spans="1:3">
      <c r="A127" t="s">
        <v>229</v>
      </c>
      <c r="B127" s="412" t="s">
        <v>203</v>
      </c>
      <c r="C127" s="412" t="s">
        <v>203</v>
      </c>
    </row>
    <row r="128" spans="1:3">
      <c r="A128" t="s">
        <v>229</v>
      </c>
      <c r="B128" s="412" t="s">
        <v>203</v>
      </c>
    </row>
    <row r="129" spans="1:3">
      <c r="A129" t="s">
        <v>229</v>
      </c>
      <c r="B129" s="412" t="s">
        <v>203</v>
      </c>
      <c r="C129" s="412" t="s">
        <v>203</v>
      </c>
    </row>
    <row r="130" spans="1:3">
      <c r="A130" t="s">
        <v>390</v>
      </c>
      <c r="B130" s="412" t="s">
        <v>141</v>
      </c>
      <c r="C130" s="412" t="s">
        <v>141</v>
      </c>
    </row>
    <row r="131" spans="1:3">
      <c r="A131" t="s">
        <v>390</v>
      </c>
      <c r="B131" s="412" t="s">
        <v>141</v>
      </c>
      <c r="C131" s="412" t="s">
        <v>141</v>
      </c>
    </row>
    <row r="132" spans="1:3">
      <c r="A132" t="s">
        <v>390</v>
      </c>
      <c r="B132" s="412" t="s">
        <v>141</v>
      </c>
      <c r="C132" s="412" t="s">
        <v>141</v>
      </c>
    </row>
    <row r="133" spans="1:3">
      <c r="A133" t="s">
        <v>390</v>
      </c>
      <c r="B133" s="412" t="s">
        <v>141</v>
      </c>
      <c r="C133" s="412" t="s">
        <v>141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10"/>
  <sheetViews>
    <sheetView zoomScale="70" zoomScaleNormal="7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5.6"/>
  <cols>
    <col min="1" max="1" width="29.69921875" style="220" bestFit="1" customWidth="1"/>
    <col min="2" max="2" width="39.8984375" style="4" bestFit="1" customWidth="1"/>
    <col min="3" max="3" width="55.09765625" style="271" customWidth="1"/>
    <col min="4" max="4" width="19" style="271" bestFit="1" customWidth="1"/>
    <col min="5" max="16384" width="9" style="4"/>
  </cols>
  <sheetData>
    <row r="2" spans="1:4">
      <c r="A2" s="4" t="s">
        <v>257</v>
      </c>
    </row>
    <row r="3" spans="1:4">
      <c r="A3" s="4" t="s">
        <v>223</v>
      </c>
    </row>
    <row r="4" spans="1:4">
      <c r="A4" s="4" t="s">
        <v>258</v>
      </c>
    </row>
    <row r="5" spans="1:4">
      <c r="A5" s="220" t="s">
        <v>203</v>
      </c>
      <c r="B5" s="270" t="s">
        <v>259</v>
      </c>
      <c r="D5" s="275" t="s">
        <v>268</v>
      </c>
    </row>
    <row r="6" spans="1:4">
      <c r="A6" s="220" t="s">
        <v>30</v>
      </c>
      <c r="B6" s="4" t="s">
        <v>92</v>
      </c>
      <c r="C6" s="271" t="s">
        <v>93</v>
      </c>
      <c r="D6" s="271" t="s">
        <v>1</v>
      </c>
    </row>
    <row r="7" spans="1:4" ht="15.75" customHeight="1">
      <c r="A7" s="217"/>
      <c r="B7" s="4" t="s">
        <v>94</v>
      </c>
      <c r="C7" s="218" t="s">
        <v>112</v>
      </c>
      <c r="D7" s="274">
        <v>-946000</v>
      </c>
    </row>
    <row r="8" spans="1:4" ht="15.75" customHeight="1">
      <c r="A8" s="217"/>
      <c r="B8" s="4" t="s">
        <v>94</v>
      </c>
      <c r="C8" s="218" t="s">
        <v>109</v>
      </c>
      <c r="D8" s="274">
        <v>-17340.96</v>
      </c>
    </row>
    <row r="9" spans="1:4" ht="15.75" customHeight="1">
      <c r="A9" s="217"/>
      <c r="B9" s="4" t="s">
        <v>94</v>
      </c>
      <c r="C9" s="218" t="s">
        <v>221</v>
      </c>
      <c r="D9" s="274">
        <v>6785</v>
      </c>
    </row>
    <row r="10" spans="1:4" ht="15.75" customHeight="1">
      <c r="A10" s="219"/>
      <c r="B10" s="4" t="s">
        <v>94</v>
      </c>
      <c r="C10" s="218" t="s">
        <v>228</v>
      </c>
      <c r="D10" s="274">
        <v>-255000</v>
      </c>
    </row>
    <row r="11" spans="1:4" ht="15.75" customHeight="1">
      <c r="A11" s="219"/>
      <c r="B11" s="4" t="s">
        <v>94</v>
      </c>
      <c r="C11" s="218" t="s">
        <v>229</v>
      </c>
      <c r="D11" s="274">
        <v>-837812.98</v>
      </c>
    </row>
    <row r="12" spans="1:4" ht="15.75" customHeight="1">
      <c r="A12" s="219">
        <v>24</v>
      </c>
      <c r="B12" s="4" t="s">
        <v>94</v>
      </c>
      <c r="C12" s="218" t="s">
        <v>95</v>
      </c>
      <c r="D12" s="274">
        <v>9556511.1799999997</v>
      </c>
    </row>
    <row r="13" spans="1:4" ht="15.75" customHeight="1">
      <c r="A13" s="217" t="s">
        <v>263</v>
      </c>
      <c r="B13" s="4" t="s">
        <v>94</v>
      </c>
      <c r="C13" s="218" t="s">
        <v>96</v>
      </c>
      <c r="D13" s="274">
        <v>31293.52</v>
      </c>
    </row>
    <row r="14" spans="1:4" ht="15.75" customHeight="1">
      <c r="A14" s="217">
        <v>36</v>
      </c>
      <c r="B14" s="4" t="s">
        <v>94</v>
      </c>
      <c r="C14" s="218" t="s">
        <v>97</v>
      </c>
      <c r="D14" s="274">
        <v>10781084.630000001</v>
      </c>
    </row>
    <row r="15" spans="1:4" ht="15.75" customHeight="1">
      <c r="A15" s="217">
        <v>48</v>
      </c>
      <c r="B15" s="4" t="s">
        <v>94</v>
      </c>
      <c r="C15" s="218" t="s">
        <v>98</v>
      </c>
      <c r="D15" s="274">
        <v>1992589.38</v>
      </c>
    </row>
    <row r="16" spans="1:4" ht="15.75" customHeight="1">
      <c r="A16" s="217"/>
      <c r="B16" s="4" t="s">
        <v>94</v>
      </c>
      <c r="C16" s="218" t="s">
        <v>99</v>
      </c>
      <c r="D16" s="274">
        <v>41679.97</v>
      </c>
    </row>
    <row r="17" spans="1:4" ht="15.75" customHeight="1">
      <c r="A17" s="217"/>
      <c r="B17" s="4" t="s">
        <v>94</v>
      </c>
      <c r="C17" s="218" t="s">
        <v>101</v>
      </c>
      <c r="D17" s="274">
        <v>193.11</v>
      </c>
    </row>
    <row r="18" spans="1:4" ht="15.75" customHeight="1">
      <c r="A18" s="217"/>
      <c r="B18" s="4" t="s">
        <v>94</v>
      </c>
      <c r="C18" s="218" t="s">
        <v>102</v>
      </c>
      <c r="D18" s="274">
        <v>105391.16</v>
      </c>
    </row>
    <row r="19" spans="1:4" ht="15.75" customHeight="1">
      <c r="A19" s="217"/>
      <c r="B19" s="4" t="s">
        <v>94</v>
      </c>
      <c r="C19" s="218" t="s">
        <v>104</v>
      </c>
      <c r="D19" s="274">
        <v>167.19</v>
      </c>
    </row>
    <row r="20" spans="1:4" ht="15.75" customHeight="1">
      <c r="A20" s="217">
        <v>15</v>
      </c>
      <c r="B20" s="4" t="s">
        <v>94</v>
      </c>
      <c r="C20" s="218" t="s">
        <v>105</v>
      </c>
      <c r="D20" s="274">
        <v>53629.83</v>
      </c>
    </row>
    <row r="21" spans="1:4" ht="15.75" customHeight="1">
      <c r="A21" s="217">
        <v>54</v>
      </c>
      <c r="B21" s="4" t="s">
        <v>94</v>
      </c>
      <c r="C21" s="218" t="s">
        <v>106</v>
      </c>
      <c r="D21" s="274">
        <v>3888.91</v>
      </c>
    </row>
    <row r="22" spans="1:4" ht="15.75" customHeight="1">
      <c r="A22" s="217"/>
      <c r="B22" s="4" t="s">
        <v>94</v>
      </c>
      <c r="C22" s="218" t="s">
        <v>243</v>
      </c>
      <c r="D22" s="274">
        <v>-0.28999999999999998</v>
      </c>
    </row>
    <row r="23" spans="1:4" ht="15.75" customHeight="1">
      <c r="A23" s="217"/>
      <c r="B23" s="4" t="s">
        <v>94</v>
      </c>
      <c r="C23" s="218" t="s">
        <v>108</v>
      </c>
      <c r="D23" s="274">
        <v>0.74</v>
      </c>
    </row>
    <row r="24" spans="1:4" ht="15.75" customHeight="1">
      <c r="A24" s="217"/>
      <c r="B24" s="4" t="s">
        <v>94</v>
      </c>
      <c r="C24" s="218" t="s">
        <v>107</v>
      </c>
      <c r="D24" s="274">
        <v>-7.0000000000000007E-2</v>
      </c>
    </row>
    <row r="25" spans="1:4" ht="15.75" customHeight="1">
      <c r="A25" s="217"/>
      <c r="B25" s="4" t="s">
        <v>94</v>
      </c>
      <c r="C25" s="218" t="s">
        <v>170</v>
      </c>
      <c r="D25" s="274">
        <v>2332.52</v>
      </c>
    </row>
    <row r="26" spans="1:4" ht="15.75" customHeight="1">
      <c r="A26" s="217">
        <v>24</v>
      </c>
      <c r="B26" s="4" t="s">
        <v>94</v>
      </c>
      <c r="C26" s="218" t="s">
        <v>185</v>
      </c>
      <c r="D26" s="274">
        <v>2569.66</v>
      </c>
    </row>
    <row r="27" spans="1:4" ht="15.75" customHeight="1">
      <c r="A27" s="217">
        <v>24</v>
      </c>
      <c r="B27" s="4" t="s">
        <v>94</v>
      </c>
      <c r="C27" s="218" t="s">
        <v>189</v>
      </c>
      <c r="D27" s="274">
        <v>893375.05</v>
      </c>
    </row>
    <row r="28" spans="1:4" ht="15.75" customHeight="1">
      <c r="A28" s="217"/>
      <c r="B28" s="4" t="s">
        <v>94</v>
      </c>
      <c r="C28" s="218" t="s">
        <v>195</v>
      </c>
      <c r="D28" s="274">
        <v>-48178.239999999998</v>
      </c>
    </row>
    <row r="29" spans="1:4" ht="15.75" customHeight="1">
      <c r="A29" s="217" t="s">
        <v>264</v>
      </c>
      <c r="B29" s="4" t="s">
        <v>94</v>
      </c>
      <c r="C29" s="218" t="s">
        <v>190</v>
      </c>
      <c r="D29" s="274">
        <v>6449.25</v>
      </c>
    </row>
    <row r="30" spans="1:4" ht="15.75" customHeight="1">
      <c r="A30" s="219"/>
      <c r="B30" s="4" t="s">
        <v>94</v>
      </c>
      <c r="C30" s="218" t="s">
        <v>196</v>
      </c>
      <c r="D30" s="274">
        <v>-80.290000000000006</v>
      </c>
    </row>
    <row r="31" spans="1:4" ht="15.75" customHeight="1">
      <c r="A31" s="217">
        <v>36</v>
      </c>
      <c r="B31" s="4" t="s">
        <v>94</v>
      </c>
      <c r="C31" s="218" t="s">
        <v>199</v>
      </c>
      <c r="D31" s="274">
        <v>1245439.46</v>
      </c>
    </row>
    <row r="32" spans="1:4" ht="15.75" customHeight="1">
      <c r="A32" s="217"/>
      <c r="B32" s="4" t="s">
        <v>94</v>
      </c>
      <c r="C32" s="218" t="s">
        <v>192</v>
      </c>
      <c r="D32" s="274">
        <v>-87417.19</v>
      </c>
    </row>
    <row r="33" spans="1:4" ht="15.75" customHeight="1">
      <c r="A33" s="217">
        <v>15</v>
      </c>
      <c r="B33" s="4" t="s">
        <v>94</v>
      </c>
      <c r="C33" s="218" t="s">
        <v>197</v>
      </c>
      <c r="D33" s="274">
        <v>21088.32</v>
      </c>
    </row>
    <row r="34" spans="1:4" ht="15.75" customHeight="1">
      <c r="A34" s="217"/>
      <c r="B34" s="4" t="s">
        <v>94</v>
      </c>
      <c r="C34" s="218" t="s">
        <v>193</v>
      </c>
      <c r="D34" s="274">
        <v>-665.76</v>
      </c>
    </row>
    <row r="35" spans="1:4" ht="15.75" customHeight="1">
      <c r="A35" s="217" t="s">
        <v>263</v>
      </c>
      <c r="B35" s="4" t="s">
        <v>94</v>
      </c>
      <c r="C35" s="218" t="s">
        <v>198</v>
      </c>
      <c r="D35" s="274">
        <v>5361.47</v>
      </c>
    </row>
    <row r="36" spans="1:4" ht="15.75" customHeight="1">
      <c r="A36" s="217"/>
      <c r="B36" s="4" t="s">
        <v>94</v>
      </c>
      <c r="C36" s="218" t="s">
        <v>188</v>
      </c>
      <c r="D36" s="274">
        <v>-0.96</v>
      </c>
    </row>
    <row r="37" spans="1:4" ht="15.75" customHeight="1">
      <c r="A37" s="217"/>
      <c r="B37" s="4" t="s">
        <v>94</v>
      </c>
      <c r="C37" s="218" t="s">
        <v>211</v>
      </c>
      <c r="D37" s="274">
        <v>9008.69</v>
      </c>
    </row>
    <row r="38" spans="1:4" ht="15.75" customHeight="1">
      <c r="A38" s="217"/>
      <c r="B38" s="4" t="s">
        <v>94</v>
      </c>
      <c r="C38" s="218" t="s">
        <v>212</v>
      </c>
      <c r="D38" s="274">
        <v>726.47</v>
      </c>
    </row>
    <row r="39" spans="1:4" ht="15.75" customHeight="1">
      <c r="A39" s="217">
        <v>36</v>
      </c>
      <c r="B39" s="4" t="s">
        <v>94</v>
      </c>
      <c r="C39" s="218" t="s">
        <v>230</v>
      </c>
      <c r="D39" s="274">
        <v>3318.18</v>
      </c>
    </row>
    <row r="40" spans="1:4" ht="15.75" customHeight="1">
      <c r="A40" s="217"/>
      <c r="B40" s="4" t="s">
        <v>94</v>
      </c>
      <c r="C40" s="218" t="s">
        <v>111</v>
      </c>
      <c r="D40" s="274"/>
    </row>
    <row r="41" spans="1:4" ht="15.75" customHeight="1">
      <c r="A41" s="217"/>
      <c r="B41" s="4" t="s">
        <v>94</v>
      </c>
      <c r="C41" s="218" t="s">
        <v>110</v>
      </c>
      <c r="D41" s="274"/>
    </row>
    <row r="42" spans="1:4" ht="15.75" customHeight="1">
      <c r="A42" s="217"/>
      <c r="B42" s="4" t="s">
        <v>114</v>
      </c>
      <c r="C42" s="218" t="s">
        <v>112</v>
      </c>
      <c r="D42" s="274">
        <v>-345000</v>
      </c>
    </row>
    <row r="43" spans="1:4" ht="15.75" customHeight="1">
      <c r="A43" s="217"/>
      <c r="B43" s="4" t="s">
        <v>114</v>
      </c>
      <c r="C43" s="218" t="s">
        <v>109</v>
      </c>
      <c r="D43" s="274">
        <v>-552.03</v>
      </c>
    </row>
    <row r="44" spans="1:4" ht="15.75" customHeight="1">
      <c r="A44" s="217"/>
      <c r="B44" s="4" t="s">
        <v>114</v>
      </c>
      <c r="C44" s="218" t="s">
        <v>221</v>
      </c>
      <c r="D44" s="274">
        <v>3881.96</v>
      </c>
    </row>
    <row r="45" spans="1:4" ht="15.75" customHeight="1">
      <c r="A45" s="217"/>
      <c r="B45" s="4" t="s">
        <v>114</v>
      </c>
      <c r="C45" s="218" t="s">
        <v>228</v>
      </c>
      <c r="D45" s="274">
        <v>-127500</v>
      </c>
    </row>
    <row r="46" spans="1:4" ht="15.75" customHeight="1">
      <c r="A46" s="217"/>
      <c r="B46" s="4" t="s">
        <v>114</v>
      </c>
      <c r="C46" s="218" t="s">
        <v>229</v>
      </c>
      <c r="D46" s="274">
        <v>-351519.04</v>
      </c>
    </row>
    <row r="47" spans="1:4" ht="15.75" customHeight="1">
      <c r="A47" s="220">
        <v>24</v>
      </c>
      <c r="B47" s="4" t="s">
        <v>114</v>
      </c>
      <c r="C47" s="272" t="s">
        <v>95</v>
      </c>
      <c r="D47" s="274">
        <v>330203.14</v>
      </c>
    </row>
    <row r="48" spans="1:4" ht="15.75" customHeight="1">
      <c r="A48" s="220" t="s">
        <v>263</v>
      </c>
      <c r="B48" s="4" t="s">
        <v>114</v>
      </c>
      <c r="C48" s="271" t="s">
        <v>96</v>
      </c>
      <c r="D48" s="274">
        <v>1722.03</v>
      </c>
    </row>
    <row r="49" spans="1:4" ht="15.75" customHeight="1">
      <c r="A49" s="220">
        <v>36</v>
      </c>
      <c r="B49" s="4" t="s">
        <v>114</v>
      </c>
      <c r="C49" s="271" t="s">
        <v>97</v>
      </c>
      <c r="D49" s="274">
        <v>1858554.63</v>
      </c>
    </row>
    <row r="50" spans="1:4" ht="15.75" customHeight="1">
      <c r="A50" s="220">
        <v>48</v>
      </c>
      <c r="B50" s="4" t="s">
        <v>114</v>
      </c>
      <c r="C50" s="218" t="s">
        <v>98</v>
      </c>
      <c r="D50" s="274">
        <v>8361258.9199999999</v>
      </c>
    </row>
    <row r="51" spans="1:4" ht="15.75" customHeight="1">
      <c r="A51" s="220">
        <v>15</v>
      </c>
      <c r="B51" s="4" t="s">
        <v>114</v>
      </c>
      <c r="C51" s="218" t="s">
        <v>105</v>
      </c>
      <c r="D51" s="274">
        <v>3729.48</v>
      </c>
    </row>
    <row r="52" spans="1:4" ht="15.75" customHeight="1">
      <c r="A52" s="220">
        <v>47</v>
      </c>
      <c r="B52" s="4" t="s">
        <v>114</v>
      </c>
      <c r="C52" s="218" t="s">
        <v>116</v>
      </c>
      <c r="D52" s="274">
        <v>59268.59</v>
      </c>
    </row>
    <row r="53" spans="1:4" ht="15.75" customHeight="1">
      <c r="A53" s="220">
        <v>24</v>
      </c>
      <c r="B53" s="4" t="s">
        <v>114</v>
      </c>
      <c r="C53" s="218" t="s">
        <v>189</v>
      </c>
      <c r="D53" s="274">
        <v>39292.94</v>
      </c>
    </row>
    <row r="54" spans="1:4" ht="15.75" customHeight="1">
      <c r="B54" s="4" t="s">
        <v>114</v>
      </c>
      <c r="C54" s="218" t="s">
        <v>195</v>
      </c>
      <c r="D54" s="274">
        <v>-2108.69</v>
      </c>
    </row>
    <row r="55" spans="1:4" ht="15.75" customHeight="1">
      <c r="A55" s="220" t="s">
        <v>264</v>
      </c>
      <c r="B55" s="4" t="s">
        <v>114</v>
      </c>
      <c r="C55" s="218" t="s">
        <v>190</v>
      </c>
      <c r="D55" s="274">
        <v>93.53</v>
      </c>
    </row>
    <row r="56" spans="1:4" ht="15.75" customHeight="1">
      <c r="B56" s="4" t="s">
        <v>114</v>
      </c>
      <c r="C56" s="218" t="s">
        <v>196</v>
      </c>
      <c r="D56" s="274">
        <v>-0.06</v>
      </c>
    </row>
    <row r="57" spans="1:4" ht="15.75" customHeight="1">
      <c r="A57" s="220">
        <v>36</v>
      </c>
      <c r="B57" s="4" t="s">
        <v>114</v>
      </c>
      <c r="C57" s="218" t="s">
        <v>199</v>
      </c>
      <c r="D57" s="274">
        <v>69860.06</v>
      </c>
    </row>
    <row r="58" spans="1:4" ht="15.75" customHeight="1">
      <c r="B58" s="4" t="s">
        <v>114</v>
      </c>
      <c r="C58" s="218" t="s">
        <v>192</v>
      </c>
      <c r="D58" s="274">
        <v>-2192.36</v>
      </c>
    </row>
    <row r="59" spans="1:4" ht="15.75" customHeight="1">
      <c r="A59" s="220">
        <v>15</v>
      </c>
      <c r="B59" s="4" t="s">
        <v>114</v>
      </c>
      <c r="C59" s="218" t="s">
        <v>197</v>
      </c>
      <c r="D59" s="274">
        <v>1044.33</v>
      </c>
    </row>
    <row r="60" spans="1:4" ht="15.75" customHeight="1">
      <c r="B60" s="4" t="s">
        <v>114</v>
      </c>
      <c r="C60" s="218" t="s">
        <v>193</v>
      </c>
      <c r="D60" s="274">
        <v>-32.700000000000003</v>
      </c>
    </row>
    <row r="61" spans="1:4" ht="15.75" customHeight="1">
      <c r="B61" s="4" t="s">
        <v>114</v>
      </c>
      <c r="C61" s="218" t="s">
        <v>111</v>
      </c>
      <c r="D61" s="274"/>
    </row>
    <row r="62" spans="1:4" ht="15.75" customHeight="1">
      <c r="B62" s="4" t="s">
        <v>114</v>
      </c>
      <c r="C62" s="218" t="s">
        <v>110</v>
      </c>
      <c r="D62" s="274"/>
    </row>
    <row r="63" spans="1:4" ht="15.75" customHeight="1">
      <c r="B63" s="4" t="s">
        <v>117</v>
      </c>
      <c r="C63" s="218" t="s">
        <v>123</v>
      </c>
      <c r="D63" s="274">
        <v>121000</v>
      </c>
    </row>
    <row r="64" spans="1:4" ht="15.75" customHeight="1">
      <c r="B64" s="4" t="s">
        <v>117</v>
      </c>
      <c r="C64" s="218" t="s">
        <v>122</v>
      </c>
      <c r="D64" s="274">
        <v>-1420.25</v>
      </c>
    </row>
    <row r="65" spans="1:4" ht="15.75" customHeight="1">
      <c r="B65" s="4" t="s">
        <v>117</v>
      </c>
      <c r="C65" s="218" t="s">
        <v>228</v>
      </c>
      <c r="D65" s="274">
        <v>-30000</v>
      </c>
    </row>
    <row r="66" spans="1:4" ht="15.75" customHeight="1">
      <c r="B66" s="4" t="s">
        <v>117</v>
      </c>
      <c r="C66" s="218" t="s">
        <v>231</v>
      </c>
      <c r="D66" s="274">
        <v>27800</v>
      </c>
    </row>
    <row r="67" spans="1:4" ht="15.75" customHeight="1">
      <c r="B67" s="4" t="s">
        <v>117</v>
      </c>
      <c r="C67" s="218" t="s">
        <v>229</v>
      </c>
      <c r="D67" s="274">
        <v>-10164.92</v>
      </c>
    </row>
    <row r="68" spans="1:4" ht="15.75" customHeight="1">
      <c r="A68" s="220">
        <v>40</v>
      </c>
      <c r="B68" s="4" t="s">
        <v>117</v>
      </c>
      <c r="C68" s="218" t="s">
        <v>118</v>
      </c>
      <c r="D68" s="274">
        <v>165693.29999999999</v>
      </c>
    </row>
    <row r="69" spans="1:4" ht="15.75" customHeight="1">
      <c r="B69" s="4" t="s">
        <v>117</v>
      </c>
      <c r="C69" s="218" t="s">
        <v>118</v>
      </c>
      <c r="D69" s="274">
        <v>-12061.42</v>
      </c>
    </row>
    <row r="70" spans="1:4" ht="15.75" customHeight="1">
      <c r="A70" s="220" t="s">
        <v>265</v>
      </c>
      <c r="B70" s="4" t="s">
        <v>117</v>
      </c>
      <c r="C70" s="218" t="s">
        <v>119</v>
      </c>
      <c r="D70" s="274">
        <v>53970.46</v>
      </c>
    </row>
    <row r="71" spans="1:4" ht="15.75" customHeight="1">
      <c r="B71" s="4" t="s">
        <v>117</v>
      </c>
      <c r="C71" s="218" t="s">
        <v>100</v>
      </c>
      <c r="D71" s="274">
        <v>400.56</v>
      </c>
    </row>
    <row r="72" spans="1:4" ht="15.75" customHeight="1">
      <c r="B72" s="4" t="s">
        <v>117</v>
      </c>
      <c r="C72" s="273" t="s">
        <v>101</v>
      </c>
      <c r="D72" s="274">
        <v>15</v>
      </c>
    </row>
    <row r="73" spans="1:4" ht="15.75" customHeight="1">
      <c r="B73" s="4" t="s">
        <v>117</v>
      </c>
      <c r="C73" s="271" t="s">
        <v>103</v>
      </c>
      <c r="D73" s="274">
        <v>60689.69</v>
      </c>
    </row>
    <row r="74" spans="1:4" ht="15.75" customHeight="1">
      <c r="B74" s="4" t="s">
        <v>117</v>
      </c>
      <c r="C74" s="271" t="s">
        <v>211</v>
      </c>
      <c r="D74" s="274">
        <v>18.559999999999999</v>
      </c>
    </row>
    <row r="75" spans="1:4" ht="15.75" customHeight="1">
      <c r="B75" s="4" t="s">
        <v>117</v>
      </c>
      <c r="C75" s="218" t="s">
        <v>213</v>
      </c>
      <c r="D75" s="274">
        <v>6543.31</v>
      </c>
    </row>
    <row r="76" spans="1:4" ht="15.75" customHeight="1">
      <c r="B76" s="4" t="s">
        <v>117</v>
      </c>
      <c r="C76" s="218" t="s">
        <v>120</v>
      </c>
      <c r="D76" s="274"/>
    </row>
    <row r="77" spans="1:4" ht="15.75" customHeight="1">
      <c r="B77" s="4" t="s">
        <v>117</v>
      </c>
      <c r="C77" s="218" t="s">
        <v>121</v>
      </c>
      <c r="D77" s="274"/>
    </row>
    <row r="78" spans="1:4" ht="15.75" customHeight="1">
      <c r="B78" s="4" t="s">
        <v>124</v>
      </c>
      <c r="C78" s="218" t="s">
        <v>112</v>
      </c>
      <c r="D78" s="274">
        <v>-10000</v>
      </c>
    </row>
    <row r="79" spans="1:4" ht="15.75" customHeight="1">
      <c r="B79" s="4" t="s">
        <v>124</v>
      </c>
      <c r="C79" s="218" t="s">
        <v>228</v>
      </c>
      <c r="D79" s="274">
        <v>-7500</v>
      </c>
    </row>
    <row r="80" spans="1:4" ht="15.75" customHeight="1">
      <c r="B80" s="4" t="s">
        <v>124</v>
      </c>
      <c r="C80" s="218" t="s">
        <v>229</v>
      </c>
      <c r="D80" s="274">
        <v>-5849.66</v>
      </c>
    </row>
    <row r="81" spans="1:4" ht="15.75" customHeight="1">
      <c r="B81" s="4" t="s">
        <v>124</v>
      </c>
      <c r="C81" s="218" t="s">
        <v>125</v>
      </c>
      <c r="D81" s="274">
        <v>22.71</v>
      </c>
    </row>
    <row r="82" spans="1:4" ht="15.75" customHeight="1">
      <c r="A82" s="220">
        <v>52</v>
      </c>
      <c r="B82" s="4" t="s">
        <v>124</v>
      </c>
      <c r="C82" s="218" t="s">
        <v>126</v>
      </c>
      <c r="D82" s="274">
        <v>12762.34</v>
      </c>
    </row>
    <row r="83" spans="1:4" ht="15.75" customHeight="1">
      <c r="A83" s="220" t="s">
        <v>266</v>
      </c>
      <c r="B83" s="4" t="s">
        <v>124</v>
      </c>
      <c r="C83" s="218" t="s">
        <v>127</v>
      </c>
      <c r="D83" s="274">
        <v>61605.78</v>
      </c>
    </row>
    <row r="84" spans="1:4" ht="15.75" customHeight="1">
      <c r="A84" s="220">
        <v>53</v>
      </c>
      <c r="B84" s="4" t="s">
        <v>124</v>
      </c>
      <c r="C84" s="218" t="s">
        <v>128</v>
      </c>
      <c r="D84" s="274">
        <v>23807.29</v>
      </c>
    </row>
    <row r="85" spans="1:4" ht="15.75" customHeight="1">
      <c r="A85" s="220">
        <v>51</v>
      </c>
      <c r="B85" s="4" t="s">
        <v>124</v>
      </c>
      <c r="C85" s="218" t="s">
        <v>129</v>
      </c>
      <c r="D85" s="274">
        <v>169857.83</v>
      </c>
    </row>
    <row r="86" spans="1:4" ht="15.75" customHeight="1">
      <c r="A86" s="220">
        <v>57</v>
      </c>
      <c r="B86" s="4" t="s">
        <v>124</v>
      </c>
      <c r="C86" s="218" t="s">
        <v>130</v>
      </c>
      <c r="D86" s="274">
        <v>58169.25</v>
      </c>
    </row>
    <row r="87" spans="1:4" ht="15.75" customHeight="1">
      <c r="B87" s="4" t="s">
        <v>124</v>
      </c>
      <c r="C87" s="218" t="s">
        <v>111</v>
      </c>
      <c r="D87" s="274"/>
    </row>
    <row r="88" spans="1:4" ht="15.75" customHeight="1">
      <c r="B88" s="4" t="s">
        <v>131</v>
      </c>
      <c r="C88" s="218" t="s">
        <v>112</v>
      </c>
      <c r="D88" s="274">
        <v>-3233000</v>
      </c>
    </row>
    <row r="89" spans="1:4" ht="15.75" customHeight="1">
      <c r="B89" s="4" t="s">
        <v>131</v>
      </c>
      <c r="C89" s="218" t="s">
        <v>109</v>
      </c>
      <c r="D89" s="274">
        <v>-304909.57</v>
      </c>
    </row>
    <row r="90" spans="1:4" ht="15.75" customHeight="1">
      <c r="B90" s="4" t="s">
        <v>131</v>
      </c>
      <c r="C90" s="218" t="s">
        <v>221</v>
      </c>
      <c r="D90" s="274">
        <v>7853.97</v>
      </c>
    </row>
    <row r="91" spans="1:4" ht="15.75" customHeight="1">
      <c r="B91" s="4" t="s">
        <v>131</v>
      </c>
      <c r="C91" s="218" t="s">
        <v>228</v>
      </c>
      <c r="D91" s="274">
        <v>-330000</v>
      </c>
    </row>
    <row r="92" spans="1:4" ht="15.75" customHeight="1">
      <c r="B92" s="4" t="s">
        <v>131</v>
      </c>
      <c r="C92" s="218" t="s">
        <v>229</v>
      </c>
      <c r="D92" s="274">
        <v>-1437200.4</v>
      </c>
    </row>
    <row r="93" spans="1:4" ht="15.75" customHeight="1">
      <c r="A93" s="220">
        <v>16</v>
      </c>
      <c r="B93" s="4" t="s">
        <v>131</v>
      </c>
      <c r="C93" s="218" t="s">
        <v>132</v>
      </c>
      <c r="D93" s="274">
        <v>40802155.359999999</v>
      </c>
    </row>
    <row r="94" spans="1:4" ht="15.75" customHeight="1">
      <c r="B94" s="4" t="s">
        <v>131</v>
      </c>
      <c r="C94" s="273" t="s">
        <v>132</v>
      </c>
      <c r="D94" s="274">
        <v>-2303594.88</v>
      </c>
    </row>
    <row r="95" spans="1:4" ht="15.75" customHeight="1">
      <c r="A95" s="220">
        <v>18</v>
      </c>
      <c r="B95" s="4" t="s">
        <v>131</v>
      </c>
      <c r="C95" s="271" t="s">
        <v>135</v>
      </c>
      <c r="D95" s="274">
        <v>58033.55</v>
      </c>
    </row>
    <row r="96" spans="1:4" ht="15.75" customHeight="1">
      <c r="B96" s="4" t="s">
        <v>131</v>
      </c>
      <c r="C96" s="218" t="s">
        <v>135</v>
      </c>
      <c r="D96" s="274">
        <v>-3051.37</v>
      </c>
    </row>
    <row r="97" spans="1:4" ht="15.75" customHeight="1">
      <c r="A97" s="220" t="s">
        <v>267</v>
      </c>
      <c r="B97" s="4" t="s">
        <v>131</v>
      </c>
      <c r="C97" s="218" t="s">
        <v>136</v>
      </c>
      <c r="D97" s="274">
        <v>9599.5499999999993</v>
      </c>
    </row>
    <row r="98" spans="1:4" ht="15.75" customHeight="1">
      <c r="B98" s="4" t="s">
        <v>131</v>
      </c>
      <c r="C98" s="218" t="s">
        <v>136</v>
      </c>
      <c r="D98" s="274">
        <v>-514.1</v>
      </c>
    </row>
    <row r="99" spans="1:4" ht="15.75" customHeight="1">
      <c r="B99" s="4" t="s">
        <v>131</v>
      </c>
      <c r="C99" s="218" t="s">
        <v>244</v>
      </c>
      <c r="D99" s="274">
        <v>22.83</v>
      </c>
    </row>
    <row r="100" spans="1:4" ht="15.75" customHeight="1">
      <c r="B100" s="4" t="s">
        <v>131</v>
      </c>
      <c r="C100" s="218" t="s">
        <v>108</v>
      </c>
      <c r="D100" s="274">
        <v>-0.25</v>
      </c>
    </row>
    <row r="101" spans="1:4" ht="15.75" customHeight="1">
      <c r="A101" s="220">
        <v>17</v>
      </c>
      <c r="B101" s="4" t="s">
        <v>131</v>
      </c>
      <c r="C101" s="218" t="s">
        <v>133</v>
      </c>
      <c r="D101" s="274">
        <v>1872983</v>
      </c>
    </row>
    <row r="102" spans="1:4" ht="15.75" customHeight="1">
      <c r="B102" s="4" t="s">
        <v>131</v>
      </c>
      <c r="C102" s="218" t="s">
        <v>134</v>
      </c>
      <c r="D102" s="274">
        <v>-105236.3</v>
      </c>
    </row>
    <row r="103" spans="1:4" ht="15.75" customHeight="1">
      <c r="B103" s="4" t="s">
        <v>131</v>
      </c>
      <c r="C103" s="218" t="s">
        <v>107</v>
      </c>
      <c r="D103" s="274">
        <v>-0.01</v>
      </c>
    </row>
    <row r="104" spans="1:4" ht="15.75" customHeight="1">
      <c r="B104" s="4" t="s">
        <v>131</v>
      </c>
      <c r="C104" s="271" t="s">
        <v>187</v>
      </c>
      <c r="D104" s="274">
        <v>25000</v>
      </c>
    </row>
    <row r="105" spans="1:4" ht="15.75" customHeight="1">
      <c r="A105" s="220">
        <v>15</v>
      </c>
      <c r="B105" s="4" t="s">
        <v>131</v>
      </c>
      <c r="C105" s="271" t="s">
        <v>200</v>
      </c>
      <c r="D105" s="274">
        <v>38893.1</v>
      </c>
    </row>
    <row r="106" spans="1:4" ht="15.75" customHeight="1">
      <c r="B106" s="4" t="s">
        <v>131</v>
      </c>
      <c r="C106" s="271" t="s">
        <v>201</v>
      </c>
      <c r="D106" s="274">
        <v>-1219.1099999999999</v>
      </c>
    </row>
    <row r="107" spans="1:4" ht="15.75" customHeight="1">
      <c r="A107" s="220">
        <v>135</v>
      </c>
      <c r="B107" s="4" t="s">
        <v>131</v>
      </c>
      <c r="C107" s="271" t="s">
        <v>217</v>
      </c>
      <c r="D107" s="274">
        <v>10973.88</v>
      </c>
    </row>
    <row r="108" spans="1:4" ht="15.75" customHeight="1">
      <c r="B108" s="4" t="s">
        <v>131</v>
      </c>
      <c r="C108" s="271" t="s">
        <v>222</v>
      </c>
      <c r="D108" s="274">
        <v>-597.55999999999995</v>
      </c>
    </row>
    <row r="109" spans="1:4" ht="15.75" customHeight="1">
      <c r="B109" s="4" t="s">
        <v>131</v>
      </c>
      <c r="C109" s="271" t="s">
        <v>111</v>
      </c>
      <c r="D109" s="274"/>
    </row>
    <row r="110" spans="1:4" ht="15.75" customHeight="1">
      <c r="B110" s="4" t="s">
        <v>131</v>
      </c>
      <c r="C110" s="271" t="s">
        <v>110</v>
      </c>
      <c r="D110" s="274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2:T56"/>
  <sheetViews>
    <sheetView zoomScale="70" zoomScaleNormal="70" workbookViewId="0">
      <pane xSplit="2" ySplit="1" topLeftCell="C5" activePane="bottomRight" state="frozen"/>
      <selection pane="topRight"/>
      <selection pane="bottomLeft"/>
      <selection pane="bottomRight" activeCell="B37" sqref="B37"/>
    </sheetView>
  </sheetViews>
  <sheetFormatPr defaultColWidth="11" defaultRowHeight="15"/>
  <cols>
    <col min="1" max="1" width="32.09765625" style="380" bestFit="1" customWidth="1"/>
    <col min="2" max="2" width="11" style="381"/>
    <col min="3" max="3" width="16.69921875" style="378" customWidth="1"/>
    <col min="4" max="4" width="15.09765625" style="378" bestFit="1" customWidth="1"/>
    <col min="5" max="5" width="16.19921875" style="378" bestFit="1" customWidth="1"/>
    <col min="6" max="6" width="15.09765625" style="378" bestFit="1" customWidth="1"/>
    <col min="7" max="7" width="16.19921875" style="378" bestFit="1" customWidth="1"/>
    <col min="8" max="8" width="15.09765625" style="378" bestFit="1" customWidth="1"/>
    <col min="9" max="9" width="18.69921875" style="378" bestFit="1" customWidth="1"/>
    <col min="10" max="10" width="15.09765625" style="378" bestFit="1" customWidth="1"/>
    <col min="11" max="11" width="16.19921875" style="378" bestFit="1" customWidth="1"/>
    <col min="12" max="12" width="15.09765625" style="378" bestFit="1" customWidth="1"/>
    <col min="13" max="13" width="16.19921875" style="378" bestFit="1" customWidth="1"/>
    <col min="14" max="14" width="15.09765625" style="378" bestFit="1" customWidth="1"/>
    <col min="15" max="15" width="16.19921875" style="378" bestFit="1" customWidth="1"/>
    <col min="16" max="17" width="14.19921875" style="378" customWidth="1"/>
    <col min="18" max="18" width="15.59765625" style="378" bestFit="1" customWidth="1"/>
    <col min="19" max="16384" width="11" style="378"/>
  </cols>
  <sheetData>
    <row r="2" spans="1:18" ht="17.399999999999999">
      <c r="C2" s="280"/>
      <c r="D2" s="280"/>
      <c r="E2" s="280"/>
      <c r="F2" s="280"/>
      <c r="G2" s="280"/>
      <c r="H2" s="280"/>
      <c r="I2" s="280"/>
    </row>
    <row r="3" spans="1:18" ht="17.399999999999999">
      <c r="C3" s="281"/>
      <c r="D3" s="281"/>
      <c r="E3" s="281"/>
      <c r="F3" s="281"/>
      <c r="G3" s="281"/>
      <c r="H3" s="281"/>
      <c r="I3" s="281"/>
    </row>
    <row r="4" spans="1:18" ht="17.399999999999999">
      <c r="C4" s="281"/>
      <c r="D4" s="281"/>
      <c r="E4" s="281"/>
      <c r="F4" s="281"/>
      <c r="G4" s="281"/>
      <c r="H4" s="281"/>
      <c r="I4" s="281"/>
    </row>
    <row r="5" spans="1:18" ht="17.399999999999999">
      <c r="C5" s="280"/>
      <c r="D5" s="280"/>
      <c r="E5" s="280"/>
      <c r="F5" s="280"/>
      <c r="G5" s="280"/>
      <c r="H5" s="280"/>
      <c r="I5" s="280"/>
    </row>
    <row r="6" spans="1:18" ht="17.399999999999999">
      <c r="C6" s="280"/>
      <c r="D6" s="280"/>
      <c r="E6" s="280"/>
      <c r="F6" s="280"/>
      <c r="G6" s="280"/>
      <c r="H6" s="280"/>
      <c r="I6" s="280"/>
    </row>
    <row r="7" spans="1:18" ht="17.399999999999999">
      <c r="C7" s="280"/>
      <c r="D7" s="280"/>
      <c r="E7" s="280"/>
      <c r="F7" s="280"/>
      <c r="G7" s="280"/>
      <c r="H7" s="280"/>
      <c r="I7" s="280"/>
    </row>
    <row r="8" spans="1:18" ht="17.399999999999999">
      <c r="C8" s="310">
        <v>201707</v>
      </c>
      <c r="D8" s="310">
        <v>201708</v>
      </c>
      <c r="E8" s="310">
        <v>201708</v>
      </c>
      <c r="F8" s="310">
        <v>201709</v>
      </c>
      <c r="G8" s="310">
        <v>201709</v>
      </c>
      <c r="H8" s="310">
        <v>201710</v>
      </c>
      <c r="I8" s="310">
        <v>201710</v>
      </c>
      <c r="J8" s="310">
        <v>201711</v>
      </c>
      <c r="K8" s="310">
        <v>201712</v>
      </c>
      <c r="L8" s="310">
        <v>201801</v>
      </c>
      <c r="M8" s="310">
        <v>201802</v>
      </c>
      <c r="N8" s="310">
        <v>201803</v>
      </c>
      <c r="O8" s="310">
        <v>201804</v>
      </c>
      <c r="P8" s="310">
        <v>201805</v>
      </c>
      <c r="Q8" s="310">
        <v>201806</v>
      </c>
      <c r="R8" s="283"/>
    </row>
    <row r="9" spans="1:18" ht="17.399999999999999">
      <c r="C9" s="310"/>
      <c r="D9" s="310" t="s">
        <v>409</v>
      </c>
      <c r="E9" s="310" t="s">
        <v>410</v>
      </c>
      <c r="F9" s="310" t="s">
        <v>409</v>
      </c>
      <c r="G9" s="310" t="s">
        <v>410</v>
      </c>
      <c r="H9" s="310" t="s">
        <v>409</v>
      </c>
      <c r="I9" s="310" t="s">
        <v>410</v>
      </c>
      <c r="J9" s="310"/>
      <c r="K9" s="310"/>
      <c r="L9" s="310"/>
      <c r="M9" s="310"/>
      <c r="N9" s="310"/>
      <c r="O9" s="310"/>
      <c r="P9" s="310"/>
      <c r="Q9" s="310"/>
      <c r="R9" s="316" t="s">
        <v>8</v>
      </c>
    </row>
    <row r="10" spans="1:18" ht="17.399999999999999">
      <c r="C10" s="310" t="s">
        <v>68</v>
      </c>
      <c r="D10" s="310" t="s">
        <v>68</v>
      </c>
      <c r="E10" s="310" t="s">
        <v>68</v>
      </c>
      <c r="F10" s="310" t="s">
        <v>68</v>
      </c>
      <c r="G10" s="310" t="s">
        <v>68</v>
      </c>
      <c r="H10" s="310" t="s">
        <v>68</v>
      </c>
      <c r="I10" s="310" t="s">
        <v>68</v>
      </c>
      <c r="J10" s="310" t="s">
        <v>68</v>
      </c>
      <c r="K10" s="310" t="s">
        <v>68</v>
      </c>
      <c r="L10" s="310" t="s">
        <v>68</v>
      </c>
      <c r="M10" s="310" t="s">
        <v>68</v>
      </c>
      <c r="N10" s="310" t="s">
        <v>68</v>
      </c>
      <c r="O10" s="310" t="s">
        <v>68</v>
      </c>
      <c r="P10" s="310" t="s">
        <v>68</v>
      </c>
      <c r="Q10" s="310" t="s">
        <v>68</v>
      </c>
      <c r="R10" s="310" t="s">
        <v>68</v>
      </c>
    </row>
    <row r="11" spans="1:18" ht="17.399999999999999">
      <c r="A11" s="380" t="s">
        <v>299</v>
      </c>
      <c r="B11" s="381" t="s">
        <v>300</v>
      </c>
      <c r="C11" s="311" t="s">
        <v>298</v>
      </c>
      <c r="D11" s="311" t="s">
        <v>298</v>
      </c>
      <c r="E11" s="311" t="s">
        <v>298</v>
      </c>
      <c r="F11" s="311" t="s">
        <v>298</v>
      </c>
      <c r="G11" s="311" t="s">
        <v>298</v>
      </c>
      <c r="H11" s="311" t="s">
        <v>298</v>
      </c>
      <c r="I11" s="311" t="s">
        <v>298</v>
      </c>
      <c r="J11" s="311" t="s">
        <v>298</v>
      </c>
      <c r="K11" s="311" t="s">
        <v>298</v>
      </c>
      <c r="L11" s="311" t="s">
        <v>298</v>
      </c>
      <c r="M11" s="311" t="s">
        <v>298</v>
      </c>
      <c r="N11" s="311" t="s">
        <v>298</v>
      </c>
      <c r="O11" s="311" t="s">
        <v>298</v>
      </c>
      <c r="P11" s="311" t="s">
        <v>298</v>
      </c>
      <c r="Q11" s="311" t="s">
        <v>298</v>
      </c>
      <c r="R11" s="311" t="s">
        <v>298</v>
      </c>
    </row>
    <row r="12" spans="1:18" ht="17.399999999999999"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</row>
    <row r="13" spans="1:18" ht="17.399999999999999">
      <c r="A13" s="380" t="s">
        <v>131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</row>
    <row r="14" spans="1:18" ht="17.399999999999999">
      <c r="A14" s="157" t="s">
        <v>131</v>
      </c>
      <c r="B14" s="381" t="s">
        <v>148</v>
      </c>
      <c r="C14" s="390">
        <v>260.86748</v>
      </c>
      <c r="D14" s="390">
        <v>132.22053994215838</v>
      </c>
      <c r="E14" s="390">
        <v>137.38166625545</v>
      </c>
      <c r="F14" s="390">
        <v>-0.37179850267379622</v>
      </c>
      <c r="G14" s="390">
        <v>280.4450360464391</v>
      </c>
      <c r="H14" s="390">
        <v>0</v>
      </c>
      <c r="I14" s="390">
        <v>279.70383477096459</v>
      </c>
      <c r="J14" s="390">
        <v>280.33679999999998</v>
      </c>
      <c r="K14" s="390">
        <v>272.21080000000001</v>
      </c>
      <c r="L14" s="390">
        <v>254.95919999999998</v>
      </c>
      <c r="M14" s="390">
        <v>277.04219999999998</v>
      </c>
      <c r="N14" s="390">
        <v>269.31059999999997</v>
      </c>
      <c r="O14" s="390">
        <v>260.82079999999996</v>
      </c>
      <c r="P14" s="390">
        <v>282.1422</v>
      </c>
      <c r="Q14" s="390">
        <v>273.4348</v>
      </c>
      <c r="R14" s="312">
        <f>SUM(C14:Q14)</f>
        <v>3260.5041585123381</v>
      </c>
    </row>
    <row r="15" spans="1:18" ht="17.399999999999999">
      <c r="A15" s="157" t="s">
        <v>131</v>
      </c>
      <c r="B15" s="381">
        <v>16</v>
      </c>
      <c r="C15" s="390">
        <v>396932.47776000004</v>
      </c>
      <c r="D15" s="390">
        <v>247691.95109680947</v>
      </c>
      <c r="E15" s="390">
        <v>214547.4514761855</v>
      </c>
      <c r="F15" s="390">
        <v>247.41676270297378</v>
      </c>
      <c r="G15" s="390">
        <v>410301.69734861201</v>
      </c>
      <c r="H15" s="390">
        <v>150.16615907128599</v>
      </c>
      <c r="I15" s="390">
        <v>334294.78307740722</v>
      </c>
      <c r="J15" s="390">
        <v>449266.14305999997</v>
      </c>
      <c r="K15" s="390">
        <v>640797.02694000001</v>
      </c>
      <c r="L15" s="390">
        <v>713275.02665999997</v>
      </c>
      <c r="M15" s="390">
        <v>540029.24262000003</v>
      </c>
      <c r="N15" s="390">
        <v>533378.27214000002</v>
      </c>
      <c r="O15" s="390">
        <v>394148.22804000002</v>
      </c>
      <c r="P15" s="390">
        <v>339918.50718000002</v>
      </c>
      <c r="Q15" s="390">
        <v>342541.52856000001</v>
      </c>
      <c r="R15" s="312">
        <f t="shared" ref="R15:R19" si="0">SUM(C15:Q15)</f>
        <v>5557519.9188807886</v>
      </c>
    </row>
    <row r="16" spans="1:18" ht="17.399999999999999">
      <c r="A16" s="157" t="s">
        <v>131</v>
      </c>
      <c r="B16" s="381">
        <v>17</v>
      </c>
      <c r="C16" s="390">
        <v>17275.672440000002</v>
      </c>
      <c r="D16" s="390">
        <v>11538.002954664518</v>
      </c>
      <c r="E16" s="390">
        <v>8956.7960644212108</v>
      </c>
      <c r="F16" s="390">
        <v>1.5829640950483848</v>
      </c>
      <c r="G16" s="390">
        <v>18190.21338422917</v>
      </c>
      <c r="H16" s="390">
        <v>-2.7166078205750863</v>
      </c>
      <c r="I16" s="390">
        <v>16706.866095258963</v>
      </c>
      <c r="J16" s="390">
        <v>23783.347979999999</v>
      </c>
      <c r="K16" s="390">
        <v>33983.250840000001</v>
      </c>
      <c r="L16" s="390">
        <v>38525.85828</v>
      </c>
      <c r="M16" s="390">
        <v>30777.62184</v>
      </c>
      <c r="N16" s="390">
        <v>31271.5998</v>
      </c>
      <c r="O16" s="390">
        <v>20710.975320000001</v>
      </c>
      <c r="P16" s="390">
        <v>16370.35218</v>
      </c>
      <c r="Q16" s="390">
        <v>14011.235279999999</v>
      </c>
      <c r="R16" s="312">
        <f t="shared" si="0"/>
        <v>282100.65881484834</v>
      </c>
    </row>
    <row r="17" spans="1:20" ht="17.399999999999999">
      <c r="A17" s="157" t="s">
        <v>131</v>
      </c>
      <c r="B17" s="381">
        <v>18</v>
      </c>
      <c r="C17" s="390">
        <v>745.71003000000007</v>
      </c>
      <c r="D17" s="390">
        <v>534.84028242291049</v>
      </c>
      <c r="E17" s="390">
        <v>365.74998816346158</v>
      </c>
      <c r="F17" s="390">
        <v>7.6171414550273582</v>
      </c>
      <c r="G17" s="390">
        <v>828.587267329322</v>
      </c>
      <c r="H17" s="390">
        <v>0</v>
      </c>
      <c r="I17" s="390">
        <v>657.90189890158138</v>
      </c>
      <c r="J17" s="390">
        <v>719.85942</v>
      </c>
      <c r="K17" s="390">
        <v>913.29714000000001</v>
      </c>
      <c r="L17" s="390">
        <v>1045.7370000000001</v>
      </c>
      <c r="M17" s="390">
        <v>817.94664</v>
      </c>
      <c r="N17" s="390">
        <v>825.74099999999999</v>
      </c>
      <c r="O17" s="390">
        <v>670.19021999999995</v>
      </c>
      <c r="P17" s="390">
        <v>615.84893999999997</v>
      </c>
      <c r="Q17" s="390">
        <v>640.61928</v>
      </c>
      <c r="R17" s="312">
        <f t="shared" si="0"/>
        <v>9389.6462482723036</v>
      </c>
    </row>
    <row r="18" spans="1:20" ht="17.399999999999999">
      <c r="A18" s="157" t="s">
        <v>131</v>
      </c>
      <c r="B18" s="381">
        <v>24</v>
      </c>
      <c r="C18" s="390">
        <v>6407.9366499999996</v>
      </c>
      <c r="D18" s="390">
        <v>4343.73659907614</v>
      </c>
      <c r="E18" s="390">
        <v>2926.9858997005563</v>
      </c>
      <c r="F18" s="390">
        <v>8.8393651802746867</v>
      </c>
      <c r="G18" s="390">
        <v>6811.906331720972</v>
      </c>
      <c r="H18" s="390">
        <v>-0.51987367261467543</v>
      </c>
      <c r="I18" s="390">
        <v>5411.8169846626361</v>
      </c>
      <c r="J18" s="390">
        <v>5616.5902399999995</v>
      </c>
      <c r="K18" s="390">
        <v>7443.3223200000002</v>
      </c>
      <c r="L18" s="390">
        <v>8473.4457600000005</v>
      </c>
      <c r="M18" s="390">
        <v>6582.6846399999995</v>
      </c>
      <c r="N18" s="390">
        <v>6561.7527199999995</v>
      </c>
      <c r="O18" s="390">
        <v>5116.84112</v>
      </c>
      <c r="P18" s="390">
        <v>5073.8831199999995</v>
      </c>
      <c r="Q18" s="390">
        <v>6026.96792</v>
      </c>
      <c r="R18" s="312">
        <f t="shared" si="0"/>
        <v>76806.189796667953</v>
      </c>
    </row>
    <row r="19" spans="1:20" ht="17.399999999999999">
      <c r="A19" s="157" t="s">
        <v>131</v>
      </c>
      <c r="B19" s="381">
        <v>36</v>
      </c>
      <c r="C19" s="391">
        <v>321.30540000000002</v>
      </c>
      <c r="D19" s="391">
        <v>170.03544522999809</v>
      </c>
      <c r="E19" s="391">
        <v>195.42832603504539</v>
      </c>
      <c r="F19" s="391">
        <v>0</v>
      </c>
      <c r="G19" s="391">
        <v>329.34488842077224</v>
      </c>
      <c r="H19" s="391">
        <v>0</v>
      </c>
      <c r="I19" s="391">
        <v>354.19990574279086</v>
      </c>
      <c r="J19" s="391">
        <v>516.74560000000008</v>
      </c>
      <c r="K19" s="391">
        <v>589.64640000000009</v>
      </c>
      <c r="L19" s="391">
        <v>622.61920000000009</v>
      </c>
      <c r="M19" s="391">
        <v>424.97560000000004</v>
      </c>
      <c r="N19" s="391">
        <v>435.53720000000004</v>
      </c>
      <c r="O19" s="391">
        <v>350.33600000000001</v>
      </c>
      <c r="P19" s="391">
        <v>284.26160000000004</v>
      </c>
      <c r="Q19" s="391">
        <v>308.08960000000002</v>
      </c>
      <c r="R19" s="312">
        <f t="shared" si="0"/>
        <v>4902.5251654286076</v>
      </c>
    </row>
    <row r="20" spans="1:20" ht="17.399999999999999">
      <c r="A20" s="380" t="s">
        <v>301</v>
      </c>
      <c r="C20" s="312">
        <f t="shared" ref="C20:K20" si="1">SUM(C14:C19)</f>
        <v>421943.96976000007</v>
      </c>
      <c r="D20" s="312">
        <f t="shared" si="1"/>
        <v>264410.7869181452</v>
      </c>
      <c r="E20" s="312">
        <f t="shared" si="1"/>
        <v>227129.79342076121</v>
      </c>
      <c r="F20" s="312">
        <f t="shared" si="1"/>
        <v>265.08443493065045</v>
      </c>
      <c r="G20" s="312">
        <f t="shared" si="1"/>
        <v>436742.19425635872</v>
      </c>
      <c r="H20" s="312">
        <f t="shared" si="1"/>
        <v>146.92967757809623</v>
      </c>
      <c r="I20" s="312">
        <f t="shared" si="1"/>
        <v>357705.27179674408</v>
      </c>
      <c r="J20" s="312">
        <f t="shared" si="1"/>
        <v>480183.02309999999</v>
      </c>
      <c r="K20" s="312">
        <f t="shared" si="1"/>
        <v>683998.75444000005</v>
      </c>
      <c r="L20" s="312">
        <f t="shared" ref="L20:Q20" si="2">SUM(L14:L19)</f>
        <v>762197.64610000001</v>
      </c>
      <c r="M20" s="312">
        <f t="shared" si="2"/>
        <v>578909.51354000007</v>
      </c>
      <c r="N20" s="312">
        <f t="shared" si="2"/>
        <v>572742.21346</v>
      </c>
      <c r="O20" s="312">
        <f t="shared" si="2"/>
        <v>421257.39150000003</v>
      </c>
      <c r="P20" s="312">
        <f t="shared" si="2"/>
        <v>362544.99522000004</v>
      </c>
      <c r="Q20" s="312">
        <f t="shared" si="2"/>
        <v>363801.87544000003</v>
      </c>
      <c r="R20" s="312">
        <f>SUM(C20:Q20)</f>
        <v>5933979.4430645183</v>
      </c>
      <c r="T20" s="378" t="s">
        <v>29</v>
      </c>
    </row>
    <row r="21" spans="1:20" ht="17.399999999999999"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</row>
    <row r="22" spans="1:20" ht="17.399999999999999">
      <c r="A22" s="380" t="s">
        <v>94</v>
      </c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</row>
    <row r="23" spans="1:20" ht="17.399999999999999">
      <c r="A23" s="157" t="s">
        <v>94</v>
      </c>
      <c r="B23" s="381" t="s">
        <v>139</v>
      </c>
      <c r="C23" s="390">
        <v>522.34799999999996</v>
      </c>
      <c r="D23" s="390">
        <v>277.67594132574277</v>
      </c>
      <c r="E23" s="390">
        <v>272.89456492315844</v>
      </c>
      <c r="F23" s="390">
        <v>-2.5165439606145497</v>
      </c>
      <c r="G23" s="390">
        <v>564.56633417866806</v>
      </c>
      <c r="H23" s="390">
        <v>0</v>
      </c>
      <c r="I23" s="390">
        <v>562.99146196622473</v>
      </c>
      <c r="J23" s="390">
        <v>564.0702</v>
      </c>
      <c r="K23" s="390">
        <v>569.42859999999996</v>
      </c>
      <c r="L23" s="390">
        <v>564.19939999999997</v>
      </c>
      <c r="M23" s="390">
        <v>559.78959999999995</v>
      </c>
      <c r="N23" s="390">
        <v>557.80739999999992</v>
      </c>
      <c r="O23" s="390">
        <v>536.50639999999999</v>
      </c>
      <c r="P23" s="390">
        <v>567.81020000000001</v>
      </c>
      <c r="Q23" s="390">
        <v>560.70079999999996</v>
      </c>
      <c r="R23" s="312">
        <f>SUM(C23:Q23)</f>
        <v>6678.2723584331789</v>
      </c>
    </row>
    <row r="24" spans="1:20" ht="17.399999999999999">
      <c r="A24" s="157" t="s">
        <v>94</v>
      </c>
      <c r="B24" s="381">
        <v>24</v>
      </c>
      <c r="C24" s="390">
        <v>155339.23341000002</v>
      </c>
      <c r="D24" s="390">
        <v>109188.56562497377</v>
      </c>
      <c r="E24" s="390">
        <v>69494.984859628283</v>
      </c>
      <c r="F24" s="390">
        <v>732.19120180474329</v>
      </c>
      <c r="G24" s="390">
        <v>173476.02406697097</v>
      </c>
      <c r="H24" s="390">
        <v>-25.583735052236488</v>
      </c>
      <c r="I24" s="390">
        <v>146863.1377127312</v>
      </c>
      <c r="J24" s="390">
        <v>148945.90648000001</v>
      </c>
      <c r="K24" s="390">
        <v>173646.68503999998</v>
      </c>
      <c r="L24" s="390">
        <v>182203.29071999999</v>
      </c>
      <c r="M24" s="390">
        <v>157067.54407999999</v>
      </c>
      <c r="N24" s="390">
        <v>153572.22552000001</v>
      </c>
      <c r="O24" s="390">
        <v>136761.65656</v>
      </c>
      <c r="P24" s="390">
        <v>144101.32696000001</v>
      </c>
      <c r="Q24" s="390">
        <v>156289.84448</v>
      </c>
      <c r="R24" s="312">
        <f t="shared" ref="R24:R27" si="3">SUM(C24:Q24)</f>
        <v>1907657.0329810567</v>
      </c>
    </row>
    <row r="25" spans="1:20" ht="17.399999999999999">
      <c r="A25" s="157" t="s">
        <v>94</v>
      </c>
      <c r="B25" s="382">
        <v>36</v>
      </c>
      <c r="C25" s="390">
        <v>204616.51782000001</v>
      </c>
      <c r="D25" s="390">
        <v>138031.60398350336</v>
      </c>
      <c r="E25" s="390">
        <v>92279.801579658888</v>
      </c>
      <c r="F25" s="390">
        <v>2213.2829252634629</v>
      </c>
      <c r="G25" s="390">
        <v>242136.71355366718</v>
      </c>
      <c r="H25" s="390">
        <v>0</v>
      </c>
      <c r="I25" s="390">
        <v>239293.56629831973</v>
      </c>
      <c r="J25" s="390">
        <v>246883.02856000001</v>
      </c>
      <c r="K25" s="390">
        <v>252736.26084</v>
      </c>
      <c r="L25" s="390">
        <v>241282.92692000003</v>
      </c>
      <c r="M25" s="390">
        <v>211259.14138000002</v>
      </c>
      <c r="N25" s="390">
        <v>196753.77554</v>
      </c>
      <c r="O25" s="390">
        <v>185079.95212</v>
      </c>
      <c r="P25" s="390">
        <v>209822.60922000001</v>
      </c>
      <c r="Q25" s="390">
        <v>213529.01276000001</v>
      </c>
      <c r="R25" s="312">
        <f t="shared" si="3"/>
        <v>2675918.1935004122</v>
      </c>
    </row>
    <row r="26" spans="1:20" ht="17.399999999999999">
      <c r="A26" s="157" t="s">
        <v>94</v>
      </c>
      <c r="B26" s="381" t="s">
        <v>143</v>
      </c>
      <c r="C26" s="390">
        <v>44600.142999999996</v>
      </c>
      <c r="D26" s="390">
        <v>29169.715659480044</v>
      </c>
      <c r="E26" s="390">
        <v>18468.580122046562</v>
      </c>
      <c r="F26" s="390">
        <v>0</v>
      </c>
      <c r="G26" s="390">
        <v>50821.487957225319</v>
      </c>
      <c r="H26" s="390">
        <v>0</v>
      </c>
      <c r="I26" s="390">
        <v>49032.15988119509</v>
      </c>
      <c r="J26" s="390">
        <v>51668.745999999999</v>
      </c>
      <c r="K26" s="390">
        <v>50855.62</v>
      </c>
      <c r="L26" s="390">
        <v>42795.591999999997</v>
      </c>
      <c r="M26" s="390">
        <v>43950.091</v>
      </c>
      <c r="N26" s="390">
        <v>39716.716</v>
      </c>
      <c r="O26" s="390">
        <v>40842.436000000002</v>
      </c>
      <c r="P26" s="390">
        <v>39714.224999999999</v>
      </c>
      <c r="Q26" s="390">
        <v>45335.404999999999</v>
      </c>
      <c r="R26" s="312">
        <f t="shared" si="3"/>
        <v>546970.91761994699</v>
      </c>
    </row>
    <row r="27" spans="1:20" ht="17.399999999999999">
      <c r="A27" s="157" t="s">
        <v>94</v>
      </c>
      <c r="B27" s="381">
        <v>54</v>
      </c>
      <c r="C27" s="391">
        <v>114.82375999999999</v>
      </c>
      <c r="D27" s="391">
        <v>53.674720439963387</v>
      </c>
      <c r="E27" s="391">
        <v>21.915484865790965</v>
      </c>
      <c r="F27" s="391">
        <v>0</v>
      </c>
      <c r="G27" s="391">
        <v>61.352453098843476</v>
      </c>
      <c r="H27" s="391">
        <v>0</v>
      </c>
      <c r="I27" s="391">
        <v>108.29111737780572</v>
      </c>
      <c r="J27" s="391">
        <v>121.91431</v>
      </c>
      <c r="K27" s="391">
        <v>92.074780000000004</v>
      </c>
      <c r="L27" s="391">
        <v>76.296149999999997</v>
      </c>
      <c r="M27" s="391">
        <v>83.619690000000006</v>
      </c>
      <c r="N27" s="391">
        <v>127.29010000000001</v>
      </c>
      <c r="O27" s="391">
        <v>89.926690000000008</v>
      </c>
      <c r="P27" s="391">
        <v>62.36139</v>
      </c>
      <c r="Q27" s="391">
        <v>54.177130000000005</v>
      </c>
      <c r="R27" s="312">
        <f t="shared" si="3"/>
        <v>1067.7177757824036</v>
      </c>
    </row>
    <row r="28" spans="1:20" ht="17.399999999999999">
      <c r="A28" s="380" t="s">
        <v>302</v>
      </c>
      <c r="C28" s="312">
        <f t="shared" ref="C28:K28" si="4">SUM(C23:C27)</f>
        <v>405193.06599000003</v>
      </c>
      <c r="D28" s="312">
        <f t="shared" si="4"/>
        <v>276721.23592972284</v>
      </c>
      <c r="E28" s="312">
        <f t="shared" si="4"/>
        <v>180538.17661112265</v>
      </c>
      <c r="F28" s="312">
        <f t="shared" si="4"/>
        <v>2942.9575831075917</v>
      </c>
      <c r="G28" s="312">
        <f t="shared" si="4"/>
        <v>467060.14436514099</v>
      </c>
      <c r="H28" s="312">
        <f t="shared" si="4"/>
        <v>-25.583735052236488</v>
      </c>
      <c r="I28" s="312">
        <f t="shared" si="4"/>
        <v>435860.14647159009</v>
      </c>
      <c r="J28" s="312">
        <f t="shared" si="4"/>
        <v>448183.66554999998</v>
      </c>
      <c r="K28" s="312">
        <f t="shared" si="4"/>
        <v>477900.06926000002</v>
      </c>
      <c r="L28" s="312">
        <f t="shared" ref="L28:Q28" si="5">SUM(L23:L27)</f>
        <v>466922.30519000004</v>
      </c>
      <c r="M28" s="312">
        <f t="shared" si="5"/>
        <v>412920.18575</v>
      </c>
      <c r="N28" s="312">
        <f t="shared" si="5"/>
        <v>390727.81455999997</v>
      </c>
      <c r="O28" s="312">
        <f t="shared" si="5"/>
        <v>363310.47777</v>
      </c>
      <c r="P28" s="312">
        <f t="shared" si="5"/>
        <v>394268.33276999998</v>
      </c>
      <c r="Q28" s="312">
        <f t="shared" si="5"/>
        <v>415769.14017000009</v>
      </c>
      <c r="R28" s="312">
        <f>SUM(C28:Q28)</f>
        <v>5138292.1342356335</v>
      </c>
    </row>
    <row r="29" spans="1:20" ht="17.399999999999999"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</row>
    <row r="30" spans="1:20" ht="17.399999999999999">
      <c r="A30" s="380" t="s">
        <v>114</v>
      </c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</row>
    <row r="31" spans="1:20" ht="17.399999999999999">
      <c r="A31" s="380" t="s">
        <v>114</v>
      </c>
      <c r="B31" s="381" t="s">
        <v>139</v>
      </c>
      <c r="C31" s="390">
        <v>33.211599999999997</v>
      </c>
      <c r="D31" s="390">
        <v>19.410071099297447</v>
      </c>
      <c r="E31" s="390">
        <v>12.865328236317737</v>
      </c>
      <c r="F31" s="390">
        <v>6.6354367201426012E-2</v>
      </c>
      <c r="G31" s="390">
        <v>35.941950891202417</v>
      </c>
      <c r="H31" s="390">
        <v>0</v>
      </c>
      <c r="I31" s="390">
        <v>35.139384766825756</v>
      </c>
      <c r="J31" s="390">
        <v>35.138999999999996</v>
      </c>
      <c r="K31" s="390">
        <v>35.319199999999995</v>
      </c>
      <c r="L31" s="390">
        <v>34.622199999999999</v>
      </c>
      <c r="M31" s="390">
        <v>35.655799999999999</v>
      </c>
      <c r="N31" s="390">
        <v>34.363799999999998</v>
      </c>
      <c r="O31" s="390">
        <v>32.568599999999996</v>
      </c>
      <c r="P31" s="390">
        <v>37.175599999999996</v>
      </c>
      <c r="Q31" s="390">
        <v>34.5916</v>
      </c>
      <c r="R31" s="312">
        <f>SUM(C31:Q31)</f>
        <v>416.0704893608447</v>
      </c>
    </row>
    <row r="32" spans="1:20" ht="17.399999999999999">
      <c r="A32" s="380" t="s">
        <v>114</v>
      </c>
      <c r="B32" s="381">
        <v>24</v>
      </c>
      <c r="C32" s="390">
        <v>4815.9557000000004</v>
      </c>
      <c r="D32" s="390">
        <v>3222.2439275034003</v>
      </c>
      <c r="E32" s="390">
        <v>2028.4467382015532</v>
      </c>
      <c r="F32" s="390">
        <v>70.201060480522301</v>
      </c>
      <c r="G32" s="390">
        <v>5377.4335376724021</v>
      </c>
      <c r="H32" s="390">
        <v>0</v>
      </c>
      <c r="I32" s="390">
        <v>5195.6749603890266</v>
      </c>
      <c r="J32" s="390">
        <v>5086.5430399999996</v>
      </c>
      <c r="K32" s="390">
        <v>5488.0433599999997</v>
      </c>
      <c r="L32" s="390">
        <v>5447.43912</v>
      </c>
      <c r="M32" s="390">
        <v>6029.3705599999994</v>
      </c>
      <c r="N32" s="390">
        <v>4862.0221599999995</v>
      </c>
      <c r="O32" s="390">
        <v>3474.3377599999999</v>
      </c>
      <c r="P32" s="390">
        <v>4584.8800799999999</v>
      </c>
      <c r="Q32" s="390">
        <v>4623.2095199999994</v>
      </c>
      <c r="R32" s="312">
        <f t="shared" ref="R32:R36" si="6">SUM(C32:Q32)</f>
        <v>60305.801524246905</v>
      </c>
    </row>
    <row r="33" spans="1:18" ht="17.399999999999999">
      <c r="A33" s="380" t="s">
        <v>114</v>
      </c>
      <c r="B33" s="382">
        <v>36</v>
      </c>
      <c r="C33" s="390">
        <v>22425.897000000001</v>
      </c>
      <c r="D33" s="390">
        <v>12050.441884935792</v>
      </c>
      <c r="E33" s="390">
        <v>9669.721916792796</v>
      </c>
      <c r="F33" s="390">
        <v>151.4469882533046</v>
      </c>
      <c r="G33" s="390">
        <v>30559.183351054071</v>
      </c>
      <c r="H33" s="390">
        <v>0</v>
      </c>
      <c r="I33" s="390">
        <v>29938.905672727757</v>
      </c>
      <c r="J33" s="390">
        <v>25044.322800000002</v>
      </c>
      <c r="K33" s="390">
        <v>28954.304400000001</v>
      </c>
      <c r="L33" s="390">
        <v>22146.065200000001</v>
      </c>
      <c r="M33" s="390">
        <v>26013.285200000002</v>
      </c>
      <c r="N33" s="390">
        <v>24428.658800000001</v>
      </c>
      <c r="O33" s="390">
        <v>19890.1332</v>
      </c>
      <c r="P33" s="390">
        <v>26135.452000000001</v>
      </c>
      <c r="Q33" s="390">
        <v>23451.839600000003</v>
      </c>
      <c r="R33" s="312">
        <f t="shared" si="6"/>
        <v>300859.65801376378</v>
      </c>
    </row>
    <row r="34" spans="1:18" ht="17.399999999999999">
      <c r="A34" s="380" t="s">
        <v>114</v>
      </c>
      <c r="B34" s="381">
        <v>47</v>
      </c>
      <c r="C34" s="390">
        <v>264.59999999999997</v>
      </c>
      <c r="D34" s="390">
        <v>367.5</v>
      </c>
      <c r="E34" s="390">
        <v>0</v>
      </c>
      <c r="F34" s="390">
        <v>0</v>
      </c>
      <c r="G34" s="390">
        <v>715.5</v>
      </c>
      <c r="H34" s="390">
        <v>0</v>
      </c>
      <c r="I34" s="390">
        <v>665.14987958167069</v>
      </c>
      <c r="J34" s="390">
        <v>426.65</v>
      </c>
      <c r="K34" s="390">
        <v>251.75</v>
      </c>
      <c r="L34" s="390">
        <v>1195.1500000000001</v>
      </c>
      <c r="M34" s="390">
        <v>609.5</v>
      </c>
      <c r="N34" s="390">
        <v>121.9</v>
      </c>
      <c r="O34" s="390">
        <v>148.4</v>
      </c>
      <c r="P34" s="390">
        <v>185.5</v>
      </c>
      <c r="Q34" s="390">
        <v>413.4</v>
      </c>
      <c r="R34" s="312">
        <f>SUM(C34:Q34)</f>
        <v>5364.99987958167</v>
      </c>
    </row>
    <row r="35" spans="1:18" ht="17.399999999999999">
      <c r="A35" s="380" t="s">
        <v>114</v>
      </c>
      <c r="B35" s="381" t="s">
        <v>143</v>
      </c>
      <c r="C35" s="390">
        <v>47538.452499999999</v>
      </c>
      <c r="D35" s="390">
        <v>11164.995700792118</v>
      </c>
      <c r="E35" s="390">
        <v>29770.123116129023</v>
      </c>
      <c r="F35" s="390">
        <v>1277.6307761732858</v>
      </c>
      <c r="G35" s="390">
        <v>47310.898170185123</v>
      </c>
      <c r="H35" s="390">
        <v>0</v>
      </c>
      <c r="I35" s="390">
        <v>51000.972885653871</v>
      </c>
      <c r="J35" s="390">
        <v>50570.48</v>
      </c>
      <c r="K35" s="390">
        <v>51948.745000000003</v>
      </c>
      <c r="L35" s="390">
        <v>41137.805</v>
      </c>
      <c r="M35" s="390">
        <v>53868.934999999998</v>
      </c>
      <c r="N35" s="390">
        <v>44210.612500000003</v>
      </c>
      <c r="O35" s="390">
        <v>37461.195</v>
      </c>
      <c r="P35" s="390">
        <v>59318.394999999997</v>
      </c>
      <c r="Q35" s="390">
        <v>36474.864999999998</v>
      </c>
      <c r="R35" s="312">
        <f t="shared" si="6"/>
        <v>563054.10564893344</v>
      </c>
    </row>
    <row r="36" spans="1:18" ht="17.399999999999999">
      <c r="A36" s="383" t="s">
        <v>114</v>
      </c>
      <c r="B36" s="381" t="s">
        <v>446</v>
      </c>
      <c r="C36" s="391">
        <v>88729.2</v>
      </c>
      <c r="D36" s="391">
        <v>88288.2</v>
      </c>
      <c r="E36" s="391">
        <v>0</v>
      </c>
      <c r="F36" s="391">
        <v>0</v>
      </c>
      <c r="G36" s="391">
        <v>72885.600000000006</v>
      </c>
      <c r="H36" s="391">
        <v>0</v>
      </c>
      <c r="I36" s="391">
        <v>94684.5</v>
      </c>
      <c r="J36" s="391">
        <v>96783.3</v>
      </c>
      <c r="K36" s="391">
        <v>94684.5</v>
      </c>
      <c r="L36" s="391">
        <v>98643.6</v>
      </c>
      <c r="M36" s="391">
        <v>98739</v>
      </c>
      <c r="N36" s="391">
        <v>88817.4</v>
      </c>
      <c r="O36" s="391">
        <v>96640.2</v>
      </c>
      <c r="P36" s="391">
        <v>93682.8</v>
      </c>
      <c r="Q36" s="391">
        <v>48749.4</v>
      </c>
      <c r="R36" s="312">
        <f t="shared" si="6"/>
        <v>1061327.7</v>
      </c>
    </row>
    <row r="37" spans="1:18" ht="17.399999999999999">
      <c r="A37" s="380" t="s">
        <v>303</v>
      </c>
      <c r="C37" s="312">
        <f t="shared" ref="C37:K37" si="7">SUM(C31:C36)</f>
        <v>163807.3168</v>
      </c>
      <c r="D37" s="312">
        <f t="shared" si="7"/>
        <v>115112.79158433061</v>
      </c>
      <c r="E37" s="312">
        <f t="shared" si="7"/>
        <v>41481.157099359691</v>
      </c>
      <c r="F37" s="312">
        <f t="shared" si="7"/>
        <v>1499.345179274314</v>
      </c>
      <c r="G37" s="312">
        <f t="shared" si="7"/>
        <v>156884.55700980281</v>
      </c>
      <c r="H37" s="312">
        <f t="shared" si="7"/>
        <v>0</v>
      </c>
      <c r="I37" s="312">
        <f t="shared" si="7"/>
        <v>181520.34278311915</v>
      </c>
      <c r="J37" s="312">
        <f t="shared" si="7"/>
        <v>177946.43484</v>
      </c>
      <c r="K37" s="312">
        <f t="shared" si="7"/>
        <v>181362.66196</v>
      </c>
      <c r="L37" s="312">
        <f t="shared" ref="L37:Q37" si="8">SUM(L31:L36)</f>
        <v>168604.68152000001</v>
      </c>
      <c r="M37" s="312">
        <f t="shared" si="8"/>
        <v>185295.74656</v>
      </c>
      <c r="N37" s="312">
        <f t="shared" si="8"/>
        <v>162474.95726</v>
      </c>
      <c r="O37" s="312">
        <f t="shared" si="8"/>
        <v>157646.83455999999</v>
      </c>
      <c r="P37" s="312">
        <f t="shared" si="8"/>
        <v>183944.20267999999</v>
      </c>
      <c r="Q37" s="312">
        <f t="shared" si="8"/>
        <v>113747.30572</v>
      </c>
      <c r="R37" s="312">
        <f>SUM(C37:Q37)</f>
        <v>1991328.3355558868</v>
      </c>
    </row>
    <row r="38" spans="1:18" ht="17.399999999999999"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</row>
    <row r="39" spans="1:18" ht="17.399999999999999">
      <c r="A39" s="380" t="s">
        <v>351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</row>
    <row r="40" spans="1:18" ht="17.399999999999999">
      <c r="A40" s="380" t="s">
        <v>117</v>
      </c>
      <c r="B40" s="381">
        <v>40</v>
      </c>
      <c r="C40" s="391">
        <v>98973.788100000005</v>
      </c>
      <c r="D40" s="391">
        <v>76611.161873727076</v>
      </c>
      <c r="E40" s="391">
        <v>43883.316833558849</v>
      </c>
      <c r="F40" s="391">
        <v>6414.4145417515219</v>
      </c>
      <c r="G40" s="391">
        <v>101279.03602785806</v>
      </c>
      <c r="H40" s="391">
        <v>-27.327494908350449</v>
      </c>
      <c r="I40" s="391">
        <v>53833.323489657385</v>
      </c>
      <c r="J40" s="391">
        <v>30964.484500000002</v>
      </c>
      <c r="K40" s="391">
        <v>6053.8327500000005</v>
      </c>
      <c r="L40" s="391">
        <v>2121.32735</v>
      </c>
      <c r="M40" s="391">
        <v>1903.4390000000001</v>
      </c>
      <c r="N40" s="391">
        <v>4268.5342000000001</v>
      </c>
      <c r="O40" s="391">
        <v>14282.7363</v>
      </c>
      <c r="P40" s="391">
        <v>43820.873400000004</v>
      </c>
      <c r="Q40" s="391">
        <v>86839.361600000004</v>
      </c>
      <c r="R40" s="313">
        <f>SUM(C40:Q40)</f>
        <v>571222.30247164448</v>
      </c>
    </row>
    <row r="41" spans="1:18" ht="17.399999999999999">
      <c r="A41" s="380" t="s">
        <v>304</v>
      </c>
      <c r="C41" s="312">
        <f t="shared" ref="C41:K41" si="9">C40</f>
        <v>98973.788100000005</v>
      </c>
      <c r="D41" s="312">
        <f t="shared" si="9"/>
        <v>76611.161873727076</v>
      </c>
      <c r="E41" s="312">
        <f t="shared" si="9"/>
        <v>43883.316833558849</v>
      </c>
      <c r="F41" s="312">
        <f t="shared" si="9"/>
        <v>6414.4145417515219</v>
      </c>
      <c r="G41" s="312">
        <f t="shared" si="9"/>
        <v>101279.03602785806</v>
      </c>
      <c r="H41" s="312">
        <f t="shared" si="9"/>
        <v>-27.327494908350449</v>
      </c>
      <c r="I41" s="312">
        <f t="shared" si="9"/>
        <v>53833.323489657385</v>
      </c>
      <c r="J41" s="312">
        <f t="shared" si="9"/>
        <v>30964.484500000002</v>
      </c>
      <c r="K41" s="312">
        <f t="shared" si="9"/>
        <v>6053.8327500000005</v>
      </c>
      <c r="L41" s="312">
        <f t="shared" ref="L41:P41" si="10">L40</f>
        <v>2121.32735</v>
      </c>
      <c r="M41" s="312">
        <f t="shared" si="10"/>
        <v>1903.4390000000001</v>
      </c>
      <c r="N41" s="312">
        <f t="shared" si="10"/>
        <v>4268.5342000000001</v>
      </c>
      <c r="O41" s="312">
        <f t="shared" si="10"/>
        <v>14282.7363</v>
      </c>
      <c r="P41" s="312">
        <f t="shared" si="10"/>
        <v>43820.873400000004</v>
      </c>
      <c r="Q41" s="312">
        <f>Q40</f>
        <v>86839.361600000004</v>
      </c>
      <c r="R41" s="312">
        <f>SUM(C41:Q41)</f>
        <v>571222.30247164448</v>
      </c>
    </row>
    <row r="42" spans="1:18" ht="17.399999999999999"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</row>
    <row r="43" spans="1:18" ht="17.399999999999999">
      <c r="A43" s="380" t="s">
        <v>124</v>
      </c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</row>
    <row r="44" spans="1:18" ht="17.399999999999999">
      <c r="A44" s="380" t="s">
        <v>124</v>
      </c>
      <c r="B44" s="382">
        <v>51</v>
      </c>
      <c r="C44" s="390">
        <v>1152.8312000000001</v>
      </c>
      <c r="D44" s="390">
        <v>483.00781838232422</v>
      </c>
      <c r="E44" s="390">
        <v>461.61754370853043</v>
      </c>
      <c r="F44" s="390">
        <v>-3.5815135142624643</v>
      </c>
      <c r="G44" s="390">
        <v>1038.577987481933</v>
      </c>
      <c r="H44" s="390">
        <v>0</v>
      </c>
      <c r="I44" s="390">
        <v>1084.2421174053386</v>
      </c>
      <c r="J44" s="390">
        <v>1126.2159999999999</v>
      </c>
      <c r="K44" s="390">
        <v>1046.8565999999998</v>
      </c>
      <c r="L44" s="390">
        <v>1125.3149999999998</v>
      </c>
      <c r="M44" s="390">
        <v>1082.0159999999998</v>
      </c>
      <c r="N44" s="390">
        <v>1083.2808</v>
      </c>
      <c r="O44" s="390">
        <v>1080.8055999999999</v>
      </c>
      <c r="P44" s="390">
        <v>1082.9102</v>
      </c>
      <c r="Q44" s="390">
        <v>1143.4574</v>
      </c>
      <c r="R44" s="312">
        <f>SUM(C44:Q44)</f>
        <v>12987.552753463862</v>
      </c>
    </row>
    <row r="45" spans="1:18" ht="17.399999999999999">
      <c r="A45" s="380" t="s">
        <v>124</v>
      </c>
      <c r="B45" s="382">
        <v>52</v>
      </c>
      <c r="C45" s="390">
        <v>39.670639999999999</v>
      </c>
      <c r="D45" s="390">
        <v>24.934420149065215</v>
      </c>
      <c r="E45" s="390">
        <v>15.705297796889477</v>
      </c>
      <c r="F45" s="390">
        <v>0</v>
      </c>
      <c r="G45" s="390">
        <v>42.234806532165322</v>
      </c>
      <c r="H45" s="390">
        <v>0</v>
      </c>
      <c r="I45" s="390">
        <v>42.534079673211068</v>
      </c>
      <c r="J45" s="390">
        <v>42.166799999999995</v>
      </c>
      <c r="K45" s="390">
        <v>41.639800000000001</v>
      </c>
      <c r="L45" s="390">
        <v>41.789400000000001</v>
      </c>
      <c r="M45" s="390">
        <v>41.646599999999999</v>
      </c>
      <c r="N45" s="390">
        <v>41.3474</v>
      </c>
      <c r="O45" s="390">
        <v>40.46</v>
      </c>
      <c r="P45" s="390">
        <v>40.449799999999996</v>
      </c>
      <c r="Q45" s="390">
        <v>40.000999999999998</v>
      </c>
      <c r="R45" s="312">
        <f t="shared" ref="R45:R47" si="11">SUM(C45:Q45)</f>
        <v>494.58004415133098</v>
      </c>
    </row>
    <row r="46" spans="1:18" ht="17.399999999999999">
      <c r="A46" s="380" t="s">
        <v>124</v>
      </c>
      <c r="B46" s="382" t="s">
        <v>146</v>
      </c>
      <c r="C46" s="390">
        <v>1078.33104</v>
      </c>
      <c r="D46" s="390">
        <v>191.80212823142782</v>
      </c>
      <c r="E46" s="390">
        <v>965.3267393615555</v>
      </c>
      <c r="F46" s="390">
        <v>0</v>
      </c>
      <c r="G46" s="390">
        <v>1198.3867428466299</v>
      </c>
      <c r="H46" s="390">
        <v>0</v>
      </c>
      <c r="I46" s="390">
        <v>1192.4783752580377</v>
      </c>
      <c r="J46" s="390">
        <v>1207.1155999999999</v>
      </c>
      <c r="K46" s="390">
        <v>1123.4313999999999</v>
      </c>
      <c r="L46" s="390">
        <v>1138.9523999999999</v>
      </c>
      <c r="M46" s="390">
        <v>1086.2965999999999</v>
      </c>
      <c r="N46" s="390">
        <v>1060.7728</v>
      </c>
      <c r="O46" s="390">
        <v>1026.1029999999998</v>
      </c>
      <c r="P46" s="390">
        <v>1015.6683999999999</v>
      </c>
      <c r="Q46" s="390">
        <v>984.92219999999998</v>
      </c>
      <c r="R46" s="312">
        <f t="shared" si="11"/>
        <v>13269.587425697649</v>
      </c>
    </row>
    <row r="47" spans="1:18" ht="17.399999999999999">
      <c r="A47" s="380" t="s">
        <v>124</v>
      </c>
      <c r="B47" s="381">
        <v>57</v>
      </c>
      <c r="C47" s="391">
        <v>432.33224000000001</v>
      </c>
      <c r="D47" s="391">
        <v>253.61677598102747</v>
      </c>
      <c r="E47" s="391">
        <v>189.84588171491382</v>
      </c>
      <c r="F47" s="391">
        <v>0</v>
      </c>
      <c r="G47" s="391">
        <v>463.24736002571331</v>
      </c>
      <c r="H47" s="391">
        <v>0</v>
      </c>
      <c r="I47" s="391">
        <v>462.92847186579627</v>
      </c>
      <c r="J47" s="391">
        <v>461.77439999999996</v>
      </c>
      <c r="K47" s="391">
        <v>453.3492</v>
      </c>
      <c r="L47" s="391">
        <v>456.35819999999995</v>
      </c>
      <c r="M47" s="391">
        <v>455.03899999999999</v>
      </c>
      <c r="N47" s="391">
        <v>454.40319999999997</v>
      </c>
      <c r="O47" s="391">
        <v>449.3304</v>
      </c>
      <c r="P47" s="391">
        <v>449.16719999999998</v>
      </c>
      <c r="Q47" s="391">
        <v>449.38139999999999</v>
      </c>
      <c r="R47" s="312">
        <f t="shared" si="11"/>
        <v>5430.7737295874504</v>
      </c>
    </row>
    <row r="48" spans="1:18" ht="17.399999999999999">
      <c r="A48" s="380" t="s">
        <v>305</v>
      </c>
      <c r="C48" s="312">
        <f t="shared" ref="C48:K48" si="12">SUM(C44:C47)</f>
        <v>2703.1651200000001</v>
      </c>
      <c r="D48" s="312">
        <f t="shared" si="12"/>
        <v>953.36114274384465</v>
      </c>
      <c r="E48" s="312">
        <f t="shared" si="12"/>
        <v>1632.4954625818891</v>
      </c>
      <c r="F48" s="312">
        <f t="shared" si="12"/>
        <v>-3.5815135142624643</v>
      </c>
      <c r="G48" s="312">
        <f t="shared" si="12"/>
        <v>2742.4468968864412</v>
      </c>
      <c r="H48" s="312">
        <f t="shared" si="12"/>
        <v>0</v>
      </c>
      <c r="I48" s="312">
        <f t="shared" si="12"/>
        <v>2782.1830442023838</v>
      </c>
      <c r="J48" s="312">
        <f t="shared" si="12"/>
        <v>2837.2727999999993</v>
      </c>
      <c r="K48" s="312">
        <f t="shared" si="12"/>
        <v>2665.2769999999996</v>
      </c>
      <c r="L48" s="312">
        <f t="shared" ref="L48:Q48" si="13">SUM(L44:L47)</f>
        <v>2762.4149999999995</v>
      </c>
      <c r="M48" s="312">
        <f t="shared" si="13"/>
        <v>2664.9982</v>
      </c>
      <c r="N48" s="312">
        <f t="shared" si="13"/>
        <v>2639.8041999999996</v>
      </c>
      <c r="O48" s="312">
        <f t="shared" si="13"/>
        <v>2596.6989999999996</v>
      </c>
      <c r="P48" s="312">
        <f t="shared" si="13"/>
        <v>2588.1956</v>
      </c>
      <c r="Q48" s="312">
        <f t="shared" si="13"/>
        <v>2617.7619999999997</v>
      </c>
      <c r="R48" s="312">
        <f>SUM(C48:Q48)</f>
        <v>32182.493952900291</v>
      </c>
    </row>
    <row r="49" spans="2:18" ht="17.399999999999999"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</row>
    <row r="50" spans="2:18" ht="17.399999999999999">
      <c r="B50" s="381" t="s">
        <v>306</v>
      </c>
      <c r="C50" s="312">
        <f t="shared" ref="C50:K50" si="14">C20+C28+C37+C41+C48</f>
        <v>1092621.30577</v>
      </c>
      <c r="D50" s="312">
        <f t="shared" si="14"/>
        <v>733809.3374486696</v>
      </c>
      <c r="E50" s="312">
        <f t="shared" si="14"/>
        <v>494664.93942738423</v>
      </c>
      <c r="F50" s="312">
        <f t="shared" si="14"/>
        <v>11118.220225549816</v>
      </c>
      <c r="G50" s="312">
        <f t="shared" si="14"/>
        <v>1164708.3785560471</v>
      </c>
      <c r="H50" s="312">
        <f t="shared" si="14"/>
        <v>94.018447617509295</v>
      </c>
      <c r="I50" s="312">
        <f t="shared" si="14"/>
        <v>1031701.2675853131</v>
      </c>
      <c r="J50" s="312">
        <f t="shared" si="14"/>
        <v>1140114.8807899999</v>
      </c>
      <c r="K50" s="312">
        <f t="shared" si="14"/>
        <v>1351980.5954100001</v>
      </c>
      <c r="L50" s="312">
        <f t="shared" ref="L50:Q50" si="15">L20+L28+L37+L41+L48</f>
        <v>1402608.3751600001</v>
      </c>
      <c r="M50" s="312">
        <f t="shared" si="15"/>
        <v>1181693.8830500003</v>
      </c>
      <c r="N50" s="312">
        <f t="shared" si="15"/>
        <v>1132853.3236799999</v>
      </c>
      <c r="O50" s="312">
        <f t="shared" si="15"/>
        <v>959094.13913000003</v>
      </c>
      <c r="P50" s="312">
        <f t="shared" si="15"/>
        <v>987166.59967000003</v>
      </c>
      <c r="Q50" s="312">
        <f t="shared" si="15"/>
        <v>982775.44493000011</v>
      </c>
      <c r="R50" s="312">
        <f>R20+R28+R37+R41+R48</f>
        <v>13667004.709280584</v>
      </c>
    </row>
    <row r="52" spans="2:18">
      <c r="I52" s="379"/>
    </row>
    <row r="53" spans="2:18">
      <c r="I53" s="379"/>
    </row>
    <row r="56" spans="2:18" ht="17.399999999999999">
      <c r="H56" s="314"/>
      <c r="I56" s="284"/>
    </row>
  </sheetData>
  <printOptions horizontalCentered="1" gridLines="1" gridLinesSet="0"/>
  <pageMargins left="0.5" right="0.5" top="0.5" bottom="0.62" header="0.5" footer="0.46"/>
  <pageSetup scale="45" orientation="landscape" r:id="rId1"/>
  <headerFooter alignWithMargins="0">
    <oddFooter>&amp;L&amp;8&amp;D&amp;C&amp;8Prepared by Pricing&amp;R&amp;8&amp;F: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AFD8832A41AB47866693DE5BD16858" ma:contentTypeVersion="44" ma:contentTypeDescription="" ma:contentTypeScope="" ma:versionID="ae4610185c554df57ed6f29525a3013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2021-07-07T07:00:00+00:00</OpenedDate>
    <SignificantOrder xmlns="dc463f71-b30c-4ab2-9473-d307f9d35888">false</SignificantOrder>
    <Date1 xmlns="dc463f71-b30c-4ab2-9473-d307f9d35888">2021-07-07T07:00:00+00:00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E835D9-851C-47E4-BB32-586AA335CE14}"/>
</file>

<file path=customXml/itemProps2.xml><?xml version="1.0" encoding="utf-8"?>
<ds:datastoreItem xmlns:ds="http://schemas.openxmlformats.org/officeDocument/2006/customXml" ds:itemID="{EA15AAFE-49B6-4A74-A7E0-B17D7B419E00}"/>
</file>

<file path=customXml/itemProps3.xml><?xml version="1.0" encoding="utf-8"?>
<ds:datastoreItem xmlns:ds="http://schemas.openxmlformats.org/officeDocument/2006/customXml" ds:itemID="{7A91D5F5-75CA-45BD-9062-F0811FA39BAA}"/>
</file>

<file path=customXml/itemProps4.xml><?xml version="1.0" encoding="utf-8"?>
<ds:datastoreItem xmlns:ds="http://schemas.openxmlformats.org/officeDocument/2006/customXml" ds:itemID="{2F719D74-2AB1-4102-AB52-613240AC49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Comparison</vt:lpstr>
      <vt:lpstr>Table 1-Revenues</vt:lpstr>
      <vt:lpstr>Table 1 - kWh</vt:lpstr>
      <vt:lpstr>Table 2</vt:lpstr>
      <vt:lpstr>Table 3</vt:lpstr>
      <vt:lpstr>305 Inputs</vt:lpstr>
      <vt:lpstr>305 Lookup</vt:lpstr>
      <vt:lpstr>Jan - Mar Monthly 305 Revenue</vt:lpstr>
      <vt:lpstr>WA SBC</vt:lpstr>
      <vt:lpstr>WA Decoupling</vt:lpstr>
      <vt:lpstr>SBC (Old)</vt:lpstr>
      <vt:lpstr>Hydro Deferral</vt:lpstr>
      <vt:lpstr>Temperature</vt:lpstr>
      <vt:lpstr>TempAdjustmnts</vt:lpstr>
      <vt:lpstr>Backed Out Revenue Totals</vt:lpstr>
      <vt:lpstr>Comparison!Print_Area</vt:lpstr>
      <vt:lpstr>'Table 1 - kWh'!Print_Area</vt:lpstr>
      <vt:lpstr>'Table 1-Revenues'!Print_Area</vt:lpstr>
      <vt:lpstr>'Table 2'!Print_Area</vt:lpstr>
      <vt:lpstr>'Table 3'!Print_Area</vt:lpstr>
      <vt:lpstr>'Table 2'!Print_Titles</vt:lpstr>
      <vt:lpstr>'Table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Zimmerman, Michael</cp:lastModifiedBy>
  <cp:lastPrinted>2012-08-28T16:59:18Z</cp:lastPrinted>
  <dcterms:created xsi:type="dcterms:W3CDTF">1997-08-20T18:29:19Z</dcterms:created>
  <dcterms:modified xsi:type="dcterms:W3CDTF">2021-02-08T21:28:15Z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0x0101006E56B4D1795A2E4DB2F0B01679ED314A0041AFD8832A41AB47866693DE5BD16858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