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printerSettings/printerSettings2.bin" ContentType="application/vnd.openxmlformats-officedocument.spreadsheetml.printerSettings"/>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externalLinks/externalLink2.xml" ContentType="application/vnd.openxmlformats-officedocument.spreadsheetml.externalLink+xml"/>
  <Override PartName="/xl/calcChain.xml" ContentType="application/vnd.openxmlformats-officedocument.spreadsheetml.calcChain+xml"/>
  <Override PartName="/xl/printerSettings/printerSettings1.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Commission Basis Report\Dec_31_19\To File Dec 2019 CBR\"/>
    </mc:Choice>
  </mc:AlternateContent>
  <bookViews>
    <workbookView xWindow="0" yWindow="0" windowWidth="23040" windowHeight="8748"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 r:id="rId10"/>
  </externalReferences>
  <definedNames>
    <definedName name="SAPCrosstab1">'Other Elec Revenue'!$A$1:$E$49</definedName>
    <definedName name="SAPCrosstab2">'Excise Tax '!$A$1:$E$150</definedName>
    <definedName name="SAPCrosstab3">'Filing Fees'!$A$1:$D$29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7" i="3" l="1"/>
  <c r="G188" i="3"/>
  <c r="G187" i="3"/>
  <c r="G186"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N5" i="3" l="1"/>
  <c r="N4" i="3"/>
  <c r="E46" i="7"/>
  <c r="E45" i="7"/>
  <c r="E44" i="7"/>
  <c r="D12" i="8"/>
  <c r="D12" i="7"/>
  <c r="G150" i="3" l="1"/>
  <c r="G146" i="3"/>
  <c r="G142" i="3"/>
  <c r="G138" i="3"/>
  <c r="G134" i="3"/>
  <c r="G130" i="3"/>
  <c r="G126" i="3"/>
  <c r="G122" i="3"/>
  <c r="G118" i="3"/>
  <c r="G114" i="3"/>
  <c r="G110" i="3"/>
  <c r="G135" i="3"/>
  <c r="G119" i="3"/>
  <c r="G107" i="3"/>
  <c r="G149" i="3"/>
  <c r="G145" i="3"/>
  <c r="G141" i="3"/>
  <c r="G137" i="3"/>
  <c r="G133" i="3"/>
  <c r="G129" i="3"/>
  <c r="G125" i="3"/>
  <c r="G121" i="3"/>
  <c r="G117" i="3"/>
  <c r="G113" i="3"/>
  <c r="G109" i="3"/>
  <c r="G143" i="3"/>
  <c r="G139" i="3"/>
  <c r="G127" i="3"/>
  <c r="G115" i="3"/>
  <c r="G148" i="3"/>
  <c r="G144" i="3"/>
  <c r="G140" i="3"/>
  <c r="G136" i="3"/>
  <c r="G132" i="3"/>
  <c r="G128" i="3"/>
  <c r="G124" i="3"/>
  <c r="G120" i="3"/>
  <c r="G116" i="3"/>
  <c r="G112" i="3"/>
  <c r="G108" i="3"/>
  <c r="G147" i="3"/>
  <c r="G131" i="3"/>
  <c r="G123" i="3"/>
  <c r="G111" i="3"/>
  <c r="E47" i="7"/>
  <c r="F31" i="8"/>
  <c r="F17" i="8"/>
  <c r="F19" i="8" s="1"/>
  <c r="E48" i="7"/>
  <c r="F18" i="7" s="1"/>
  <c r="F31" i="7"/>
  <c r="F17" i="7"/>
  <c r="I188" i="3"/>
  <c r="H188" i="3"/>
  <c r="H187" i="3"/>
  <c r="F188" i="3"/>
  <c r="F187" i="3"/>
  <c r="I186" i="3"/>
  <c r="H186" i="3"/>
  <c r="F186" i="3"/>
  <c r="C13" i="6"/>
  <c r="C13" i="5"/>
  <c r="A5" i="6"/>
  <c r="A4" i="6"/>
  <c r="F19" i="7" l="1"/>
  <c r="D24" i="7" s="1"/>
  <c r="F21" i="8"/>
  <c r="D22" i="8"/>
  <c r="F22" i="8" s="1"/>
  <c r="D24" i="8"/>
  <c r="K187" i="3"/>
  <c r="J186" i="3"/>
  <c r="K186" i="3"/>
  <c r="J187" i="3"/>
  <c r="J188" i="3"/>
  <c r="K188"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I10" i="3"/>
  <c r="H10" i="3"/>
  <c r="I9" i="3"/>
  <c r="H9" i="3"/>
  <c r="I8" i="3"/>
  <c r="H8" i="3"/>
  <c r="I7" i="3"/>
  <c r="H7" i="3"/>
  <c r="I6" i="3"/>
  <c r="H6" i="3"/>
  <c r="I5" i="3"/>
  <c r="H5" i="3"/>
  <c r="I4" i="3"/>
  <c r="H4" i="3"/>
  <c r="I3" i="3"/>
  <c r="H3"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G192"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192" i="3" l="1"/>
  <c r="H192" i="3"/>
  <c r="I192" i="3"/>
  <c r="F21" i="7"/>
  <c r="D22" i="7"/>
  <c r="F22" i="7" s="1"/>
  <c r="D25" i="8"/>
  <c r="F25" i="8" s="1"/>
  <c r="D25" i="7"/>
  <c r="F25" i="7" s="1"/>
  <c r="F191" i="3"/>
  <c r="H190" i="3"/>
  <c r="G191" i="3"/>
  <c r="I190" i="3"/>
  <c r="F190" i="3"/>
  <c r="G190" i="3"/>
  <c r="K52" i="3"/>
  <c r="K58" i="3"/>
  <c r="K64" i="3"/>
  <c r="K70" i="3"/>
  <c r="K76" i="3"/>
  <c r="K82" i="3"/>
  <c r="K88" i="3"/>
  <c r="K94" i="3"/>
  <c r="K100" i="3"/>
  <c r="K106" i="3"/>
  <c r="K112" i="3"/>
  <c r="K118" i="3"/>
  <c r="K124" i="3"/>
  <c r="K130" i="3"/>
  <c r="K136" i="3"/>
  <c r="K142" i="3"/>
  <c r="K148" i="3"/>
  <c r="J4" i="3"/>
  <c r="J10" i="3"/>
  <c r="J16" i="3"/>
  <c r="J22" i="3"/>
  <c r="J28" i="3"/>
  <c r="J34" i="3"/>
  <c r="J40" i="3"/>
  <c r="J46" i="3"/>
  <c r="K53" i="3"/>
  <c r="K59" i="3"/>
  <c r="K65" i="3"/>
  <c r="K71" i="3"/>
  <c r="K77" i="3"/>
  <c r="K83" i="3"/>
  <c r="K89" i="3"/>
  <c r="K95" i="3"/>
  <c r="K101" i="3"/>
  <c r="K107" i="3"/>
  <c r="K192" i="3" s="1"/>
  <c r="K113" i="3"/>
  <c r="K119" i="3"/>
  <c r="K125" i="3"/>
  <c r="K131" i="3"/>
  <c r="K137" i="3"/>
  <c r="K143" i="3"/>
  <c r="J20" i="3"/>
  <c r="J52" i="3"/>
  <c r="J58" i="3"/>
  <c r="J64" i="3"/>
  <c r="J70" i="3"/>
  <c r="J76" i="3"/>
  <c r="J82" i="3"/>
  <c r="J88" i="3"/>
  <c r="J94" i="3"/>
  <c r="J100" i="3"/>
  <c r="J106" i="3"/>
  <c r="J112" i="3"/>
  <c r="J118" i="3"/>
  <c r="J124" i="3"/>
  <c r="J130" i="3"/>
  <c r="J136" i="3"/>
  <c r="J142" i="3"/>
  <c r="J148" i="3"/>
  <c r="K4" i="3"/>
  <c r="K10" i="3"/>
  <c r="K16" i="3"/>
  <c r="K22" i="3"/>
  <c r="K28" i="3"/>
  <c r="K34" i="3"/>
  <c r="K40" i="3"/>
  <c r="K46" i="3"/>
  <c r="K149" i="3"/>
  <c r="K6" i="3"/>
  <c r="K12" i="3"/>
  <c r="K18" i="3"/>
  <c r="K24" i="3"/>
  <c r="K30" i="3"/>
  <c r="K36" i="3"/>
  <c r="K42" i="3"/>
  <c r="J50" i="3"/>
  <c r="J56" i="3"/>
  <c r="J62" i="3"/>
  <c r="J68" i="3"/>
  <c r="J74" i="3"/>
  <c r="J80" i="3"/>
  <c r="J86" i="3"/>
  <c r="J92" i="3"/>
  <c r="J98" i="3"/>
  <c r="J104" i="3"/>
  <c r="J110" i="3"/>
  <c r="J116" i="3"/>
  <c r="J122" i="3"/>
  <c r="J128" i="3"/>
  <c r="J134" i="3"/>
  <c r="J140" i="3"/>
  <c r="J146" i="3"/>
  <c r="J3" i="3"/>
  <c r="K49" i="3"/>
  <c r="K55" i="3"/>
  <c r="K61" i="3"/>
  <c r="K67" i="3"/>
  <c r="K73" i="3"/>
  <c r="K79" i="3"/>
  <c r="K85" i="3"/>
  <c r="K91" i="3"/>
  <c r="K97" i="3"/>
  <c r="K103" i="3"/>
  <c r="K109" i="3"/>
  <c r="K115" i="3"/>
  <c r="K121" i="3"/>
  <c r="K127" i="3"/>
  <c r="K133" i="3"/>
  <c r="K139" i="3"/>
  <c r="K145" i="3"/>
  <c r="K9" i="3"/>
  <c r="K15" i="3"/>
  <c r="K21" i="3"/>
  <c r="K27" i="3"/>
  <c r="K33" i="3"/>
  <c r="K39" i="3"/>
  <c r="K45" i="3"/>
  <c r="K51" i="3"/>
  <c r="K57" i="3"/>
  <c r="K63" i="3"/>
  <c r="K69" i="3"/>
  <c r="K75" i="3"/>
  <c r="K81" i="3"/>
  <c r="K87" i="3"/>
  <c r="K93" i="3"/>
  <c r="K99" i="3"/>
  <c r="K105" i="3"/>
  <c r="K111" i="3"/>
  <c r="K117" i="3"/>
  <c r="K123" i="3"/>
  <c r="K129" i="3"/>
  <c r="K135" i="3"/>
  <c r="K141" i="3"/>
  <c r="K147" i="3"/>
  <c r="J5" i="3"/>
  <c r="J11" i="3"/>
  <c r="J17" i="3"/>
  <c r="J23" i="3"/>
  <c r="J29" i="3"/>
  <c r="J35" i="3"/>
  <c r="J41" i="3"/>
  <c r="J47" i="3"/>
  <c r="J14" i="3"/>
  <c r="J32" i="3"/>
  <c r="K8" i="3"/>
  <c r="K20" i="3"/>
  <c r="K26" i="3"/>
  <c r="K38" i="3"/>
  <c r="K44" i="3"/>
  <c r="J71" i="3"/>
  <c r="J77" i="3"/>
  <c r="J83" i="3"/>
  <c r="J89" i="3"/>
  <c r="J95" i="3"/>
  <c r="J101" i="3"/>
  <c r="J107" i="3"/>
  <c r="J192" i="3" s="1"/>
  <c r="J113" i="3"/>
  <c r="J119" i="3"/>
  <c r="J125" i="3"/>
  <c r="J131" i="3"/>
  <c r="J137" i="3"/>
  <c r="J143" i="3"/>
  <c r="J149" i="3"/>
  <c r="K11" i="3"/>
  <c r="K23" i="3"/>
  <c r="K41" i="3"/>
  <c r="K5" i="3"/>
  <c r="K17" i="3"/>
  <c r="K29" i="3"/>
  <c r="K35" i="3"/>
  <c r="K47" i="3"/>
  <c r="J6" i="3"/>
  <c r="J12" i="3"/>
  <c r="J18" i="3"/>
  <c r="J24" i="3"/>
  <c r="J30" i="3"/>
  <c r="J36" i="3"/>
  <c r="J42" i="3"/>
  <c r="J54" i="3"/>
  <c r="J60" i="3"/>
  <c r="J66" i="3"/>
  <c r="J72" i="3"/>
  <c r="J78" i="3"/>
  <c r="J84" i="3"/>
  <c r="J90" i="3"/>
  <c r="J96" i="3"/>
  <c r="J102" i="3"/>
  <c r="J108" i="3"/>
  <c r="J114" i="3"/>
  <c r="J120" i="3"/>
  <c r="J126" i="3"/>
  <c r="J132" i="3"/>
  <c r="J138" i="3"/>
  <c r="J144" i="3"/>
  <c r="J150" i="3"/>
  <c r="J8" i="3"/>
  <c r="J26" i="3"/>
  <c r="J44" i="3"/>
  <c r="J38" i="3"/>
  <c r="K14" i="3"/>
  <c r="K32" i="3"/>
  <c r="K60" i="3"/>
  <c r="K72" i="3"/>
  <c r="K90" i="3"/>
  <c r="K108" i="3"/>
  <c r="K144" i="3"/>
  <c r="J7" i="3"/>
  <c r="J19" i="3"/>
  <c r="J31" i="3"/>
  <c r="J37" i="3"/>
  <c r="J49" i="3"/>
  <c r="K7" i="3"/>
  <c r="K13" i="3"/>
  <c r="K19" i="3"/>
  <c r="K25" i="3"/>
  <c r="K31" i="3"/>
  <c r="K37" i="3"/>
  <c r="K43" i="3"/>
  <c r="K50" i="3"/>
  <c r="K62" i="3"/>
  <c r="K80" i="3"/>
  <c r="K98" i="3"/>
  <c r="K128" i="3"/>
  <c r="K56" i="3"/>
  <c r="K68" i="3"/>
  <c r="K74" i="3"/>
  <c r="K86" i="3"/>
  <c r="K92" i="3"/>
  <c r="K104" i="3"/>
  <c r="K110" i="3"/>
  <c r="K116" i="3"/>
  <c r="K122" i="3"/>
  <c r="K134" i="3"/>
  <c r="K140" i="3"/>
  <c r="K146" i="3"/>
  <c r="J53" i="3"/>
  <c r="J59" i="3"/>
  <c r="J65" i="3"/>
  <c r="J9" i="3"/>
  <c r="J15" i="3"/>
  <c r="J21" i="3"/>
  <c r="J27" i="3"/>
  <c r="J33" i="3"/>
  <c r="J39" i="3"/>
  <c r="J45" i="3"/>
  <c r="J51" i="3"/>
  <c r="J57" i="3"/>
  <c r="J63" i="3"/>
  <c r="J69" i="3"/>
  <c r="J75" i="3"/>
  <c r="J81" i="3"/>
  <c r="J87" i="3"/>
  <c r="J93" i="3"/>
  <c r="J99" i="3"/>
  <c r="J105" i="3"/>
  <c r="J111" i="3"/>
  <c r="J117" i="3"/>
  <c r="J123" i="3"/>
  <c r="J129" i="3"/>
  <c r="J135" i="3"/>
  <c r="J141" i="3"/>
  <c r="J147" i="3"/>
  <c r="K54" i="3"/>
  <c r="K78" i="3"/>
  <c r="K96" i="3"/>
  <c r="K114" i="3"/>
  <c r="K126" i="3"/>
  <c r="K132" i="3"/>
  <c r="K138" i="3"/>
  <c r="K66" i="3"/>
  <c r="K84" i="3"/>
  <c r="K102" i="3"/>
  <c r="K120" i="3"/>
  <c r="K150" i="3"/>
  <c r="J13" i="3"/>
  <c r="J25" i="3"/>
  <c r="J43" i="3"/>
  <c r="J55" i="3"/>
  <c r="J61" i="3"/>
  <c r="J67" i="3"/>
  <c r="J73" i="3"/>
  <c r="J79" i="3"/>
  <c r="J85" i="3"/>
  <c r="J91" i="3"/>
  <c r="J97" i="3"/>
  <c r="J103" i="3"/>
  <c r="J109" i="3"/>
  <c r="J115" i="3"/>
  <c r="J121" i="3"/>
  <c r="J127" i="3"/>
  <c r="J133" i="3"/>
  <c r="J139" i="3"/>
  <c r="J145" i="3"/>
  <c r="H48" i="3"/>
  <c r="I48" i="3"/>
  <c r="K3" i="3"/>
  <c r="D26" i="7" l="1"/>
  <c r="F26" i="7" s="1"/>
  <c r="F27" i="7" s="1"/>
  <c r="D26" i="8"/>
  <c r="F26" i="8" s="1"/>
  <c r="F27" i="8" s="1"/>
  <c r="F193" i="3"/>
  <c r="C12" i="5" s="1"/>
  <c r="C14" i="5" s="1"/>
  <c r="K48" i="3"/>
  <c r="K191" i="3" s="1"/>
  <c r="I191" i="3"/>
  <c r="I193" i="3" s="1"/>
  <c r="J48" i="3"/>
  <c r="J191" i="3" s="1"/>
  <c r="H191" i="3"/>
  <c r="H193" i="3" s="1"/>
  <c r="K190" i="3"/>
  <c r="J190" i="3"/>
  <c r="G193" i="3"/>
  <c r="C12" i="6" s="1"/>
  <c r="C14" i="6" s="1"/>
  <c r="F34" i="8" l="1"/>
  <c r="F35" i="8" s="1"/>
  <c r="F38" i="8" s="1"/>
  <c r="D13" i="6" s="1"/>
  <c r="E13" i="6" s="1"/>
  <c r="F34" i="7"/>
  <c r="F35" i="7" s="1"/>
  <c r="F38" i="7" s="1"/>
  <c r="D13" i="5" s="1"/>
  <c r="E13" i="5" s="1"/>
  <c r="K193" i="3"/>
  <c r="D12" i="6" s="1"/>
  <c r="J193" i="3"/>
  <c r="D12" i="5" s="1"/>
  <c r="D14" i="6" l="1"/>
  <c r="E12" i="6"/>
  <c r="E14" i="6" s="1"/>
  <c r="E16" i="6" s="1"/>
  <c r="E17" i="6" s="1"/>
  <c r="E18" i="6" s="1"/>
  <c r="D14" i="5"/>
  <c r="E12" i="5"/>
  <c r="E14" i="5" s="1"/>
  <c r="E16" i="5" s="1"/>
  <c r="E17" i="5" s="1"/>
  <c r="E18" i="5" s="1"/>
</calcChain>
</file>

<file path=xl/sharedStrings.xml><?xml version="1.0" encoding="utf-8"?>
<sst xmlns="http://schemas.openxmlformats.org/spreadsheetml/2006/main" count="954" uniqueCount="335">
  <si>
    <t/>
  </si>
  <si>
    <t>Amount</t>
  </si>
  <si>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</si>
  <si>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</si>
  <si>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</si>
  <si>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</si>
  <si>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</si>
  <si>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</si>
  <si>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</si>
  <si>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</si>
  <si>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</si>
  <si>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</si>
  <si>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</si>
  <si>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</si>
  <si>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</si>
  <si>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</si>
  <si>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</si>
  <si>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</si>
  <si>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</si>
  <si>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45600088</t>
  </si>
  <si>
    <t>1143 - Other Electric Rev -Summit Buyout</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</si>
  <si>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</si>
  <si>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</si>
  <si>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</si>
  <si>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</si>
  <si>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</si>
  <si>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</si>
  <si>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</si>
  <si>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</si>
  <si>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</si>
  <si>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</si>
  <si>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</si>
  <si>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</si>
  <si>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</si>
  <si>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</si>
  <si>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45600108</t>
  </si>
  <si>
    <t>E Decoup Rev Sch 40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</si>
  <si>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</si>
  <si>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</si>
  <si>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</si>
  <si>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</si>
  <si>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</si>
  <si>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</si>
  <si>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</si>
  <si>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</si>
  <si>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</si>
  <si>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</si>
  <si>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</si>
  <si>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</si>
  <si>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</si>
  <si>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</si>
  <si>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</si>
  <si>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</si>
  <si>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</si>
  <si>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</si>
  <si>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</si>
  <si>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</si>
  <si>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</si>
  <si>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</si>
  <si>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45600149</t>
  </si>
  <si>
    <t>E Decoup Amort Sch 142 - Sch 46 &amp; 49 in</t>
  </si>
  <si>
    <t>45600151</t>
  </si>
  <si>
    <t>E FPC Decoup Amort Sch 142 - Sch 46&amp;49</t>
  </si>
  <si>
    <t>45600154</t>
  </si>
  <si>
    <t>24M GAAP - E Non-Res Sch 40</t>
  </si>
  <si>
    <t>45600155</t>
  </si>
  <si>
    <t>AMI Return Deferral - Electric</t>
  </si>
  <si>
    <t>45600156</t>
  </si>
  <si>
    <t>EV Other Revenues Sch 551 deferral</t>
  </si>
  <si>
    <t>45600201</t>
  </si>
  <si>
    <t>EV One time Incentive Credit</t>
  </si>
  <si>
    <t>45600321</t>
  </si>
  <si>
    <t>9900-Electric Residential Decoupling Rev</t>
  </si>
  <si>
    <t>45600325</t>
  </si>
  <si>
    <t>Electric Schedule 26 Decoupling Revenue</t>
  </si>
  <si>
    <t>45600326</t>
  </si>
  <si>
    <t>Electric Schedule 31 Decoupling Revenue</t>
  </si>
  <si>
    <t>45600329</t>
  </si>
  <si>
    <t>9900 - Other Elec Rev - QRE Annual Fees</t>
  </si>
  <si>
    <t>45600332</t>
  </si>
  <si>
    <t>9900 - Electric ROR Refund-Commercial</t>
  </si>
  <si>
    <t>45600335</t>
  </si>
  <si>
    <t>Amort of Sch 142 Electric Sch26 in Rates</t>
  </si>
  <si>
    <t>45600336</t>
  </si>
  <si>
    <t>Amort of Sch 142 Electric Sch31 in Rates</t>
  </si>
  <si>
    <t>45600337</t>
  </si>
  <si>
    <t>9900 - Electric ROR Refund-Industrial</t>
  </si>
  <si>
    <t>45600351</t>
  </si>
  <si>
    <t>9900-Lifetime O&amp;M Revenue - Elec</t>
  </si>
  <si>
    <t>45600361</t>
  </si>
  <si>
    <t>9900-Amort of Sch 142 Elec Resid in rate</t>
  </si>
  <si>
    <t>45600371</t>
  </si>
  <si>
    <t>9900-Amort of Sch 142 Ele NonRes in rate</t>
  </si>
  <si>
    <t>45600381</t>
  </si>
  <si>
    <t>9900 - Electric ROR Refund-Residential</t>
  </si>
  <si>
    <t>45600382</t>
  </si>
  <si>
    <t>3515 - Wireline Non-Rent Revenue</t>
  </si>
  <si>
    <t>45600383</t>
  </si>
  <si>
    <t>3515 - Street Light Non-Reg Revenue</t>
  </si>
  <si>
    <t>Fiscal year/period</t>
  </si>
  <si>
    <t>Doc.number</t>
  </si>
  <si>
    <t>40810002</t>
  </si>
  <si>
    <t>State Excise Taxes</t>
  </si>
  <si>
    <t>100024291</t>
  </si>
  <si>
    <t>9800000104</t>
  </si>
  <si>
    <t>9800000238</t>
  </si>
  <si>
    <t>40810302</t>
  </si>
  <si>
    <t>100016522</t>
  </si>
  <si>
    <t>100022789</t>
  </si>
  <si>
    <t>40810602</t>
  </si>
  <si>
    <t>Excise Taxes</t>
  </si>
  <si>
    <t>100021249</t>
  </si>
  <si>
    <t>100043638</t>
  </si>
  <si>
    <t>9800000335</t>
  </si>
  <si>
    <t>9800000474</t>
  </si>
  <si>
    <t>100039557</t>
  </si>
  <si>
    <t>9800000403</t>
  </si>
  <si>
    <t>100039340</t>
  </si>
  <si>
    <t>100059465</t>
  </si>
  <si>
    <t>100064979</t>
  </si>
  <si>
    <t>9800000589</t>
  </si>
  <si>
    <t>9800000727</t>
  </si>
  <si>
    <t>100063953</t>
  </si>
  <si>
    <t>100059469</t>
  </si>
  <si>
    <t>100086663</t>
  </si>
  <si>
    <t>9800000852</t>
  </si>
  <si>
    <t>9800000989</t>
  </si>
  <si>
    <t>100082213</t>
  </si>
  <si>
    <t>100085459</t>
  </si>
  <si>
    <t>100082215</t>
  </si>
  <si>
    <t>5100023838</t>
  </si>
  <si>
    <t>100110605</t>
  </si>
  <si>
    <t>9800001116</t>
  </si>
  <si>
    <t>9800001237</t>
  </si>
  <si>
    <t>100104714</t>
  </si>
  <si>
    <t>9800001195</t>
  </si>
  <si>
    <t>100104719</t>
  </si>
  <si>
    <t>5100028572</t>
  </si>
  <si>
    <t>100128687</t>
  </si>
  <si>
    <t>100131529</t>
  </si>
  <si>
    <t>9800001350</t>
  </si>
  <si>
    <t>9800001480</t>
  </si>
  <si>
    <t>9800001422</t>
  </si>
  <si>
    <t>100128684</t>
  </si>
  <si>
    <t>100153651</t>
  </si>
  <si>
    <t>100155059</t>
  </si>
  <si>
    <t>9800001590</t>
  </si>
  <si>
    <t>9800001707</t>
  </si>
  <si>
    <t>9800001654</t>
  </si>
  <si>
    <t>100153653</t>
  </si>
  <si>
    <t>5100040341</t>
  </si>
  <si>
    <t>5100040344</t>
  </si>
  <si>
    <t>100172093</t>
  </si>
  <si>
    <t>100177913</t>
  </si>
  <si>
    <t>9800001806</t>
  </si>
  <si>
    <t>9800001923</t>
  </si>
  <si>
    <t>9800001865</t>
  </si>
  <si>
    <t>100193429</t>
  </si>
  <si>
    <t>100198992</t>
  </si>
  <si>
    <t>9800002019</t>
  </si>
  <si>
    <t>9800002162</t>
  </si>
  <si>
    <t>9800002087</t>
  </si>
  <si>
    <t>100198358</t>
  </si>
  <si>
    <t>9800002101</t>
  </si>
  <si>
    <t>100203309</t>
  </si>
  <si>
    <t>100222788</t>
  </si>
  <si>
    <t>1100000937</t>
  </si>
  <si>
    <t>9800002275</t>
  </si>
  <si>
    <t>9800002382</t>
  </si>
  <si>
    <t>9800002322</t>
  </si>
  <si>
    <t>100221453</t>
  </si>
  <si>
    <t>5100058267</t>
  </si>
  <si>
    <t>9800002234</t>
  </si>
  <si>
    <t>100238275</t>
  </si>
  <si>
    <t>100243119</t>
  </si>
  <si>
    <t>9800002486</t>
  </si>
  <si>
    <t>9800002590</t>
  </si>
  <si>
    <t>9800002546</t>
  </si>
  <si>
    <t>100241146</t>
  </si>
  <si>
    <t>5100065464</t>
  </si>
  <si>
    <t>100254024</t>
  </si>
  <si>
    <t>100264837</t>
  </si>
  <si>
    <t>9800002691</t>
  </si>
  <si>
    <t>9800002830</t>
  </si>
  <si>
    <t>9800002772</t>
  </si>
  <si>
    <t>100250733</t>
  </si>
  <si>
    <t>100264693</t>
  </si>
  <si>
    <t>5100071951</t>
  </si>
  <si>
    <t>92800010</t>
  </si>
  <si>
    <t>1180 - WUTC Filing Fees - Electric</t>
  </si>
  <si>
    <t>92800310</t>
  </si>
  <si>
    <t>1180 - WUTC Filing Fees - Gas</t>
  </si>
  <si>
    <t>JAN 2019</t>
  </si>
  <si>
    <t>FEB 2019</t>
  </si>
  <si>
    <t>MAR 2019</t>
  </si>
  <si>
    <t>APR 2019</t>
  </si>
  <si>
    <t>MAY 2019</t>
  </si>
  <si>
    <t>JUN 2019</t>
  </si>
  <si>
    <t>JUL 2019</t>
  </si>
  <si>
    <t>AUG 2019</t>
  </si>
  <si>
    <t>SEP 2019</t>
  </si>
  <si>
    <t>OCT 2019</t>
  </si>
  <si>
    <t>NOV 2019</t>
  </si>
  <si>
    <t>DEC 2019</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</si>
  <si>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</si>
  <si>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</si>
  <si>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</si>
  <si>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</si>
  <si>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</si>
  <si>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</si>
  <si>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</si>
  <si>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</si>
  <si>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</si>
  <si>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</si>
  <si>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</si>
  <si>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</si>
  <si>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</si>
  <si>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K1/001/2019</t>
  </si>
  <si>
    <t>K1/002/2019</t>
  </si>
  <si>
    <t>K1/003/2019</t>
  </si>
  <si>
    <t>K1/004/2019</t>
  </si>
  <si>
    <t>K1/005/2019</t>
  </si>
  <si>
    <t>K1/006/2019</t>
  </si>
  <si>
    <t>K1/007/2019</t>
  </si>
  <si>
    <t>K1/008/2019</t>
  </si>
  <si>
    <t>K1/009/2019</t>
  </si>
  <si>
    <t>K1/010/2019</t>
  </si>
  <si>
    <t>K1/011/2019</t>
  </si>
  <si>
    <t>K1/012/2019</t>
  </si>
  <si>
    <t>Result</t>
  </si>
  <si>
    <t>Overall Result</t>
  </si>
  <si>
    <t>State Excise Tax True-Up - Electric</t>
  </si>
  <si>
    <t>State Excise Tax True-Up - Gas</t>
  </si>
  <si>
    <t>State Excise Tax True-Up - Common</t>
  </si>
  <si>
    <t xml:space="preserve">1.  Remove True-ups related to Dec 2018 (reported in Jan 2019) </t>
  </si>
  <si>
    <t>2.  Add True-ups related to December 2019 (reported in January 2020)</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</si>
  <si>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</si>
  <si>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</si>
  <si>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</si>
  <si>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</si>
  <si>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</si>
  <si>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</si>
  <si>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</si>
  <si>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</si>
  <si>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</si>
  <si>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</si>
  <si>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</si>
  <si>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</si>
  <si>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</si>
  <si>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</si>
  <si>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</si>
  <si>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</si>
  <si>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</si>
  <si>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FOR THE TWELVE MONTHS ENDED DEC 31, 2019</t>
  </si>
  <si>
    <t>DECEMBER 2019 CBR</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</si>
  <si>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</si>
  <si>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</si>
  <si>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</si>
  <si>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</si>
  <si>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</si>
  <si>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</si>
  <si>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</si>
  <si>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</si>
  <si>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</si>
  <si>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</si>
  <si>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</si>
  <si>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</si>
  <si>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</si>
  <si>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</si>
  <si>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</si>
  <si>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</si>
  <si>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</si>
  <si>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</si>
  <si>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</si>
  <si>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</si>
  <si>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</si>
  <si>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</si>
  <si>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</si>
  <si>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</si>
  <si>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</si>
  <si>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</si>
  <si>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</si>
  <si>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</si>
  <si>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</si>
  <si>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</si>
  <si>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</si>
  <si>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</si>
  <si>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</si>
  <si>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</si>
  <si>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</si>
  <si>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</si>
  <si>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</si>
  <si>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</si>
  <si>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</si>
  <si>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</si>
  <si>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</si>
  <si>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</si>
  <si>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</si>
  <si>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</si>
  <si>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</si>
  <si>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</si>
  <si>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</si>
  <si>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</si>
  <si>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</si>
  <si>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</si>
  <si>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</si>
  <si>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</si>
  <si>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</si>
  <si>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</si>
  <si>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</si>
  <si>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</si>
  <si>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</si>
  <si>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</si>
  <si>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</si>
  <si>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</si>
  <si>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</si>
  <si>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</si>
  <si>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</si>
  <si>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</si>
  <si>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</si>
  <si>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</si>
  <si>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</si>
  <si>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</si>
  <si>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</si>
  <si>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 xml:space="preserve">          Order group 456</t>
  </si>
  <si>
    <t xml:space="preserve">               Grand Total Other Operation Revenue on Line 2 Above</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</si>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</sst>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0.00;\-#,##0.00;#,##0.00"/>
    <numFmt numFmtId="166" formatCode="_(* #,##0_);_(* \(#,##0\);_(* &quot;-&quot;??_);_(@_)"/>
    <numFmt numFmtId="167" formatCode="_(* #,##0.000_);_(* \(#,##0.000\);_(* &quot;-&quot;??_);_(@_)"/>
    <numFmt numFmtId="168" formatCode="_(&quot;$&quot;* #,##0_);_(&quot;$&quot;* \(#,##0\);_(&quot;$&quot;* &quot;-&quot;??_);_(@_)"/>
    <numFmt numFmtId="169" formatCode="#,##0_);[Red]\(#,##0\);&quot; &quot;"/>
  </numFmts>
  <fonts count="30" x14ac:knownFonts="1">
    <font>
      <sz val="9"/>
      <color theme="1"/>
      <name val="Times New Roman"/>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s>
  <fills count="21">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theme="3" tint="0.59996337778862885"/>
      </left>
      <right style="thin">
        <color theme="3" tint="-0.24994659260841701"/>
      </right>
      <top style="thin">
        <color theme="3" tint="0.59996337778862885"/>
      </top>
      <bottom style="thin">
        <color theme="3" tint="-0.2499465926084170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rgb="FF808080"/>
      </left>
      <right style="thin">
        <color rgb="FF808080"/>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
      <left style="thin">
        <color rgb="FF808080"/>
      </left>
      <right style="thin">
        <color theme="3" tint="-0.24994659260841701"/>
      </right>
      <top style="thin">
        <color rgb="FF808080"/>
      </top>
      <bottom style="thin">
        <color theme="3" tint="-0.24994659260841701"/>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9">
    <xf numFmtId="0" fontId="0" fillId="0" borderId="0"/>
    <xf numFmtId="43" fontId="1" fillId="0" borderId="0" applyFont="0" applyFill="0" applyBorder="0" applyAlignment="0" applyProtection="0"/>
    <xf numFmtId="0" fontId="2" fillId="2" borderId="1" applyNumberFormat="0" applyAlignment="0" applyProtection="0">
      <alignment horizontal="left" vertical="center" indent="1"/>
    </xf>
    <xf numFmtId="164" fontId="3" fillId="0" borderId="2" applyNumberFormat="0" applyProtection="0">
      <alignment horizontal="right" vertical="center"/>
    </xf>
    <xf numFmtId="164" fontId="2" fillId="0" borderId="3" applyNumberFormat="0" applyProtection="0">
      <alignment horizontal="right" vertical="center"/>
    </xf>
    <xf numFmtId="164" fontId="3" fillId="3" borderId="1" applyNumberFormat="0" applyAlignment="0" applyProtection="0">
      <alignment horizontal="left" vertical="center" indent="1"/>
    </xf>
    <xf numFmtId="0" fontId="4" fillId="4" borderId="3" applyNumberFormat="0" applyAlignment="0">
      <alignment horizontal="left" vertical="center" indent="1"/>
      <protection locked="0"/>
    </xf>
    <xf numFmtId="0" fontId="4" fillId="5" borderId="3" applyNumberFormat="0" applyAlignment="0" applyProtection="0">
      <alignment horizontal="left" vertical="center" indent="1"/>
    </xf>
    <xf numFmtId="164" fontId="3" fillId="6" borderId="2" applyNumberFormat="0" applyBorder="0">
      <alignment horizontal="right" vertical="center"/>
      <protection locked="0"/>
    </xf>
    <xf numFmtId="0" fontId="4" fillId="4" borderId="3" applyNumberFormat="0" applyAlignment="0">
      <alignment horizontal="left" vertical="center" indent="1"/>
      <protection locked="0"/>
    </xf>
    <xf numFmtId="164" fontId="2" fillId="5" borderId="3" applyNumberFormat="0" applyProtection="0">
      <alignment horizontal="right" vertical="center"/>
    </xf>
    <xf numFmtId="164" fontId="2" fillId="6" borderId="3" applyNumberFormat="0" applyBorder="0">
      <alignment horizontal="right" vertical="center"/>
      <protection locked="0"/>
    </xf>
    <xf numFmtId="164" fontId="5" fillId="7" borderId="4" applyNumberFormat="0" applyBorder="0" applyAlignment="0" applyProtection="0">
      <alignment horizontal="right" vertical="center" indent="1"/>
    </xf>
    <xf numFmtId="164" fontId="6" fillId="8" borderId="4" applyNumberFormat="0" applyBorder="0" applyAlignment="0" applyProtection="0">
      <alignment horizontal="right" vertical="center" indent="1"/>
    </xf>
    <xf numFmtId="164" fontId="6" fillId="9" borderId="4" applyNumberFormat="0" applyBorder="0" applyAlignment="0" applyProtection="0">
      <alignment horizontal="right" vertical="center" indent="1"/>
    </xf>
    <xf numFmtId="164" fontId="7" fillId="10" borderId="4" applyNumberFormat="0" applyBorder="0" applyAlignment="0" applyProtection="0">
      <alignment horizontal="right" vertical="center" indent="1"/>
    </xf>
    <xf numFmtId="164" fontId="7" fillId="11" borderId="4" applyNumberFormat="0" applyBorder="0" applyAlignment="0" applyProtection="0">
      <alignment horizontal="right" vertical="center" indent="1"/>
    </xf>
    <xf numFmtId="164" fontId="7" fillId="12" borderId="4" applyNumberFormat="0" applyBorder="0" applyAlignment="0" applyProtection="0">
      <alignment horizontal="right" vertical="center" indent="1"/>
    </xf>
    <xf numFmtId="164" fontId="8" fillId="13" borderId="4" applyNumberFormat="0" applyBorder="0" applyAlignment="0" applyProtection="0">
      <alignment horizontal="right" vertical="center" indent="1"/>
    </xf>
    <xf numFmtId="164" fontId="8" fillId="14" borderId="4" applyNumberFormat="0" applyBorder="0" applyAlignment="0" applyProtection="0">
      <alignment horizontal="right" vertical="center" indent="1"/>
    </xf>
    <xf numFmtId="164" fontId="8" fillId="15" borderId="4" applyNumberFormat="0" applyBorder="0" applyAlignment="0" applyProtection="0">
      <alignment horizontal="right" vertical="center" indent="1"/>
    </xf>
    <xf numFmtId="0" fontId="10" fillId="0" borderId="1" applyNumberFormat="0" applyFont="0" applyFill="0" applyAlignment="0" applyProtection="0"/>
    <xf numFmtId="164" fontId="11" fillId="3" borderId="0" applyNumberFormat="0" applyAlignment="0" applyProtection="0">
      <alignment horizontal="left" vertical="center" indent="1"/>
    </xf>
    <xf numFmtId="0" fontId="10" fillId="0" borderId="5" applyNumberFormat="0" applyFont="0" applyFill="0" applyAlignment="0" applyProtection="0"/>
    <xf numFmtId="164" fontId="3" fillId="0" borderId="2" applyNumberFormat="0" applyFill="0" applyBorder="0" applyAlignment="0" applyProtection="0">
      <alignment horizontal="right" vertical="center"/>
    </xf>
    <xf numFmtId="164" fontId="3" fillId="3" borderId="1" applyNumberFormat="0" applyAlignment="0" applyProtection="0">
      <alignment horizontal="left" vertical="center" indent="1"/>
    </xf>
    <xf numFmtId="0" fontId="2" fillId="2" borderId="3" applyNumberFormat="0" applyAlignment="0" applyProtection="0">
      <alignment horizontal="left" vertical="center" indent="1"/>
    </xf>
    <xf numFmtId="0" fontId="4" fillId="16" borderId="1" applyNumberFormat="0" applyAlignment="0" applyProtection="0">
      <alignment horizontal="left" vertical="center" indent="1"/>
    </xf>
    <xf numFmtId="0" fontId="4" fillId="17" borderId="1" applyNumberFormat="0" applyAlignment="0" applyProtection="0">
      <alignment horizontal="left" vertical="center" indent="1"/>
    </xf>
    <xf numFmtId="0" fontId="4" fillId="18" borderId="1" applyNumberFormat="0" applyAlignment="0" applyProtection="0">
      <alignment horizontal="left" vertical="center" indent="1"/>
    </xf>
    <xf numFmtId="0" fontId="4" fillId="6" borderId="1" applyNumberFormat="0" applyAlignment="0" applyProtection="0">
      <alignment horizontal="left" vertical="center" indent="1"/>
    </xf>
    <xf numFmtId="0" fontId="4" fillId="5" borderId="3" applyNumberFormat="0" applyAlignment="0" applyProtection="0">
      <alignment horizontal="left" vertical="center" indent="1"/>
    </xf>
    <xf numFmtId="0" fontId="12" fillId="0" borderId="6" applyNumberFormat="0" applyFill="0" applyBorder="0" applyAlignment="0" applyProtection="0"/>
    <xf numFmtId="0" fontId="13" fillId="0" borderId="6" applyNumberFormat="0" applyBorder="0" applyAlignment="0" applyProtection="0"/>
    <xf numFmtId="0" fontId="12" fillId="4" borderId="3" applyNumberFormat="0" applyAlignment="0">
      <alignment horizontal="left" vertical="center" indent="1"/>
      <protection locked="0"/>
    </xf>
    <xf numFmtId="0" fontId="12" fillId="4" borderId="3" applyNumberFormat="0" applyAlignment="0">
      <alignment horizontal="left" vertical="center" indent="1"/>
      <protection locked="0"/>
    </xf>
    <xf numFmtId="0" fontId="12" fillId="5" borderId="3" applyNumberFormat="0" applyAlignment="0" applyProtection="0">
      <alignment horizontal="left" vertical="center" indent="1"/>
    </xf>
    <xf numFmtId="164" fontId="14" fillId="5" borderId="3" applyNumberFormat="0" applyProtection="0">
      <alignment horizontal="right" vertical="center"/>
    </xf>
    <xf numFmtId="164" fontId="15" fillId="6" borderId="2" applyNumberFormat="0" applyBorder="0">
      <alignment horizontal="right" vertical="center"/>
      <protection locked="0"/>
    </xf>
    <xf numFmtId="164" fontId="14" fillId="6" borderId="3" applyNumberFormat="0" applyBorder="0">
      <alignment horizontal="right" vertical="center"/>
      <protection locked="0"/>
    </xf>
    <xf numFmtId="164" fontId="3" fillId="0" borderId="2" applyNumberFormat="0" applyFill="0" applyBorder="0" applyAlignment="0" applyProtection="0">
      <alignment horizontal="right" vertical="center"/>
    </xf>
    <xf numFmtId="0" fontId="16" fillId="0" borderId="0"/>
    <xf numFmtId="43" fontId="16" fillId="0" borderId="0" applyFont="0" applyFill="0" applyBorder="0" applyAlignment="0" applyProtection="0"/>
    <xf numFmtId="0" fontId="16" fillId="0" borderId="0"/>
    <xf numFmtId="43" fontId="18" fillId="0" borderId="0" applyFont="0" applyFill="0" applyBorder="0" applyAlignment="0" applyProtection="0"/>
    <xf numFmtId="0" fontId="18" fillId="0" borderId="0"/>
    <xf numFmtId="44" fontId="18" fillId="0" borderId="0" applyFont="0" applyFill="0" applyBorder="0" applyAlignment="0" applyProtection="0"/>
    <xf numFmtId="0" fontId="16" fillId="0" borderId="0"/>
    <xf numFmtId="0" fontId="21" fillId="0" borderId="0"/>
  </cellStyleXfs>
  <cellXfs count="126">
    <xf numFmtId="0" fontId="0" fillId="0" borderId="0" xfId="0"/>
    <xf numFmtId="0" fontId="3" fillId="3" borderId="1" xfId="25" applyNumberFormat="1" applyAlignment="1"/>
    <xf numFmtId="0" fontId="2" fillId="2" borderId="1" xfId="2" applyNumberFormat="1" applyBorder="1" applyAlignment="1"/>
    <xf numFmtId="0" fontId="3" fillId="3" borderId="1" xfId="25" applyNumberFormat="1" applyBorder="1" applyAlignment="1"/>
    <xf numFmtId="165" fontId="3" fillId="0" borderId="7" xfId="3" applyNumberFormat="1" applyBorder="1">
      <alignment horizontal="right" vertical="center"/>
    </xf>
    <xf numFmtId="165" fontId="3" fillId="0" borderId="8" xfId="3" applyNumberFormat="1" applyBorder="1">
      <alignment horizontal="right" vertical="center"/>
    </xf>
    <xf numFmtId="0" fontId="2" fillId="2" borderId="1" xfId="2" quotePrefix="1" applyNumberFormat="1" applyBorder="1" applyAlignment="1"/>
    <xf numFmtId="0" fontId="3" fillId="3" borderId="1" xfId="25" quotePrefix="1" applyNumberFormat="1" applyBorder="1" applyAlignment="1"/>
    <xf numFmtId="0" fontId="3" fillId="3" borderId="1" xfId="25" quotePrefix="1" applyNumberFormat="1" applyBorder="1" applyAlignment="1">
      <alignment horizontal="right"/>
    </xf>
    <xf numFmtId="0" fontId="3" fillId="3" borderId="1" xfId="25" quotePrefix="1" applyNumberFormat="1" applyAlignment="1"/>
    <xf numFmtId="0" fontId="17" fillId="0" borderId="0" xfId="0" applyFont="1"/>
    <xf numFmtId="43" fontId="9" fillId="0" borderId="11" xfId="1" applyFont="1" applyBorder="1"/>
    <xf numFmtId="43" fontId="9" fillId="0" borderId="12" xfId="1" applyFont="1" applyBorder="1"/>
    <xf numFmtId="0" fontId="9" fillId="0" borderId="14" xfId="0" applyFont="1" applyBorder="1" applyAlignment="1">
      <alignment horizontal="center"/>
    </xf>
    <xf numFmtId="10" fontId="17" fillId="19" borderId="0" xfId="0" applyNumberFormat="1" applyFont="1" applyFill="1"/>
    <xf numFmtId="0" fontId="17" fillId="0" borderId="14"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3" xfId="0" applyFont="1" applyFill="1" applyBorder="1" applyAlignment="1">
      <alignment horizontal="center"/>
    </xf>
    <xf numFmtId="0" fontId="9" fillId="0" borderId="0" xfId="0" applyFont="1"/>
    <xf numFmtId="43" fontId="9" fillId="0" borderId="0" xfId="1" applyFont="1"/>
    <xf numFmtId="0" fontId="9" fillId="0" borderId="18" xfId="0" applyFont="1" applyBorder="1"/>
    <xf numFmtId="0" fontId="9" fillId="0" borderId="19" xfId="0" applyFont="1" applyBorder="1"/>
    <xf numFmtId="0" fontId="9" fillId="0" borderId="20" xfId="0" applyFont="1" applyBorder="1"/>
    <xf numFmtId="0" fontId="9" fillId="0" borderId="11" xfId="0" applyFont="1" applyBorder="1"/>
    <xf numFmtId="43" fontId="9" fillId="0" borderId="16" xfId="1" applyFont="1" applyBorder="1"/>
    <xf numFmtId="43" fontId="9" fillId="0" borderId="21" xfId="1" applyFont="1" applyBorder="1"/>
    <xf numFmtId="43" fontId="9" fillId="0" borderId="22" xfId="1" applyFont="1" applyBorder="1"/>
    <xf numFmtId="0" fontId="9" fillId="0" borderId="12" xfId="0" applyFont="1" applyBorder="1"/>
    <xf numFmtId="43" fontId="9" fillId="0" borderId="23" xfId="1" applyFont="1" applyBorder="1"/>
    <xf numFmtId="43" fontId="9" fillId="0" borderId="24" xfId="1" applyFont="1" applyBorder="1"/>
    <xf numFmtId="43" fontId="9" fillId="0" borderId="25" xfId="1" applyFont="1" applyBorder="1"/>
    <xf numFmtId="0" fontId="9" fillId="0" borderId="14" xfId="0" applyFont="1" applyBorder="1"/>
    <xf numFmtId="0" fontId="2" fillId="2" borderId="26" xfId="26" applyNumberFormat="1" applyBorder="1" applyAlignment="1"/>
    <xf numFmtId="165" fontId="2" fillId="0" borderId="28" xfId="4" applyNumberFormat="1" applyBorder="1">
      <alignment horizontal="right" vertical="center"/>
    </xf>
    <xf numFmtId="165" fontId="2" fillId="0" borderId="29" xfId="4" applyNumberFormat="1" applyBorder="1">
      <alignment horizontal="right" vertical="center"/>
    </xf>
    <xf numFmtId="0" fontId="2" fillId="2" borderId="29" xfId="26" applyNumberFormat="1" applyBorder="1" applyAlignment="1"/>
    <xf numFmtId="0" fontId="2" fillId="2" borderId="28" xfId="26" quotePrefix="1" applyNumberFormat="1" applyBorder="1" applyAlignment="1"/>
    <xf numFmtId="0" fontId="2" fillId="2" borderId="27" xfId="26" quotePrefix="1" applyNumberFormat="1" applyBorder="1" applyAlignment="1"/>
    <xf numFmtId="0" fontId="2" fillId="2" borderId="26" xfId="26" quotePrefix="1" applyNumberFormat="1" applyBorder="1" applyAlignment="1"/>
    <xf numFmtId="17" fontId="9" fillId="0" borderId="0" xfId="0" applyNumberFormat="1" applyFont="1"/>
    <xf numFmtId="3" fontId="19" fillId="0" borderId="0" xfId="44" applyNumberFormat="1" applyFont="1" applyFill="1" applyBorder="1" applyAlignment="1"/>
    <xf numFmtId="41" fontId="19" fillId="0" borderId="0" xfId="45" applyNumberFormat="1" applyFont="1" applyFill="1" applyBorder="1"/>
    <xf numFmtId="0" fontId="19" fillId="0" borderId="0" xfId="45" applyFont="1" applyFill="1" applyBorder="1" applyAlignment="1"/>
    <xf numFmtId="0" fontId="20" fillId="0" borderId="30" xfId="45" applyFont="1" applyFill="1" applyBorder="1" applyAlignment="1">
      <alignment horizontal="right"/>
    </xf>
    <xf numFmtId="0" fontId="21" fillId="0" borderId="0" xfId="45" applyFont="1" applyFill="1" applyBorder="1"/>
    <xf numFmtId="0" fontId="18" fillId="0" borderId="0" xfId="45"/>
    <xf numFmtId="3" fontId="20" fillId="0" borderId="0" xfId="44" applyNumberFormat="1" applyFont="1" applyFill="1" applyBorder="1" applyAlignment="1">
      <alignment horizontal="centerContinuous"/>
    </xf>
    <xf numFmtId="3" fontId="19" fillId="0" borderId="0" xfId="44" applyNumberFormat="1" applyFont="1" applyFill="1" applyBorder="1" applyAlignment="1">
      <alignment horizontal="centerContinuous"/>
    </xf>
    <xf numFmtId="41" fontId="19" fillId="0" borderId="0" xfId="45" applyNumberFormat="1" applyFont="1" applyFill="1" applyBorder="1" applyAlignment="1">
      <alignment horizontal="centerContinuous"/>
    </xf>
    <xf numFmtId="0" fontId="19" fillId="0" borderId="0" xfId="45" applyFont="1" applyFill="1" applyBorder="1" applyAlignment="1">
      <alignment horizontal="centerContinuous"/>
    </xf>
    <xf numFmtId="0" fontId="20" fillId="0" borderId="0" xfId="45" applyFont="1" applyFill="1" applyBorder="1" applyAlignment="1">
      <alignment horizontal="centerContinuous"/>
    </xf>
    <xf numFmtId="0" fontId="22" fillId="0" borderId="0" xfId="45" applyFont="1" applyFill="1" applyBorder="1" applyAlignment="1">
      <alignment horizontal="centerContinuous"/>
    </xf>
    <xf numFmtId="0" fontId="18" fillId="0" borderId="0" xfId="45" applyAlignment="1">
      <alignment horizontal="centerContinuous"/>
    </xf>
    <xf numFmtId="42" fontId="19"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0" fillId="0" borderId="0" xfId="45" applyFont="1" applyFill="1" applyBorder="1" applyAlignment="1">
      <alignment horizontal="centerContinuous" vertical="center" wrapText="1"/>
    </xf>
    <xf numFmtId="42" fontId="19" fillId="0" borderId="0" xfId="45" applyNumberFormat="1" applyFont="1" applyFill="1" applyBorder="1"/>
    <xf numFmtId="0" fontId="20" fillId="0" borderId="0" xfId="45" applyFont="1" applyFill="1" applyBorder="1" applyAlignment="1"/>
    <xf numFmtId="0" fontId="20" fillId="0" borderId="0" xfId="45" applyFont="1" applyFill="1" applyBorder="1" applyAlignment="1" applyProtection="1">
      <protection locked="0"/>
    </xf>
    <xf numFmtId="0" fontId="22" fillId="0" borderId="0" xfId="45" applyFont="1" applyFill="1" applyBorder="1"/>
    <xf numFmtId="0" fontId="20" fillId="0" borderId="0" xfId="45" applyFont="1" applyFill="1" applyBorder="1" applyAlignment="1">
      <alignment horizontal="center"/>
    </xf>
    <xf numFmtId="41" fontId="20" fillId="0" borderId="0" xfId="45" applyNumberFormat="1" applyFont="1" applyFill="1" applyBorder="1" applyAlignment="1">
      <alignment horizontal="center"/>
    </xf>
    <xf numFmtId="0" fontId="20" fillId="0" borderId="17" xfId="45" applyFont="1" applyFill="1" applyBorder="1" applyAlignment="1">
      <alignment horizontal="center"/>
    </xf>
    <xf numFmtId="0" fontId="20" fillId="0" borderId="17" xfId="45" applyFont="1" applyFill="1" applyBorder="1" applyAlignment="1" applyProtection="1">
      <protection locked="0"/>
    </xf>
    <xf numFmtId="41" fontId="20" fillId="0" borderId="17" xfId="45" applyNumberFormat="1" applyFont="1" applyFill="1" applyBorder="1" applyAlignment="1">
      <alignment horizontal="center"/>
    </xf>
    <xf numFmtId="0" fontId="19" fillId="0" borderId="0" xfId="45" applyFont="1" applyFill="1" applyBorder="1"/>
    <xf numFmtId="0" fontId="19" fillId="0" borderId="0" xfId="45" applyFont="1" applyFill="1" applyBorder="1" applyAlignment="1">
      <alignment horizontal="center"/>
    </xf>
    <xf numFmtId="0" fontId="19" fillId="0" borderId="0" xfId="46" applyNumberFormat="1" applyFont="1" applyFill="1" applyBorder="1" applyAlignment="1" applyProtection="1">
      <protection locked="0"/>
    </xf>
    <xf numFmtId="166" fontId="19" fillId="0" borderId="0" xfId="45" applyNumberFormat="1" applyFont="1" applyFill="1" applyBorder="1"/>
    <xf numFmtId="0" fontId="19" fillId="0" borderId="0" xfId="45" applyNumberFormat="1" applyFont="1" applyFill="1" applyBorder="1" applyAlignment="1" applyProtection="1">
      <protection locked="0"/>
    </xf>
    <xf numFmtId="41" fontId="19" fillId="0" borderId="17" xfId="45" applyNumberFormat="1" applyFont="1" applyFill="1" applyBorder="1"/>
    <xf numFmtId="166" fontId="19" fillId="0" borderId="17" xfId="45" applyNumberFormat="1" applyFont="1" applyFill="1" applyBorder="1"/>
    <xf numFmtId="41" fontId="19" fillId="0" borderId="0" xfId="46" applyNumberFormat="1" applyFont="1" applyFill="1" applyBorder="1" applyProtection="1">
      <protection locked="0"/>
    </xf>
    <xf numFmtId="166" fontId="22" fillId="0" borderId="0" xfId="45" applyNumberFormat="1" applyFont="1" applyFill="1" applyBorder="1"/>
    <xf numFmtId="0" fontId="19" fillId="0" borderId="0" xfId="45" applyFont="1" applyFill="1" applyBorder="1" applyAlignment="1">
      <alignment horizontal="left"/>
    </xf>
    <xf numFmtId="41" fontId="19" fillId="0" borderId="0" xfId="45" applyNumberFormat="1" applyFont="1" applyFill="1" applyBorder="1" applyAlignment="1"/>
    <xf numFmtId="9" fontId="19" fillId="0" borderId="0" xfId="45" applyNumberFormat="1" applyFont="1" applyFill="1" applyBorder="1" applyAlignment="1">
      <alignment horizontal="center"/>
    </xf>
    <xf numFmtId="41" fontId="19" fillId="0" borderId="0" xfId="45" applyNumberFormat="1" applyFont="1" applyFill="1" applyBorder="1" applyAlignment="1" applyProtection="1">
      <protection locked="0"/>
    </xf>
    <xf numFmtId="42" fontId="19" fillId="0" borderId="31" xfId="45" applyNumberFormat="1" applyFont="1" applyFill="1" applyBorder="1" applyAlignment="1"/>
    <xf numFmtId="0" fontId="18" fillId="0" borderId="0" xfId="45" applyFill="1"/>
    <xf numFmtId="166" fontId="19" fillId="0" borderId="0" xfId="44" applyNumberFormat="1" applyFont="1" applyFill="1" applyBorder="1"/>
    <xf numFmtId="167" fontId="0" fillId="0" borderId="0" xfId="44" applyNumberFormat="1" applyFont="1" applyFill="1"/>
    <xf numFmtId="166" fontId="19" fillId="0" borderId="17" xfId="44" applyNumberFormat="1" applyFont="1" applyFill="1" applyBorder="1"/>
    <xf numFmtId="166" fontId="19" fillId="0" borderId="0" xfId="44" applyNumberFormat="1" applyFont="1" applyFill="1" applyBorder="1" applyProtection="1">
      <protection locked="0"/>
    </xf>
    <xf numFmtId="166" fontId="22" fillId="0" borderId="0" xfId="44" applyNumberFormat="1" applyFont="1" applyFill="1" applyBorder="1"/>
    <xf numFmtId="167" fontId="0" fillId="0" borderId="0" xfId="44" applyNumberFormat="1" applyFont="1"/>
    <xf numFmtId="166" fontId="19" fillId="0" borderId="0" xfId="44" applyNumberFormat="1" applyFont="1" applyFill="1" applyBorder="1" applyAlignment="1"/>
    <xf numFmtId="166" fontId="19" fillId="0" borderId="0" xfId="44" applyNumberFormat="1" applyFont="1" applyFill="1" applyBorder="1" applyAlignment="1" applyProtection="1">
      <protection locked="0"/>
    </xf>
    <xf numFmtId="166" fontId="19" fillId="0" borderId="31" xfId="44" applyNumberFormat="1" applyFont="1" applyFill="1" applyBorder="1" applyAlignment="1"/>
    <xf numFmtId="167" fontId="19" fillId="0" borderId="0" xfId="44" applyNumberFormat="1" applyFont="1" applyFill="1" applyBorder="1"/>
    <xf numFmtId="167" fontId="22" fillId="0" borderId="0" xfId="44" applyNumberFormat="1" applyFont="1" applyFill="1" applyBorder="1"/>
    <xf numFmtId="0" fontId="23" fillId="20" borderId="0" xfId="41" applyFont="1" applyFill="1" applyAlignment="1">
      <alignment vertical="top"/>
    </xf>
    <xf numFmtId="0" fontId="17" fillId="20" borderId="0" xfId="0" applyFont="1" applyFill="1"/>
    <xf numFmtId="0" fontId="24" fillId="0" borderId="0" xfId="45" applyFont="1" applyFill="1" applyAlignment="1">
      <alignment horizontal="centerContinuous"/>
    </xf>
    <xf numFmtId="0" fontId="18" fillId="0" borderId="0" xfId="45" applyFill="1" applyAlignment="1">
      <alignment horizontal="centerContinuous"/>
    </xf>
    <xf numFmtId="0" fontId="18" fillId="0" borderId="0" xfId="45" applyFill="1" applyAlignment="1"/>
    <xf numFmtId="0" fontId="18" fillId="0" borderId="0" xfId="45" applyFill="1" applyAlignment="1">
      <alignment horizontal="left"/>
    </xf>
    <xf numFmtId="0" fontId="18" fillId="0" borderId="0" xfId="45" applyFill="1" applyAlignment="1">
      <alignment horizontal="center"/>
    </xf>
    <xf numFmtId="0" fontId="25" fillId="0" borderId="0" xfId="47" applyFont="1" applyFill="1" applyAlignment="1">
      <alignment horizontal="right"/>
    </xf>
    <xf numFmtId="42" fontId="25" fillId="0" borderId="15" xfId="47" applyNumberFormat="1" applyFont="1" applyFill="1" applyBorder="1" applyProtection="1">
      <protection locked="0"/>
    </xf>
    <xf numFmtId="0" fontId="25" fillId="0" borderId="15" xfId="47" applyFont="1" applyFill="1" applyBorder="1" applyAlignment="1" applyProtection="1">
      <alignment horizontal="center"/>
      <protection locked="0"/>
    </xf>
    <xf numFmtId="0" fontId="24" fillId="0" borderId="0" xfId="45" applyFont="1" applyFill="1"/>
    <xf numFmtId="168" fontId="25" fillId="0" borderId="32" xfId="47" applyNumberFormat="1" applyFont="1" applyFill="1" applyBorder="1"/>
    <xf numFmtId="168" fontId="25" fillId="0" borderId="13" xfId="47" applyNumberFormat="1" applyFont="1" applyFill="1" applyBorder="1"/>
    <xf numFmtId="0" fontId="25" fillId="0" borderId="16" xfId="47" applyFont="1" applyFill="1" applyBorder="1"/>
    <xf numFmtId="0" fontId="18" fillId="0" borderId="0" xfId="45" applyFill="1" applyAlignment="1">
      <alignment horizontal="right"/>
    </xf>
    <xf numFmtId="168" fontId="25" fillId="0" borderId="15" xfId="47" applyNumberFormat="1" applyFont="1" applyFill="1" applyBorder="1" applyAlignment="1">
      <alignment horizontal="center"/>
    </xf>
    <xf numFmtId="168" fontId="25" fillId="0" borderId="15" xfId="47" applyNumberFormat="1" applyFont="1" applyFill="1" applyBorder="1"/>
    <xf numFmtId="44" fontId="25" fillId="0" borderId="15" xfId="47" applyNumberFormat="1" applyFont="1" applyFill="1" applyBorder="1"/>
    <xf numFmtId="0" fontId="28" fillId="0" borderId="15" xfId="47" applyFont="1" applyFill="1" applyBorder="1" applyAlignment="1">
      <alignment horizontal="center"/>
    </xf>
    <xf numFmtId="0" fontId="29" fillId="0" borderId="15" xfId="47" applyFont="1" applyFill="1" applyBorder="1" applyAlignment="1">
      <alignment horizontal="center"/>
    </xf>
    <xf numFmtId="44" fontId="25" fillId="0" borderId="15" xfId="47" applyNumberFormat="1" applyFont="1" applyFill="1" applyBorder="1" applyProtection="1">
      <protection locked="0"/>
    </xf>
    <xf numFmtId="1" fontId="25" fillId="0" borderId="15" xfId="47" applyNumberFormat="1" applyFont="1" applyFill="1" applyBorder="1" applyProtection="1">
      <protection locked="0"/>
    </xf>
    <xf numFmtId="43" fontId="0" fillId="0" borderId="0" xfId="44" applyFont="1" applyFill="1"/>
    <xf numFmtId="0" fontId="18" fillId="0" borderId="0" xfId="45" applyFill="1" applyAlignment="1">
      <alignment wrapText="1"/>
    </xf>
    <xf numFmtId="43" fontId="24" fillId="0" borderId="0" xfId="44" applyFont="1" applyFill="1"/>
    <xf numFmtId="169" fontId="25" fillId="0" borderId="0" xfId="48" applyNumberFormat="1" applyFont="1" applyFill="1" applyAlignment="1">
      <alignment horizontal="left"/>
    </xf>
    <xf numFmtId="166" fontId="9" fillId="0" borderId="0" xfId="44" applyNumberFormat="1" applyFont="1" applyFill="1" applyAlignment="1">
      <alignment horizontal="right"/>
    </xf>
    <xf numFmtId="166" fontId="18" fillId="0" borderId="31" xfId="45" applyNumberFormat="1" applyFill="1" applyBorder="1"/>
    <xf numFmtId="0" fontId="18" fillId="0" borderId="0" xfId="45" applyFill="1" applyBorder="1"/>
    <xf numFmtId="166" fontId="9" fillId="19" borderId="0" xfId="44" applyNumberFormat="1" applyFont="1" applyFill="1" applyAlignment="1">
      <alignment horizontal="right"/>
    </xf>
    <xf numFmtId="42" fontId="25" fillId="19" borderId="15" xfId="47" applyNumberFormat="1" applyFont="1" applyFill="1" applyBorder="1" applyProtection="1">
      <protection locked="0"/>
    </xf>
    <xf numFmtId="43" fontId="9" fillId="19" borderId="0" xfId="1" applyFont="1" applyFill="1"/>
    <xf numFmtId="0" fontId="17" fillId="0" borderId="11" xfId="0" applyFont="1" applyFill="1" applyBorder="1" applyAlignment="1">
      <alignment horizontal="center"/>
    </xf>
    <xf numFmtId="0" fontId="17" fillId="0" borderId="12" xfId="0" applyFont="1" applyFill="1" applyBorder="1" applyAlignment="1">
      <alignment horizontal="center"/>
    </xf>
  </cellXfs>
  <cellStyles count="49">
    <cellStyle name="Comma" xfId="1" builtinId="3"/>
    <cellStyle name="Comma 2" xfId="42"/>
    <cellStyle name="Comma 3" xfId="44"/>
    <cellStyle name="Currency 2" xfId="46"/>
    <cellStyle name="Normal" xfId="0" builtinId="0"/>
    <cellStyle name="Normal 2" xfId="41"/>
    <cellStyle name="Normal 2 2" xfId="47"/>
    <cellStyle name="Normal 3" xfId="45"/>
    <cellStyle name="Normal 48" xfId="43"/>
    <cellStyle name="Normal_Detail" xfId="48"/>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201</xdr:row>
      <xdr:rowOff>0</xdr:rowOff>
    </xdr:from>
    <xdr:to>
      <xdr:col>7</xdr:col>
      <xdr:colOff>220981</xdr:colOff>
      <xdr:row>214</xdr:row>
      <xdr:rowOff>142982</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29207460"/>
          <a:ext cx="6545580" cy="20251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pRevnu/PUBLIC/%23%20Commission%20Basis%20Report/Dec_31_19/Workpapers%20-%20Dirty%20Dec%202019%20CBR/2.05%20Allocation%20Method%20CBR%20De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23%20Commission%20Basis%20Report/Dec_31_19/Workpapers%20-%20Dirty%20Dec%202019%20CBR/2.01%20Income%20Statement%20Dec%202019%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Allocations"/>
      <sheetName val="E &amp; G RB"/>
      <sheetName val="2017 GRC WC Det Format"/>
      <sheetName val="2019 March IS "/>
      <sheetName val="SAP DL Downld"/>
      <sheetName val="Meter count Updated"/>
      <sheetName val="Electric"/>
      <sheetName val="Gas"/>
      <sheetName val="Combined-2019"/>
      <sheetName val="DLReconBBS"/>
      <sheetName val="Elect. Customer Counts Pg 10a  "/>
      <sheetName val="Gas Customer Counts Pg 10b"/>
    </sheetNames>
    <sheetDataSet>
      <sheetData sheetId="0">
        <row r="35">
          <cell r="E35">
            <v>0.66349999999999998</v>
          </cell>
          <cell r="F35">
            <v>0.33650000000000002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gt;"/>
      <sheetName val="Allocators (CBR)"/>
      <sheetName val="FM"/>
      <sheetName val="GAAP"/>
      <sheetName val="TOPSIDE"/>
    </sheetNames>
    <sheetDataSet>
      <sheetData sheetId="0"/>
      <sheetData sheetId="1">
        <row r="9">
          <cell r="B9">
            <v>2127052953.75</v>
          </cell>
          <cell r="C9">
            <v>885869830.97000003</v>
          </cell>
        </row>
      </sheetData>
      <sheetData sheetId="2">
        <row r="29">
          <cell r="G29">
            <v>2128525.79</v>
          </cell>
        </row>
        <row r="30">
          <cell r="G30">
            <v>11894207.08</v>
          </cell>
        </row>
        <row r="31">
          <cell r="G31">
            <v>17462762.780000001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heetViews>
  <sheetFormatPr defaultRowHeight="14.4" x14ac:dyDescent="0.3"/>
  <cols>
    <col min="1" max="1" width="9.140625" style="46"/>
    <col min="2" max="2" width="72.85546875" style="46" customWidth="1"/>
    <col min="3" max="3" width="15" style="46" bestFit="1" customWidth="1"/>
    <col min="4" max="4" width="18.42578125" style="46" bestFit="1" customWidth="1"/>
    <col min="5" max="5" width="17.42578125" style="46" bestFit="1" customWidth="1"/>
    <col min="6" max="16384" width="9.140625" style="46"/>
  </cols>
  <sheetData>
    <row r="1" spans="1:6" ht="15.6" thickTop="1" thickBot="1" x14ac:dyDescent="0.35">
      <c r="A1" s="41"/>
      <c r="B1" s="41"/>
      <c r="C1" s="42"/>
      <c r="D1" s="43"/>
      <c r="E1" s="44" t="s">
        <v>236</v>
      </c>
      <c r="F1" s="45"/>
    </row>
    <row r="2" spans="1:6" ht="15" thickTop="1" x14ac:dyDescent="0.3">
      <c r="A2" s="47" t="s">
        <v>237</v>
      </c>
      <c r="B2" s="48"/>
      <c r="C2" s="49"/>
      <c r="D2" s="50"/>
      <c r="E2" s="51"/>
      <c r="F2" s="45"/>
    </row>
    <row r="3" spans="1:6" x14ac:dyDescent="0.3">
      <c r="A3" s="51" t="s">
        <v>238</v>
      </c>
      <c r="B3" s="51"/>
      <c r="C3" s="49"/>
      <c r="D3" s="52"/>
      <c r="E3" s="53"/>
      <c r="F3" s="45"/>
    </row>
    <row r="4" spans="1:6" x14ac:dyDescent="0.3">
      <c r="A4" s="47" t="s">
        <v>253</v>
      </c>
      <c r="B4" s="48"/>
      <c r="C4" s="54"/>
      <c r="D4" s="55"/>
      <c r="E4" s="55"/>
      <c r="F4" s="45"/>
    </row>
    <row r="5" spans="1:6" x14ac:dyDescent="0.3">
      <c r="A5" s="47" t="s">
        <v>254</v>
      </c>
      <c r="B5" s="56"/>
      <c r="C5" s="54"/>
      <c r="D5" s="55"/>
      <c r="E5" s="55"/>
      <c r="F5" s="45"/>
    </row>
    <row r="6" spans="1:6" x14ac:dyDescent="0.3">
      <c r="A6" s="41"/>
      <c r="B6" s="56"/>
      <c r="C6" s="57"/>
      <c r="D6" s="45"/>
      <c r="E6" s="45"/>
      <c r="F6" s="45"/>
    </row>
    <row r="7" spans="1:6" x14ac:dyDescent="0.3">
      <c r="A7" s="41"/>
      <c r="B7" s="56"/>
      <c r="C7" s="57"/>
      <c r="D7" s="45"/>
      <c r="E7" s="45"/>
      <c r="F7" s="45"/>
    </row>
    <row r="8" spans="1:6" x14ac:dyDescent="0.3">
      <c r="A8" s="58"/>
      <c r="B8" s="59"/>
      <c r="C8" s="42"/>
      <c r="D8" s="60"/>
      <c r="E8" s="60"/>
      <c r="F8" s="45"/>
    </row>
    <row r="9" spans="1:6" x14ac:dyDescent="0.3">
      <c r="A9" s="61" t="s">
        <v>239</v>
      </c>
      <c r="B9" s="58"/>
      <c r="C9" s="62"/>
      <c r="D9" s="60"/>
      <c r="E9" s="60"/>
      <c r="F9" s="45"/>
    </row>
    <row r="10" spans="1:6" x14ac:dyDescent="0.3">
      <c r="A10" s="63" t="s">
        <v>240</v>
      </c>
      <c r="B10" s="64" t="s">
        <v>241</v>
      </c>
      <c r="C10" s="65" t="s">
        <v>242</v>
      </c>
      <c r="D10" s="63" t="s">
        <v>243</v>
      </c>
      <c r="E10" s="63" t="s">
        <v>244</v>
      </c>
      <c r="F10" s="45"/>
    </row>
    <row r="11" spans="1:6" x14ac:dyDescent="0.3">
      <c r="A11" s="43"/>
      <c r="B11" s="43"/>
      <c r="C11" s="42"/>
      <c r="D11" s="60"/>
      <c r="E11" s="66"/>
      <c r="F11" s="45"/>
    </row>
    <row r="12" spans="1:6" x14ac:dyDescent="0.3">
      <c r="A12" s="67">
        <v>1</v>
      </c>
      <c r="B12" s="68" t="s">
        <v>245</v>
      </c>
      <c r="C12" s="42">
        <f>'Excise Tax '!F193</f>
        <v>84089174.198749989</v>
      </c>
      <c r="D12" s="69">
        <f>'Excise Tax '!J193</f>
        <v>84064864.389494985</v>
      </c>
      <c r="E12" s="69">
        <f>D12-C12</f>
        <v>-24309.809255003929</v>
      </c>
      <c r="F12" s="45"/>
    </row>
    <row r="13" spans="1:6" x14ac:dyDescent="0.3">
      <c r="A13" s="67">
        <v>2</v>
      </c>
      <c r="B13" s="70" t="s">
        <v>246</v>
      </c>
      <c r="C13" s="71">
        <f>'Filing Fees'!D15</f>
        <v>4394185.7699999996</v>
      </c>
      <c r="D13" s="72">
        <f>'E Filing Fee Restated'!F38</f>
        <v>4551111.2666800003</v>
      </c>
      <c r="E13" s="72">
        <f>D13-C13</f>
        <v>156925.4966800008</v>
      </c>
      <c r="F13" s="45"/>
    </row>
    <row r="14" spans="1:6" x14ac:dyDescent="0.3">
      <c r="A14" s="67">
        <v>3</v>
      </c>
      <c r="B14" s="68" t="s">
        <v>247</v>
      </c>
      <c r="C14" s="73">
        <f>C12+C13</f>
        <v>88483359.968749985</v>
      </c>
      <c r="D14" s="73">
        <f>D12+D13</f>
        <v>88615975.656174988</v>
      </c>
      <c r="E14" s="73">
        <f>E12+E13</f>
        <v>132615.68742499687</v>
      </c>
      <c r="F14" s="45"/>
    </row>
    <row r="15" spans="1:6" x14ac:dyDescent="0.3">
      <c r="A15" s="67">
        <v>4</v>
      </c>
      <c r="B15" s="68"/>
      <c r="C15" s="42"/>
      <c r="D15" s="74"/>
      <c r="E15" s="74"/>
      <c r="F15" s="45"/>
    </row>
    <row r="16" spans="1:6" x14ac:dyDescent="0.3">
      <c r="A16" s="67">
        <v>5</v>
      </c>
      <c r="B16" s="75" t="s">
        <v>248</v>
      </c>
      <c r="C16" s="42"/>
      <c r="D16" s="74"/>
      <c r="E16" s="76">
        <f>E14</f>
        <v>132615.68742499687</v>
      </c>
      <c r="F16" s="45"/>
    </row>
    <row r="17" spans="1:6" x14ac:dyDescent="0.3">
      <c r="A17" s="67">
        <v>6</v>
      </c>
      <c r="B17" s="75" t="s">
        <v>249</v>
      </c>
      <c r="C17" s="77">
        <v>0.21</v>
      </c>
      <c r="D17" s="74"/>
      <c r="E17" s="78">
        <f>ROUND(-E16*C17,0)</f>
        <v>-27849</v>
      </c>
      <c r="F17" s="45"/>
    </row>
    <row r="18" spans="1:6" ht="15" thickBot="1" x14ac:dyDescent="0.35">
      <c r="A18" s="67">
        <v>7</v>
      </c>
      <c r="B18" s="75" t="s">
        <v>250</v>
      </c>
      <c r="C18" s="42"/>
      <c r="D18" s="74"/>
      <c r="E18" s="79">
        <f>-E16-E17</f>
        <v>-104766.68742499687</v>
      </c>
      <c r="F18" s="45"/>
    </row>
    <row r="19" spans="1:6" ht="15" thickTop="1" x14ac:dyDescent="0.3">
      <c r="A19" s="67"/>
      <c r="B19" s="41"/>
      <c r="C19" s="42"/>
      <c r="D19" s="60"/>
      <c r="E19" s="60"/>
      <c r="F19" s="45"/>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C12" sqref="C12"/>
    </sheetView>
  </sheetViews>
  <sheetFormatPr defaultRowHeight="14.4" x14ac:dyDescent="0.3"/>
  <cols>
    <col min="1" max="1" width="9.140625" style="46"/>
    <col min="2" max="2" width="60.5703125" style="46" bestFit="1" customWidth="1"/>
    <col min="3" max="4" width="16.5703125" style="46" bestFit="1" customWidth="1"/>
    <col min="5" max="5" width="17.28515625" style="46" bestFit="1" customWidth="1"/>
    <col min="6" max="16384" width="9.140625" style="46"/>
  </cols>
  <sheetData>
    <row r="1" spans="1:6" ht="15.6" thickTop="1" thickBot="1" x14ac:dyDescent="0.35">
      <c r="A1" s="41"/>
      <c r="B1" s="41"/>
      <c r="C1" s="42"/>
      <c r="D1" s="43"/>
      <c r="E1" s="44" t="s">
        <v>251</v>
      </c>
    </row>
    <row r="2" spans="1:6" ht="15" thickTop="1" x14ac:dyDescent="0.3">
      <c r="A2" s="47" t="s">
        <v>252</v>
      </c>
      <c r="B2" s="48"/>
      <c r="C2" s="49"/>
      <c r="D2" s="50"/>
      <c r="E2" s="51"/>
    </row>
    <row r="3" spans="1:6" x14ac:dyDescent="0.3">
      <c r="A3" s="51" t="s">
        <v>238</v>
      </c>
      <c r="B3" s="51"/>
      <c r="C3" s="49"/>
      <c r="D3" s="52"/>
      <c r="E3" s="53"/>
    </row>
    <row r="4" spans="1:6" x14ac:dyDescent="0.3">
      <c r="A4" s="47" t="str">
        <f>'Lead E'!A4</f>
        <v>FOR THE TWELVE MONTHS ENDED DEC 31, 2019</v>
      </c>
      <c r="B4" s="48"/>
      <c r="C4" s="54"/>
      <c r="D4" s="55"/>
      <c r="E4" s="55"/>
    </row>
    <row r="5" spans="1:6" x14ac:dyDescent="0.3">
      <c r="A5" s="47" t="str">
        <f>'Lead E'!A5</f>
        <v>DECEMBER 2019 CBR</v>
      </c>
      <c r="B5" s="56"/>
      <c r="C5" s="54"/>
      <c r="D5" s="55"/>
      <c r="E5" s="55"/>
    </row>
    <row r="6" spans="1:6" x14ac:dyDescent="0.3">
      <c r="A6" s="41"/>
      <c r="B6" s="56"/>
      <c r="C6" s="57"/>
      <c r="D6" s="45"/>
      <c r="E6" s="45"/>
    </row>
    <row r="7" spans="1:6" x14ac:dyDescent="0.3">
      <c r="A7" s="41"/>
      <c r="B7" s="56"/>
      <c r="C7" s="57"/>
      <c r="D7" s="45"/>
      <c r="E7" s="45"/>
    </row>
    <row r="8" spans="1:6" x14ac:dyDescent="0.3">
      <c r="A8" s="58"/>
      <c r="B8" s="59"/>
      <c r="C8" s="42"/>
      <c r="D8" s="60"/>
      <c r="E8" s="60"/>
    </row>
    <row r="9" spans="1:6" x14ac:dyDescent="0.3">
      <c r="A9" s="61" t="s">
        <v>239</v>
      </c>
      <c r="B9" s="58"/>
      <c r="C9" s="62"/>
      <c r="D9" s="60"/>
      <c r="E9" s="60"/>
    </row>
    <row r="10" spans="1:6" x14ac:dyDescent="0.3">
      <c r="A10" s="63" t="s">
        <v>240</v>
      </c>
      <c r="B10" s="64" t="s">
        <v>241</v>
      </c>
      <c r="C10" s="65" t="s">
        <v>242</v>
      </c>
      <c r="D10" s="63" t="s">
        <v>243</v>
      </c>
      <c r="E10" s="63" t="s">
        <v>244</v>
      </c>
    </row>
    <row r="11" spans="1:6" x14ac:dyDescent="0.3">
      <c r="A11" s="43"/>
      <c r="B11" s="43"/>
      <c r="C11" s="42"/>
      <c r="D11" s="60"/>
      <c r="E11" s="66"/>
      <c r="F11" s="80"/>
    </row>
    <row r="12" spans="1:6" x14ac:dyDescent="0.3">
      <c r="A12" s="67">
        <v>1</v>
      </c>
      <c r="B12" s="68" t="s">
        <v>245</v>
      </c>
      <c r="C12" s="81">
        <f>'Excise Tax '!G193</f>
        <v>34852244.711249992</v>
      </c>
      <c r="D12" s="81">
        <f>'Excise Tax '!K193</f>
        <v>34996690.660504989</v>
      </c>
      <c r="E12" s="81">
        <f>D12-C12</f>
        <v>144445.94925499707</v>
      </c>
      <c r="F12" s="82"/>
    </row>
    <row r="13" spans="1:6" x14ac:dyDescent="0.3">
      <c r="A13" s="67">
        <v>2</v>
      </c>
      <c r="B13" s="70" t="s">
        <v>246</v>
      </c>
      <c r="C13" s="83">
        <f>'Filing Fees'!D28</f>
        <v>1753018.78</v>
      </c>
      <c r="D13" s="83">
        <f>'G Filing Fee Restated'!F38</f>
        <v>1771689.66194</v>
      </c>
      <c r="E13" s="83">
        <f>D13-C13</f>
        <v>18670.881939999992</v>
      </c>
      <c r="F13" s="82"/>
    </row>
    <row r="14" spans="1:6" x14ac:dyDescent="0.3">
      <c r="A14" s="67">
        <v>3</v>
      </c>
      <c r="B14" s="68" t="s">
        <v>247</v>
      </c>
      <c r="C14" s="84">
        <f>C12+C13</f>
        <v>36605263.491249993</v>
      </c>
      <c r="D14" s="84">
        <f>D12+D13</f>
        <v>36768380.32244499</v>
      </c>
      <c r="E14" s="84">
        <f>E12+E13</f>
        <v>163116.83119499707</v>
      </c>
      <c r="F14" s="82"/>
    </row>
    <row r="15" spans="1:6" x14ac:dyDescent="0.3">
      <c r="A15" s="67">
        <v>4</v>
      </c>
      <c r="B15" s="68"/>
      <c r="C15" s="81"/>
      <c r="D15" s="85"/>
      <c r="E15" s="85"/>
      <c r="F15" s="86"/>
    </row>
    <row r="16" spans="1:6" x14ac:dyDescent="0.3">
      <c r="A16" s="67">
        <v>5</v>
      </c>
      <c r="B16" s="75" t="s">
        <v>248</v>
      </c>
      <c r="C16" s="81"/>
      <c r="D16" s="85"/>
      <c r="E16" s="87">
        <f>E14</f>
        <v>163116.83119499707</v>
      </c>
      <c r="F16" s="86"/>
    </row>
    <row r="17" spans="1:6" x14ac:dyDescent="0.3">
      <c r="A17" s="67">
        <v>6</v>
      </c>
      <c r="B17" s="75" t="s">
        <v>249</v>
      </c>
      <c r="C17" s="77">
        <v>0.21</v>
      </c>
      <c r="D17" s="85"/>
      <c r="E17" s="88">
        <f>(-E16*C17)</f>
        <v>-34254.534550949385</v>
      </c>
      <c r="F17" s="86"/>
    </row>
    <row r="18" spans="1:6" ht="15" thickBot="1" x14ac:dyDescent="0.35">
      <c r="A18" s="67">
        <v>7</v>
      </c>
      <c r="B18" s="75" t="s">
        <v>250</v>
      </c>
      <c r="C18" s="81"/>
      <c r="D18" s="85"/>
      <c r="E18" s="89">
        <f>-E16-E17</f>
        <v>-128862.29664404769</v>
      </c>
      <c r="F18" s="86"/>
    </row>
    <row r="19" spans="1:6" ht="15" thickTop="1" x14ac:dyDescent="0.3">
      <c r="A19" s="67"/>
      <c r="B19" s="41"/>
      <c r="C19" s="90"/>
      <c r="D19" s="91"/>
      <c r="E19" s="91"/>
      <c r="F19" s="86"/>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topLeftCell="A158" workbookViewId="0">
      <selection activeCell="G193" sqref="G193"/>
    </sheetView>
  </sheetViews>
  <sheetFormatPr defaultRowHeight="11.4" x14ac:dyDescent="0.2"/>
  <cols>
    <col min="1" max="1" width="10.7109375" style="19" customWidth="1"/>
    <col min="2" max="2" width="19.42578125" style="19" customWidth="1"/>
    <col min="3" max="3" width="20.7109375" style="19" customWidth="1"/>
    <col min="4" max="4" width="14" style="19" customWidth="1"/>
    <col min="5" max="5" width="14.5703125" style="19" customWidth="1"/>
    <col min="6" max="7" width="19.5703125" style="19" bestFit="1" customWidth="1"/>
    <col min="8" max="8" width="19.5703125" style="19" customWidth="1"/>
    <col min="9" max="9" width="16.28515625" style="19" bestFit="1" customWidth="1"/>
    <col min="10" max="11" width="19.5703125" style="19" bestFit="1" customWidth="1"/>
    <col min="12" max="12" width="13.5703125" style="19" bestFit="1" customWidth="1"/>
    <col min="13" max="16" width="14.5703125" style="19" customWidth="1"/>
    <col min="17" max="16384" width="9.140625" style="19"/>
  </cols>
  <sheetData>
    <row r="1" spans="1:14" ht="12" x14ac:dyDescent="0.25">
      <c r="A1" s="6" t="s">
        <v>0</v>
      </c>
      <c r="B1" s="6" t="s">
        <v>0</v>
      </c>
      <c r="C1" s="6" t="s">
        <v>0</v>
      </c>
      <c r="D1" s="6" t="s">
        <v>0</v>
      </c>
      <c r="E1" s="7" t="s">
        <v>1</v>
      </c>
      <c r="F1" s="124" t="s">
        <v>204</v>
      </c>
      <c r="G1" s="125"/>
      <c r="H1" s="124" t="s">
        <v>211</v>
      </c>
      <c r="I1" s="125"/>
      <c r="J1" s="124" t="s">
        <v>205</v>
      </c>
      <c r="K1" s="125"/>
      <c r="L1" s="15" t="s">
        <v>207</v>
      </c>
    </row>
    <row r="2" spans="1:14" ht="12" x14ac:dyDescent="0.25">
      <c r="A2" s="6" t="s">
        <v>3</v>
      </c>
      <c r="B2" s="2"/>
      <c r="C2" s="6" t="s">
        <v>99</v>
      </c>
      <c r="D2" s="6" t="s">
        <v>100</v>
      </c>
      <c r="E2" s="8" t="s">
        <v>4</v>
      </c>
      <c r="F2" s="16" t="s">
        <v>210</v>
      </c>
      <c r="G2" s="17" t="s">
        <v>208</v>
      </c>
      <c r="H2" s="16" t="s">
        <v>210</v>
      </c>
      <c r="I2" s="17" t="s">
        <v>208</v>
      </c>
      <c r="J2" s="16" t="s">
        <v>210</v>
      </c>
      <c r="K2" s="17" t="s">
        <v>208</v>
      </c>
      <c r="L2" s="18" t="s">
        <v>209</v>
      </c>
    </row>
    <row r="3" spans="1:14" ht="12" x14ac:dyDescent="0.25">
      <c r="A3" s="7" t="s">
        <v>101</v>
      </c>
      <c r="B3" s="9" t="s">
        <v>102</v>
      </c>
      <c r="C3" s="9" t="s">
        <v>192</v>
      </c>
      <c r="D3" s="7" t="s">
        <v>103</v>
      </c>
      <c r="E3" s="4">
        <v>8167035.4699999997</v>
      </c>
      <c r="F3" s="11">
        <f t="shared" ref="F3:F34" si="0">IF($A3="40810002",$E3,IF($A3="40810602",$E3*$N$4,0))</f>
        <v>8167035.4699999997</v>
      </c>
      <c r="G3" s="12">
        <f>IF($A3="40810302",$E3,IF($A3="40810602",$E3*$N$5,0))</f>
        <v>0</v>
      </c>
      <c r="H3" s="11">
        <f>IF(L3=1,-F3,0)</f>
        <v>0</v>
      </c>
      <c r="I3" s="12">
        <f>IF(L3=1,-G3,0)</f>
        <v>0</v>
      </c>
      <c r="J3" s="11">
        <f>F3+H3</f>
        <v>8167035.4699999997</v>
      </c>
      <c r="K3" s="12">
        <f>G3+I3</f>
        <v>0</v>
      </c>
      <c r="L3" s="13"/>
      <c r="M3" s="10" t="s">
        <v>212</v>
      </c>
      <c r="N3" s="10"/>
    </row>
    <row r="4" spans="1:14" ht="12" x14ac:dyDescent="0.25">
      <c r="A4" s="7" t="s">
        <v>101</v>
      </c>
      <c r="B4" s="9" t="s">
        <v>102</v>
      </c>
      <c r="C4" s="9" t="s">
        <v>192</v>
      </c>
      <c r="D4" s="7" t="s">
        <v>104</v>
      </c>
      <c r="E4" s="4">
        <v>-5475377.0599999996</v>
      </c>
      <c r="F4" s="11">
        <f t="shared" si="0"/>
        <v>-5475377.0599999996</v>
      </c>
      <c r="G4" s="12">
        <f t="shared" ref="G4:G67" si="1">IF($A4="40810302",$E4,IF($A4="40810602",$E4*$N$5,0))</f>
        <v>0</v>
      </c>
      <c r="H4" s="11">
        <f t="shared" ref="H4:H67" si="2">IF(L4=1,-F4,0)</f>
        <v>0</v>
      </c>
      <c r="I4" s="12">
        <f t="shared" ref="I4:I67" si="3">IF(L4=1,-G4,0)</f>
        <v>0</v>
      </c>
      <c r="J4" s="11">
        <f t="shared" ref="J4:J67" si="4">F4+H4</f>
        <v>-5475377.0599999996</v>
      </c>
      <c r="K4" s="12">
        <f t="shared" ref="K4:K67" si="5">G4+I4</f>
        <v>0</v>
      </c>
      <c r="L4" s="13"/>
      <c r="M4" s="10" t="s">
        <v>206</v>
      </c>
      <c r="N4" s="14">
        <f>[1]Lead!$E$35</f>
        <v>0.66349999999999998</v>
      </c>
    </row>
    <row r="5" spans="1:14" ht="12" x14ac:dyDescent="0.25">
      <c r="A5" s="7" t="s">
        <v>101</v>
      </c>
      <c r="B5" s="9" t="s">
        <v>102</v>
      </c>
      <c r="C5" s="9" t="s">
        <v>192</v>
      </c>
      <c r="D5" s="7" t="s">
        <v>105</v>
      </c>
      <c r="E5" s="4">
        <v>5705212.75</v>
      </c>
      <c r="F5" s="11">
        <f t="shared" si="0"/>
        <v>5705212.75</v>
      </c>
      <c r="G5" s="12">
        <f t="shared" si="1"/>
        <v>0</v>
      </c>
      <c r="H5" s="11">
        <f t="shared" si="2"/>
        <v>0</v>
      </c>
      <c r="I5" s="12">
        <f t="shared" si="3"/>
        <v>0</v>
      </c>
      <c r="J5" s="11">
        <f t="shared" si="4"/>
        <v>5705212.75</v>
      </c>
      <c r="K5" s="12">
        <f t="shared" si="5"/>
        <v>0</v>
      </c>
      <c r="L5" s="13"/>
      <c r="M5" s="10" t="s">
        <v>208</v>
      </c>
      <c r="N5" s="14">
        <f>[1]Lead!$F$35</f>
        <v>0.33650000000000002</v>
      </c>
    </row>
    <row r="6" spans="1:14" x14ac:dyDescent="0.2">
      <c r="A6" s="7" t="s">
        <v>101</v>
      </c>
      <c r="B6" s="9" t="s">
        <v>102</v>
      </c>
      <c r="C6" s="9" t="s">
        <v>193</v>
      </c>
      <c r="D6" s="7" t="s">
        <v>112</v>
      </c>
      <c r="E6" s="4">
        <v>8355200.5199999996</v>
      </c>
      <c r="F6" s="11">
        <f t="shared" si="0"/>
        <v>8355200.5199999996</v>
      </c>
      <c r="G6" s="12">
        <f t="shared" si="1"/>
        <v>0</v>
      </c>
      <c r="H6" s="11">
        <f t="shared" si="2"/>
        <v>0</v>
      </c>
      <c r="I6" s="12">
        <f t="shared" si="3"/>
        <v>0</v>
      </c>
      <c r="J6" s="11">
        <f t="shared" si="4"/>
        <v>8355200.5199999996</v>
      </c>
      <c r="K6" s="12">
        <f t="shared" si="5"/>
        <v>0</v>
      </c>
      <c r="L6" s="13"/>
    </row>
    <row r="7" spans="1:14" x14ac:dyDescent="0.2">
      <c r="A7" s="7" t="s">
        <v>101</v>
      </c>
      <c r="B7" s="9" t="s">
        <v>102</v>
      </c>
      <c r="C7" s="9" t="s">
        <v>193</v>
      </c>
      <c r="D7" s="7" t="s">
        <v>113</v>
      </c>
      <c r="E7" s="4">
        <v>-5705212.75</v>
      </c>
      <c r="F7" s="11">
        <f t="shared" si="0"/>
        <v>-5705212.75</v>
      </c>
      <c r="G7" s="12">
        <f t="shared" si="1"/>
        <v>0</v>
      </c>
      <c r="H7" s="11">
        <f t="shared" si="2"/>
        <v>0</v>
      </c>
      <c r="I7" s="12">
        <f t="shared" si="3"/>
        <v>0</v>
      </c>
      <c r="J7" s="11">
        <f t="shared" si="4"/>
        <v>-5705212.75</v>
      </c>
      <c r="K7" s="12">
        <f t="shared" si="5"/>
        <v>0</v>
      </c>
      <c r="L7" s="13"/>
    </row>
    <row r="8" spans="1:14" x14ac:dyDescent="0.2">
      <c r="A8" s="7" t="s">
        <v>101</v>
      </c>
      <c r="B8" s="9" t="s">
        <v>102</v>
      </c>
      <c r="C8" s="9" t="s">
        <v>193</v>
      </c>
      <c r="D8" s="7" t="s">
        <v>114</v>
      </c>
      <c r="E8" s="4">
        <v>5775169.0700000003</v>
      </c>
      <c r="F8" s="11">
        <f t="shared" si="0"/>
        <v>5775169.0700000003</v>
      </c>
      <c r="G8" s="12">
        <f t="shared" si="1"/>
        <v>0</v>
      </c>
      <c r="H8" s="11">
        <f t="shared" si="2"/>
        <v>0</v>
      </c>
      <c r="I8" s="12">
        <f t="shared" si="3"/>
        <v>0</v>
      </c>
      <c r="J8" s="11">
        <f t="shared" si="4"/>
        <v>5775169.0700000003</v>
      </c>
      <c r="K8" s="12">
        <f t="shared" si="5"/>
        <v>0</v>
      </c>
      <c r="L8" s="13"/>
    </row>
    <row r="9" spans="1:14" x14ac:dyDescent="0.2">
      <c r="A9" s="7" t="s">
        <v>101</v>
      </c>
      <c r="B9" s="9" t="s">
        <v>102</v>
      </c>
      <c r="C9" s="9" t="s">
        <v>194</v>
      </c>
      <c r="D9" s="7" t="s">
        <v>118</v>
      </c>
      <c r="E9" s="4">
        <v>-7864.86</v>
      </c>
      <c r="F9" s="11">
        <f t="shared" si="0"/>
        <v>-7864.86</v>
      </c>
      <c r="G9" s="12">
        <f t="shared" si="1"/>
        <v>0</v>
      </c>
      <c r="H9" s="11">
        <f t="shared" si="2"/>
        <v>0</v>
      </c>
      <c r="I9" s="12">
        <f t="shared" si="3"/>
        <v>0</v>
      </c>
      <c r="J9" s="11">
        <f t="shared" si="4"/>
        <v>-7864.86</v>
      </c>
      <c r="K9" s="12">
        <f t="shared" si="5"/>
        <v>0</v>
      </c>
      <c r="L9" s="13"/>
    </row>
    <row r="10" spans="1:14" x14ac:dyDescent="0.2">
      <c r="A10" s="7" t="s">
        <v>101</v>
      </c>
      <c r="B10" s="9" t="s">
        <v>102</v>
      </c>
      <c r="C10" s="9" t="s">
        <v>194</v>
      </c>
      <c r="D10" s="7" t="s">
        <v>119</v>
      </c>
      <c r="E10" s="4">
        <v>8590623.8000000007</v>
      </c>
      <c r="F10" s="11">
        <f t="shared" si="0"/>
        <v>8590623.8000000007</v>
      </c>
      <c r="G10" s="12">
        <f t="shared" si="1"/>
        <v>0</v>
      </c>
      <c r="H10" s="11">
        <f t="shared" si="2"/>
        <v>0</v>
      </c>
      <c r="I10" s="12">
        <f t="shared" si="3"/>
        <v>0</v>
      </c>
      <c r="J10" s="11">
        <f t="shared" si="4"/>
        <v>8590623.8000000007</v>
      </c>
      <c r="K10" s="12">
        <f t="shared" si="5"/>
        <v>0</v>
      </c>
      <c r="L10" s="13"/>
    </row>
    <row r="11" spans="1:14" x14ac:dyDescent="0.2">
      <c r="A11" s="7" t="s">
        <v>101</v>
      </c>
      <c r="B11" s="9" t="s">
        <v>102</v>
      </c>
      <c r="C11" s="9" t="s">
        <v>194</v>
      </c>
      <c r="D11" s="7" t="s">
        <v>120</v>
      </c>
      <c r="E11" s="4">
        <v>-5775169.0700000003</v>
      </c>
      <c r="F11" s="11">
        <f t="shared" si="0"/>
        <v>-5775169.0700000003</v>
      </c>
      <c r="G11" s="12">
        <f t="shared" si="1"/>
        <v>0</v>
      </c>
      <c r="H11" s="11">
        <f t="shared" si="2"/>
        <v>0</v>
      </c>
      <c r="I11" s="12">
        <f t="shared" si="3"/>
        <v>0</v>
      </c>
      <c r="J11" s="11">
        <f t="shared" si="4"/>
        <v>-5775169.0700000003</v>
      </c>
      <c r="K11" s="12">
        <f t="shared" si="5"/>
        <v>0</v>
      </c>
      <c r="L11" s="13"/>
    </row>
    <row r="12" spans="1:14" x14ac:dyDescent="0.2">
      <c r="A12" s="7" t="s">
        <v>101</v>
      </c>
      <c r="B12" s="9" t="s">
        <v>102</v>
      </c>
      <c r="C12" s="9" t="s">
        <v>194</v>
      </c>
      <c r="D12" s="7" t="s">
        <v>121</v>
      </c>
      <c r="E12" s="4">
        <v>5045662.5199999996</v>
      </c>
      <c r="F12" s="11">
        <f t="shared" si="0"/>
        <v>5045662.5199999996</v>
      </c>
      <c r="G12" s="12">
        <f t="shared" si="1"/>
        <v>0</v>
      </c>
      <c r="H12" s="11">
        <f t="shared" si="2"/>
        <v>0</v>
      </c>
      <c r="I12" s="12">
        <f t="shared" si="3"/>
        <v>0</v>
      </c>
      <c r="J12" s="11">
        <f t="shared" si="4"/>
        <v>5045662.5199999996</v>
      </c>
      <c r="K12" s="12">
        <f t="shared" si="5"/>
        <v>0</v>
      </c>
      <c r="L12" s="13"/>
    </row>
    <row r="13" spans="1:14" x14ac:dyDescent="0.2">
      <c r="A13" s="7" t="s">
        <v>101</v>
      </c>
      <c r="B13" s="9" t="s">
        <v>102</v>
      </c>
      <c r="C13" s="9" t="s">
        <v>195</v>
      </c>
      <c r="D13" s="7" t="s">
        <v>124</v>
      </c>
      <c r="E13" s="4">
        <v>6902075.6399999997</v>
      </c>
      <c r="F13" s="11">
        <f t="shared" si="0"/>
        <v>6902075.6399999997</v>
      </c>
      <c r="G13" s="12">
        <f t="shared" si="1"/>
        <v>0</v>
      </c>
      <c r="H13" s="11">
        <f t="shared" si="2"/>
        <v>0</v>
      </c>
      <c r="I13" s="12">
        <f t="shared" si="3"/>
        <v>0</v>
      </c>
      <c r="J13" s="11">
        <f t="shared" si="4"/>
        <v>6902075.6399999997</v>
      </c>
      <c r="K13" s="12">
        <f t="shared" si="5"/>
        <v>0</v>
      </c>
      <c r="L13" s="13"/>
    </row>
    <row r="14" spans="1:14" x14ac:dyDescent="0.2">
      <c r="A14" s="7" t="s">
        <v>101</v>
      </c>
      <c r="B14" s="9" t="s">
        <v>102</v>
      </c>
      <c r="C14" s="9" t="s">
        <v>195</v>
      </c>
      <c r="D14" s="7" t="s">
        <v>125</v>
      </c>
      <c r="E14" s="4">
        <v>-5045662.5199999996</v>
      </c>
      <c r="F14" s="11">
        <f t="shared" si="0"/>
        <v>-5045662.5199999996</v>
      </c>
      <c r="G14" s="12">
        <f t="shared" si="1"/>
        <v>0</v>
      </c>
      <c r="H14" s="11">
        <f t="shared" si="2"/>
        <v>0</v>
      </c>
      <c r="I14" s="12">
        <f t="shared" si="3"/>
        <v>0</v>
      </c>
      <c r="J14" s="11">
        <f t="shared" si="4"/>
        <v>-5045662.5199999996</v>
      </c>
      <c r="K14" s="12">
        <f t="shared" si="5"/>
        <v>0</v>
      </c>
      <c r="L14" s="13"/>
    </row>
    <row r="15" spans="1:14" x14ac:dyDescent="0.2">
      <c r="A15" s="7" t="s">
        <v>101</v>
      </c>
      <c r="B15" s="9" t="s">
        <v>102</v>
      </c>
      <c r="C15" s="9" t="s">
        <v>195</v>
      </c>
      <c r="D15" s="7" t="s">
        <v>126</v>
      </c>
      <c r="E15" s="4">
        <v>4685990.3499999996</v>
      </c>
      <c r="F15" s="11">
        <f t="shared" si="0"/>
        <v>4685990.3499999996</v>
      </c>
      <c r="G15" s="12">
        <f t="shared" si="1"/>
        <v>0</v>
      </c>
      <c r="H15" s="11">
        <f t="shared" si="2"/>
        <v>0</v>
      </c>
      <c r="I15" s="12">
        <f t="shared" si="3"/>
        <v>0</v>
      </c>
      <c r="J15" s="11">
        <f t="shared" si="4"/>
        <v>4685990.3499999996</v>
      </c>
      <c r="K15" s="12">
        <f t="shared" si="5"/>
        <v>0</v>
      </c>
      <c r="L15" s="13"/>
    </row>
    <row r="16" spans="1:14" x14ac:dyDescent="0.2">
      <c r="A16" s="7" t="s">
        <v>101</v>
      </c>
      <c r="B16" s="9" t="s">
        <v>102</v>
      </c>
      <c r="C16" s="9" t="s">
        <v>196</v>
      </c>
      <c r="D16" s="7" t="s">
        <v>131</v>
      </c>
      <c r="E16" s="4">
        <v>6169684.04</v>
      </c>
      <c r="F16" s="11">
        <f t="shared" si="0"/>
        <v>6169684.04</v>
      </c>
      <c r="G16" s="12">
        <f t="shared" si="1"/>
        <v>0</v>
      </c>
      <c r="H16" s="11">
        <f t="shared" si="2"/>
        <v>0</v>
      </c>
      <c r="I16" s="12">
        <f t="shared" si="3"/>
        <v>0</v>
      </c>
      <c r="J16" s="11">
        <f t="shared" si="4"/>
        <v>6169684.04</v>
      </c>
      <c r="K16" s="12">
        <f t="shared" si="5"/>
        <v>0</v>
      </c>
      <c r="L16" s="13"/>
    </row>
    <row r="17" spans="1:12" x14ac:dyDescent="0.2">
      <c r="A17" s="7" t="s">
        <v>101</v>
      </c>
      <c r="B17" s="9" t="s">
        <v>102</v>
      </c>
      <c r="C17" s="9" t="s">
        <v>196</v>
      </c>
      <c r="D17" s="7" t="s">
        <v>132</v>
      </c>
      <c r="E17" s="4">
        <v>-4685990.3499999996</v>
      </c>
      <c r="F17" s="11">
        <f t="shared" si="0"/>
        <v>-4685990.3499999996</v>
      </c>
      <c r="G17" s="12">
        <f t="shared" si="1"/>
        <v>0</v>
      </c>
      <c r="H17" s="11">
        <f t="shared" si="2"/>
        <v>0</v>
      </c>
      <c r="I17" s="12">
        <f t="shared" si="3"/>
        <v>0</v>
      </c>
      <c r="J17" s="11">
        <f t="shared" si="4"/>
        <v>-4685990.3499999996</v>
      </c>
      <c r="K17" s="12">
        <f t="shared" si="5"/>
        <v>0</v>
      </c>
      <c r="L17" s="13"/>
    </row>
    <row r="18" spans="1:12" x14ac:dyDescent="0.2">
      <c r="A18" s="7" t="s">
        <v>101</v>
      </c>
      <c r="B18" s="9" t="s">
        <v>102</v>
      </c>
      <c r="C18" s="9" t="s">
        <v>196</v>
      </c>
      <c r="D18" s="7" t="s">
        <v>133</v>
      </c>
      <c r="E18" s="4">
        <v>4286014.8899999997</v>
      </c>
      <c r="F18" s="11">
        <f t="shared" si="0"/>
        <v>4286014.8899999997</v>
      </c>
      <c r="G18" s="12">
        <f t="shared" si="1"/>
        <v>0</v>
      </c>
      <c r="H18" s="11">
        <f t="shared" si="2"/>
        <v>0</v>
      </c>
      <c r="I18" s="12">
        <f t="shared" si="3"/>
        <v>0</v>
      </c>
      <c r="J18" s="11">
        <f t="shared" si="4"/>
        <v>4286014.8899999997</v>
      </c>
      <c r="K18" s="12">
        <f t="shared" si="5"/>
        <v>0</v>
      </c>
      <c r="L18" s="13"/>
    </row>
    <row r="19" spans="1:12" x14ac:dyDescent="0.2">
      <c r="A19" s="7" t="s">
        <v>101</v>
      </c>
      <c r="B19" s="9" t="s">
        <v>102</v>
      </c>
      <c r="C19" s="9" t="s">
        <v>197</v>
      </c>
      <c r="D19" s="7" t="s">
        <v>138</v>
      </c>
      <c r="E19" s="4">
        <v>-23828.85</v>
      </c>
      <c r="F19" s="11">
        <f t="shared" si="0"/>
        <v>-23828.85</v>
      </c>
      <c r="G19" s="12">
        <f t="shared" si="1"/>
        <v>0</v>
      </c>
      <c r="H19" s="11">
        <f t="shared" si="2"/>
        <v>0</v>
      </c>
      <c r="I19" s="12">
        <f t="shared" si="3"/>
        <v>0</v>
      </c>
      <c r="J19" s="11">
        <f t="shared" si="4"/>
        <v>-23828.85</v>
      </c>
      <c r="K19" s="12">
        <f t="shared" si="5"/>
        <v>0</v>
      </c>
      <c r="L19" s="13"/>
    </row>
    <row r="20" spans="1:12" x14ac:dyDescent="0.2">
      <c r="A20" s="7" t="s">
        <v>101</v>
      </c>
      <c r="B20" s="9" t="s">
        <v>102</v>
      </c>
      <c r="C20" s="9" t="s">
        <v>197</v>
      </c>
      <c r="D20" s="7" t="s">
        <v>139</v>
      </c>
      <c r="E20" s="4">
        <v>5791003.6799999997</v>
      </c>
      <c r="F20" s="11">
        <f t="shared" si="0"/>
        <v>5791003.6799999997</v>
      </c>
      <c r="G20" s="12">
        <f t="shared" si="1"/>
        <v>0</v>
      </c>
      <c r="H20" s="11">
        <f t="shared" si="2"/>
        <v>0</v>
      </c>
      <c r="I20" s="12">
        <f t="shared" si="3"/>
        <v>0</v>
      </c>
      <c r="J20" s="11">
        <f t="shared" si="4"/>
        <v>5791003.6799999997</v>
      </c>
      <c r="K20" s="12">
        <f t="shared" si="5"/>
        <v>0</v>
      </c>
      <c r="L20" s="13"/>
    </row>
    <row r="21" spans="1:12" x14ac:dyDescent="0.2">
      <c r="A21" s="7" t="s">
        <v>101</v>
      </c>
      <c r="B21" s="9" t="s">
        <v>102</v>
      </c>
      <c r="C21" s="9" t="s">
        <v>197</v>
      </c>
      <c r="D21" s="7" t="s">
        <v>140</v>
      </c>
      <c r="E21" s="4">
        <v>-4286014.8899999997</v>
      </c>
      <c r="F21" s="11">
        <f t="shared" si="0"/>
        <v>-4286014.8899999997</v>
      </c>
      <c r="G21" s="12">
        <f t="shared" si="1"/>
        <v>0</v>
      </c>
      <c r="H21" s="11">
        <f t="shared" si="2"/>
        <v>0</v>
      </c>
      <c r="I21" s="12">
        <f t="shared" si="3"/>
        <v>0</v>
      </c>
      <c r="J21" s="11">
        <f t="shared" si="4"/>
        <v>-4286014.8899999997</v>
      </c>
      <c r="K21" s="12">
        <f t="shared" si="5"/>
        <v>0</v>
      </c>
      <c r="L21" s="13"/>
    </row>
    <row r="22" spans="1:12" x14ac:dyDescent="0.2">
      <c r="A22" s="7" t="s">
        <v>101</v>
      </c>
      <c r="B22" s="9" t="s">
        <v>102</v>
      </c>
      <c r="C22" s="9" t="s">
        <v>197</v>
      </c>
      <c r="D22" s="7" t="s">
        <v>141</v>
      </c>
      <c r="E22" s="4">
        <v>4235446.1500000004</v>
      </c>
      <c r="F22" s="11">
        <f t="shared" si="0"/>
        <v>4235446.1500000004</v>
      </c>
      <c r="G22" s="12">
        <f t="shared" si="1"/>
        <v>0</v>
      </c>
      <c r="H22" s="11">
        <f t="shared" si="2"/>
        <v>0</v>
      </c>
      <c r="I22" s="12">
        <f t="shared" si="3"/>
        <v>0</v>
      </c>
      <c r="J22" s="11">
        <f t="shared" si="4"/>
        <v>4235446.1500000004</v>
      </c>
      <c r="K22" s="12">
        <f t="shared" si="5"/>
        <v>0</v>
      </c>
      <c r="L22" s="13"/>
    </row>
    <row r="23" spans="1:12" x14ac:dyDescent="0.2">
      <c r="A23" s="7" t="s">
        <v>101</v>
      </c>
      <c r="B23" s="9" t="s">
        <v>102</v>
      </c>
      <c r="C23" s="9" t="s">
        <v>198</v>
      </c>
      <c r="D23" s="7" t="s">
        <v>144</v>
      </c>
      <c r="E23" s="4">
        <v>-23280.11</v>
      </c>
      <c r="F23" s="11">
        <f t="shared" si="0"/>
        <v>-23280.11</v>
      </c>
      <c r="G23" s="12">
        <f t="shared" si="1"/>
        <v>0</v>
      </c>
      <c r="H23" s="11">
        <f t="shared" si="2"/>
        <v>0</v>
      </c>
      <c r="I23" s="12">
        <f t="shared" si="3"/>
        <v>0</v>
      </c>
      <c r="J23" s="11">
        <f t="shared" si="4"/>
        <v>-23280.11</v>
      </c>
      <c r="K23" s="12">
        <f t="shared" si="5"/>
        <v>0</v>
      </c>
      <c r="L23" s="13"/>
    </row>
    <row r="24" spans="1:12" x14ac:dyDescent="0.2">
      <c r="A24" s="7" t="s">
        <v>101</v>
      </c>
      <c r="B24" s="9" t="s">
        <v>102</v>
      </c>
      <c r="C24" s="9" t="s">
        <v>198</v>
      </c>
      <c r="D24" s="7" t="s">
        <v>145</v>
      </c>
      <c r="E24" s="4">
        <v>5713881.2199999997</v>
      </c>
      <c r="F24" s="11">
        <f t="shared" si="0"/>
        <v>5713881.2199999997</v>
      </c>
      <c r="G24" s="12">
        <f t="shared" si="1"/>
        <v>0</v>
      </c>
      <c r="H24" s="11">
        <f t="shared" si="2"/>
        <v>0</v>
      </c>
      <c r="I24" s="12">
        <f t="shared" si="3"/>
        <v>0</v>
      </c>
      <c r="J24" s="11">
        <f t="shared" si="4"/>
        <v>5713881.2199999997</v>
      </c>
      <c r="K24" s="12">
        <f t="shared" si="5"/>
        <v>0</v>
      </c>
      <c r="L24" s="13"/>
    </row>
    <row r="25" spans="1:12" x14ac:dyDescent="0.2">
      <c r="A25" s="7" t="s">
        <v>101</v>
      </c>
      <c r="B25" s="9" t="s">
        <v>102</v>
      </c>
      <c r="C25" s="9" t="s">
        <v>198</v>
      </c>
      <c r="D25" s="7" t="s">
        <v>146</v>
      </c>
      <c r="E25" s="4">
        <v>-4235446.1500000004</v>
      </c>
      <c r="F25" s="11">
        <f t="shared" si="0"/>
        <v>-4235446.1500000004</v>
      </c>
      <c r="G25" s="12">
        <f t="shared" si="1"/>
        <v>0</v>
      </c>
      <c r="H25" s="11">
        <f t="shared" si="2"/>
        <v>0</v>
      </c>
      <c r="I25" s="12">
        <f t="shared" si="3"/>
        <v>0</v>
      </c>
      <c r="J25" s="11">
        <f t="shared" si="4"/>
        <v>-4235446.1500000004</v>
      </c>
      <c r="K25" s="12">
        <f t="shared" si="5"/>
        <v>0</v>
      </c>
      <c r="L25" s="13"/>
    </row>
    <row r="26" spans="1:12" x14ac:dyDescent="0.2">
      <c r="A26" s="7" t="s">
        <v>101</v>
      </c>
      <c r="B26" s="9" t="s">
        <v>102</v>
      </c>
      <c r="C26" s="9" t="s">
        <v>198</v>
      </c>
      <c r="D26" s="7" t="s">
        <v>147</v>
      </c>
      <c r="E26" s="4">
        <v>4252727.79</v>
      </c>
      <c r="F26" s="11">
        <f t="shared" si="0"/>
        <v>4252727.79</v>
      </c>
      <c r="G26" s="12">
        <f t="shared" si="1"/>
        <v>0</v>
      </c>
      <c r="H26" s="11">
        <f t="shared" si="2"/>
        <v>0</v>
      </c>
      <c r="I26" s="12">
        <f t="shared" si="3"/>
        <v>0</v>
      </c>
      <c r="J26" s="11">
        <f t="shared" si="4"/>
        <v>4252727.79</v>
      </c>
      <c r="K26" s="12">
        <f t="shared" si="5"/>
        <v>0</v>
      </c>
      <c r="L26" s="13"/>
    </row>
    <row r="27" spans="1:12" x14ac:dyDescent="0.2">
      <c r="A27" s="7" t="s">
        <v>101</v>
      </c>
      <c r="B27" s="9" t="s">
        <v>102</v>
      </c>
      <c r="C27" s="9" t="s">
        <v>199</v>
      </c>
      <c r="D27" s="7" t="s">
        <v>152</v>
      </c>
      <c r="E27" s="4">
        <v>-24658.28</v>
      </c>
      <c r="F27" s="11">
        <f t="shared" si="0"/>
        <v>-24658.28</v>
      </c>
      <c r="G27" s="12">
        <f t="shared" si="1"/>
        <v>0</v>
      </c>
      <c r="H27" s="11">
        <f t="shared" si="2"/>
        <v>0</v>
      </c>
      <c r="I27" s="12">
        <f t="shared" si="3"/>
        <v>0</v>
      </c>
      <c r="J27" s="11">
        <f t="shared" si="4"/>
        <v>-24658.28</v>
      </c>
      <c r="K27" s="12">
        <f t="shared" si="5"/>
        <v>0</v>
      </c>
      <c r="L27" s="13"/>
    </row>
    <row r="28" spans="1:12" x14ac:dyDescent="0.2">
      <c r="A28" s="7" t="s">
        <v>101</v>
      </c>
      <c r="B28" s="9" t="s">
        <v>102</v>
      </c>
      <c r="C28" s="9" t="s">
        <v>199</v>
      </c>
      <c r="D28" s="7" t="s">
        <v>153</v>
      </c>
      <c r="E28" s="4">
        <v>5773034.2599999998</v>
      </c>
      <c r="F28" s="11">
        <f t="shared" si="0"/>
        <v>5773034.2599999998</v>
      </c>
      <c r="G28" s="12">
        <f t="shared" si="1"/>
        <v>0</v>
      </c>
      <c r="H28" s="11">
        <f t="shared" si="2"/>
        <v>0</v>
      </c>
      <c r="I28" s="12">
        <f t="shared" si="3"/>
        <v>0</v>
      </c>
      <c r="J28" s="11">
        <f t="shared" si="4"/>
        <v>5773034.2599999998</v>
      </c>
      <c r="K28" s="12">
        <f t="shared" si="5"/>
        <v>0</v>
      </c>
      <c r="L28" s="13"/>
    </row>
    <row r="29" spans="1:12" x14ac:dyDescent="0.2">
      <c r="A29" s="7" t="s">
        <v>101</v>
      </c>
      <c r="B29" s="9" t="s">
        <v>102</v>
      </c>
      <c r="C29" s="9" t="s">
        <v>199</v>
      </c>
      <c r="D29" s="7" t="s">
        <v>154</v>
      </c>
      <c r="E29" s="4">
        <v>-4252727.79</v>
      </c>
      <c r="F29" s="11">
        <f t="shared" si="0"/>
        <v>-4252727.79</v>
      </c>
      <c r="G29" s="12">
        <f t="shared" si="1"/>
        <v>0</v>
      </c>
      <c r="H29" s="11">
        <f t="shared" si="2"/>
        <v>0</v>
      </c>
      <c r="I29" s="12">
        <f t="shared" si="3"/>
        <v>0</v>
      </c>
      <c r="J29" s="11">
        <f t="shared" si="4"/>
        <v>-4252727.79</v>
      </c>
      <c r="K29" s="12">
        <f t="shared" si="5"/>
        <v>0</v>
      </c>
      <c r="L29" s="13"/>
    </row>
    <row r="30" spans="1:12" x14ac:dyDescent="0.2">
      <c r="A30" s="7" t="s">
        <v>101</v>
      </c>
      <c r="B30" s="9" t="s">
        <v>102</v>
      </c>
      <c r="C30" s="9" t="s">
        <v>199</v>
      </c>
      <c r="D30" s="7" t="s">
        <v>155</v>
      </c>
      <c r="E30" s="4">
        <v>4726437.42</v>
      </c>
      <c r="F30" s="11">
        <f t="shared" si="0"/>
        <v>4726437.42</v>
      </c>
      <c r="G30" s="12">
        <f t="shared" si="1"/>
        <v>0</v>
      </c>
      <c r="H30" s="11">
        <f t="shared" si="2"/>
        <v>0</v>
      </c>
      <c r="I30" s="12">
        <f t="shared" si="3"/>
        <v>0</v>
      </c>
      <c r="J30" s="11">
        <f t="shared" si="4"/>
        <v>4726437.42</v>
      </c>
      <c r="K30" s="12">
        <f t="shared" si="5"/>
        <v>0</v>
      </c>
      <c r="L30" s="13"/>
    </row>
    <row r="31" spans="1:12" x14ac:dyDescent="0.2">
      <c r="A31" s="7" t="s">
        <v>101</v>
      </c>
      <c r="B31" s="9" t="s">
        <v>102</v>
      </c>
      <c r="C31" s="9" t="s">
        <v>200</v>
      </c>
      <c r="D31" s="7" t="s">
        <v>157</v>
      </c>
      <c r="E31" s="4">
        <v>-26339.34</v>
      </c>
      <c r="F31" s="11">
        <f t="shared" si="0"/>
        <v>-26339.34</v>
      </c>
      <c r="G31" s="12">
        <f t="shared" si="1"/>
        <v>0</v>
      </c>
      <c r="H31" s="11">
        <f t="shared" si="2"/>
        <v>0</v>
      </c>
      <c r="I31" s="12">
        <f t="shared" si="3"/>
        <v>0</v>
      </c>
      <c r="J31" s="11">
        <f t="shared" si="4"/>
        <v>-26339.34</v>
      </c>
      <c r="K31" s="12">
        <f t="shared" si="5"/>
        <v>0</v>
      </c>
      <c r="L31" s="13"/>
    </row>
    <row r="32" spans="1:12" x14ac:dyDescent="0.2">
      <c r="A32" s="7" t="s">
        <v>101</v>
      </c>
      <c r="B32" s="9" t="s">
        <v>102</v>
      </c>
      <c r="C32" s="9" t="s">
        <v>200</v>
      </c>
      <c r="D32" s="7" t="s">
        <v>158</v>
      </c>
      <c r="E32" s="4">
        <v>5818060.5700000003</v>
      </c>
      <c r="F32" s="11">
        <f t="shared" si="0"/>
        <v>5818060.5700000003</v>
      </c>
      <c r="G32" s="12">
        <f t="shared" si="1"/>
        <v>0</v>
      </c>
      <c r="H32" s="11">
        <f t="shared" si="2"/>
        <v>0</v>
      </c>
      <c r="I32" s="12">
        <f t="shared" si="3"/>
        <v>0</v>
      </c>
      <c r="J32" s="11">
        <f t="shared" si="4"/>
        <v>5818060.5700000003</v>
      </c>
      <c r="K32" s="12">
        <f t="shared" si="5"/>
        <v>0</v>
      </c>
      <c r="L32" s="13"/>
    </row>
    <row r="33" spans="1:12" x14ac:dyDescent="0.2">
      <c r="A33" s="7" t="s">
        <v>101</v>
      </c>
      <c r="B33" s="9" t="s">
        <v>102</v>
      </c>
      <c r="C33" s="9" t="s">
        <v>200</v>
      </c>
      <c r="D33" s="7" t="s">
        <v>159</v>
      </c>
      <c r="E33" s="4">
        <v>-4726437.42</v>
      </c>
      <c r="F33" s="11">
        <f t="shared" si="0"/>
        <v>-4726437.42</v>
      </c>
      <c r="G33" s="12">
        <f t="shared" si="1"/>
        <v>0</v>
      </c>
      <c r="H33" s="11">
        <f t="shared" si="2"/>
        <v>0</v>
      </c>
      <c r="I33" s="12">
        <f t="shared" si="3"/>
        <v>0</v>
      </c>
      <c r="J33" s="11">
        <f t="shared" si="4"/>
        <v>-4726437.42</v>
      </c>
      <c r="K33" s="12">
        <f t="shared" si="5"/>
        <v>0</v>
      </c>
      <c r="L33" s="13"/>
    </row>
    <row r="34" spans="1:12" x14ac:dyDescent="0.2">
      <c r="A34" s="7" t="s">
        <v>101</v>
      </c>
      <c r="B34" s="9" t="s">
        <v>102</v>
      </c>
      <c r="C34" s="9" t="s">
        <v>200</v>
      </c>
      <c r="D34" s="7" t="s">
        <v>160</v>
      </c>
      <c r="E34" s="4">
        <v>4517777.9800000004</v>
      </c>
      <c r="F34" s="11">
        <f t="shared" si="0"/>
        <v>4517777.9800000004</v>
      </c>
      <c r="G34" s="12">
        <f t="shared" si="1"/>
        <v>0</v>
      </c>
      <c r="H34" s="11">
        <f t="shared" si="2"/>
        <v>0</v>
      </c>
      <c r="I34" s="12">
        <f t="shared" si="3"/>
        <v>0</v>
      </c>
      <c r="J34" s="11">
        <f t="shared" si="4"/>
        <v>4517777.9800000004</v>
      </c>
      <c r="K34" s="12">
        <f t="shared" si="5"/>
        <v>0</v>
      </c>
      <c r="L34" s="13"/>
    </row>
    <row r="35" spans="1:12" x14ac:dyDescent="0.2">
      <c r="A35" s="7" t="s">
        <v>101</v>
      </c>
      <c r="B35" s="9" t="s">
        <v>102</v>
      </c>
      <c r="C35" s="9" t="s">
        <v>201</v>
      </c>
      <c r="D35" s="7" t="s">
        <v>164</v>
      </c>
      <c r="E35" s="4">
        <v>-25933.56</v>
      </c>
      <c r="F35" s="11">
        <f t="shared" ref="F35:F66" si="6">IF($A35="40810002",$E35,IF($A35="40810602",$E35*$N$4,0))</f>
        <v>-25933.56</v>
      </c>
      <c r="G35" s="12">
        <f t="shared" si="1"/>
        <v>0</v>
      </c>
      <c r="H35" s="11">
        <f t="shared" si="2"/>
        <v>0</v>
      </c>
      <c r="I35" s="12">
        <f t="shared" si="3"/>
        <v>0</v>
      </c>
      <c r="J35" s="11">
        <f t="shared" si="4"/>
        <v>-25933.56</v>
      </c>
      <c r="K35" s="12">
        <f t="shared" si="5"/>
        <v>0</v>
      </c>
      <c r="L35" s="13"/>
    </row>
    <row r="36" spans="1:12" x14ac:dyDescent="0.2">
      <c r="A36" s="7" t="s">
        <v>101</v>
      </c>
      <c r="B36" s="9" t="s">
        <v>102</v>
      </c>
      <c r="C36" s="9" t="s">
        <v>201</v>
      </c>
      <c r="D36" s="7" t="s">
        <v>165</v>
      </c>
      <c r="E36" s="4">
        <v>6097753.0999999996</v>
      </c>
      <c r="F36" s="11">
        <f t="shared" si="6"/>
        <v>6097753.0999999996</v>
      </c>
      <c r="G36" s="12">
        <f t="shared" si="1"/>
        <v>0</v>
      </c>
      <c r="H36" s="11">
        <f t="shared" si="2"/>
        <v>0</v>
      </c>
      <c r="I36" s="12">
        <f t="shared" si="3"/>
        <v>0</v>
      </c>
      <c r="J36" s="11">
        <f t="shared" si="4"/>
        <v>6097753.0999999996</v>
      </c>
      <c r="K36" s="12">
        <f t="shared" si="5"/>
        <v>0</v>
      </c>
      <c r="L36" s="13"/>
    </row>
    <row r="37" spans="1:12" x14ac:dyDescent="0.2">
      <c r="A37" s="7" t="s">
        <v>101</v>
      </c>
      <c r="B37" s="9" t="s">
        <v>102</v>
      </c>
      <c r="C37" s="9" t="s">
        <v>201</v>
      </c>
      <c r="D37" s="7" t="s">
        <v>166</v>
      </c>
      <c r="E37" s="4">
        <v>4458.2299999999996</v>
      </c>
      <c r="F37" s="11">
        <f t="shared" si="6"/>
        <v>4458.2299999999996</v>
      </c>
      <c r="G37" s="12">
        <f t="shared" si="1"/>
        <v>0</v>
      </c>
      <c r="H37" s="11">
        <f t="shared" si="2"/>
        <v>0</v>
      </c>
      <c r="I37" s="12">
        <f t="shared" si="3"/>
        <v>0</v>
      </c>
      <c r="J37" s="11">
        <f t="shared" si="4"/>
        <v>4458.2299999999996</v>
      </c>
      <c r="K37" s="12">
        <f t="shared" si="5"/>
        <v>0</v>
      </c>
      <c r="L37" s="13"/>
    </row>
    <row r="38" spans="1:12" x14ac:dyDescent="0.2">
      <c r="A38" s="7" t="s">
        <v>101</v>
      </c>
      <c r="B38" s="9" t="s">
        <v>102</v>
      </c>
      <c r="C38" s="9" t="s">
        <v>201</v>
      </c>
      <c r="D38" s="7" t="s">
        <v>167</v>
      </c>
      <c r="E38" s="4">
        <v>-4517777.9800000004</v>
      </c>
      <c r="F38" s="11">
        <f t="shared" si="6"/>
        <v>-4517777.9800000004</v>
      </c>
      <c r="G38" s="12">
        <f t="shared" si="1"/>
        <v>0</v>
      </c>
      <c r="H38" s="11">
        <f t="shared" si="2"/>
        <v>0</v>
      </c>
      <c r="I38" s="12">
        <f t="shared" si="3"/>
        <v>0</v>
      </c>
      <c r="J38" s="11">
        <f t="shared" si="4"/>
        <v>-4517777.9800000004</v>
      </c>
      <c r="K38" s="12">
        <f t="shared" si="5"/>
        <v>0</v>
      </c>
      <c r="L38" s="13"/>
    </row>
    <row r="39" spans="1:12" x14ac:dyDescent="0.2">
      <c r="A39" s="7" t="s">
        <v>101</v>
      </c>
      <c r="B39" s="9" t="s">
        <v>102</v>
      </c>
      <c r="C39" s="9" t="s">
        <v>201</v>
      </c>
      <c r="D39" s="7" t="s">
        <v>168</v>
      </c>
      <c r="E39" s="4">
        <v>5207138.1100000003</v>
      </c>
      <c r="F39" s="11">
        <f t="shared" si="6"/>
        <v>5207138.1100000003</v>
      </c>
      <c r="G39" s="12">
        <f t="shared" si="1"/>
        <v>0</v>
      </c>
      <c r="H39" s="11">
        <f t="shared" si="2"/>
        <v>0</v>
      </c>
      <c r="I39" s="12">
        <f t="shared" si="3"/>
        <v>0</v>
      </c>
      <c r="J39" s="11">
        <f t="shared" si="4"/>
        <v>5207138.1100000003</v>
      </c>
      <c r="K39" s="12">
        <f t="shared" si="5"/>
        <v>0</v>
      </c>
      <c r="L39" s="13"/>
    </row>
    <row r="40" spans="1:12" x14ac:dyDescent="0.2">
      <c r="A40" s="7" t="s">
        <v>101</v>
      </c>
      <c r="B40" s="9" t="s">
        <v>102</v>
      </c>
      <c r="C40" s="9" t="s">
        <v>202</v>
      </c>
      <c r="D40" s="7" t="s">
        <v>173</v>
      </c>
      <c r="E40" s="4">
        <v>-70196.12</v>
      </c>
      <c r="F40" s="11">
        <f t="shared" si="6"/>
        <v>-70196.12</v>
      </c>
      <c r="G40" s="12">
        <f t="shared" si="1"/>
        <v>0</v>
      </c>
      <c r="H40" s="11">
        <f t="shared" si="2"/>
        <v>0</v>
      </c>
      <c r="I40" s="12">
        <f t="shared" si="3"/>
        <v>0</v>
      </c>
      <c r="J40" s="11">
        <f t="shared" si="4"/>
        <v>-70196.12</v>
      </c>
      <c r="K40" s="12">
        <f t="shared" si="5"/>
        <v>0</v>
      </c>
      <c r="L40" s="13"/>
    </row>
    <row r="41" spans="1:12" x14ac:dyDescent="0.2">
      <c r="A41" s="7" t="s">
        <v>101</v>
      </c>
      <c r="B41" s="9" t="s">
        <v>102</v>
      </c>
      <c r="C41" s="9" t="s">
        <v>202</v>
      </c>
      <c r="D41" s="7" t="s">
        <v>174</v>
      </c>
      <c r="E41" s="4">
        <v>6581837.0899999999</v>
      </c>
      <c r="F41" s="11">
        <f t="shared" si="6"/>
        <v>6581837.0899999999</v>
      </c>
      <c r="G41" s="12">
        <f t="shared" si="1"/>
        <v>0</v>
      </c>
      <c r="H41" s="11">
        <f t="shared" si="2"/>
        <v>0</v>
      </c>
      <c r="I41" s="12">
        <f t="shared" si="3"/>
        <v>0</v>
      </c>
      <c r="J41" s="11">
        <f t="shared" si="4"/>
        <v>6581837.0899999999</v>
      </c>
      <c r="K41" s="12">
        <f t="shared" si="5"/>
        <v>0</v>
      </c>
      <c r="L41" s="13"/>
    </row>
    <row r="42" spans="1:12" x14ac:dyDescent="0.2">
      <c r="A42" s="7" t="s">
        <v>101</v>
      </c>
      <c r="B42" s="9" t="s">
        <v>102</v>
      </c>
      <c r="C42" s="9" t="s">
        <v>202</v>
      </c>
      <c r="D42" s="7" t="s">
        <v>175</v>
      </c>
      <c r="E42" s="4">
        <v>-5207138.1100000003</v>
      </c>
      <c r="F42" s="11">
        <f t="shared" si="6"/>
        <v>-5207138.1100000003</v>
      </c>
      <c r="G42" s="12">
        <f t="shared" si="1"/>
        <v>0</v>
      </c>
      <c r="H42" s="11">
        <f t="shared" si="2"/>
        <v>0</v>
      </c>
      <c r="I42" s="12">
        <f t="shared" si="3"/>
        <v>0</v>
      </c>
      <c r="J42" s="11">
        <f t="shared" si="4"/>
        <v>-5207138.1100000003</v>
      </c>
      <c r="K42" s="12">
        <f t="shared" si="5"/>
        <v>0</v>
      </c>
      <c r="L42" s="13"/>
    </row>
    <row r="43" spans="1:12" x14ac:dyDescent="0.2">
      <c r="A43" s="7" t="s">
        <v>101</v>
      </c>
      <c r="B43" s="9" t="s">
        <v>102</v>
      </c>
      <c r="C43" s="9" t="s">
        <v>202</v>
      </c>
      <c r="D43" s="7" t="s">
        <v>176</v>
      </c>
      <c r="E43" s="4">
        <v>5751946.5099999998</v>
      </c>
      <c r="F43" s="11">
        <f t="shared" si="6"/>
        <v>5751946.5099999998</v>
      </c>
      <c r="G43" s="12">
        <f t="shared" si="1"/>
        <v>0</v>
      </c>
      <c r="H43" s="11">
        <f t="shared" si="2"/>
        <v>0</v>
      </c>
      <c r="I43" s="12">
        <f t="shared" si="3"/>
        <v>0</v>
      </c>
      <c r="J43" s="11">
        <f t="shared" si="4"/>
        <v>5751946.5099999998</v>
      </c>
      <c r="K43" s="12">
        <f t="shared" si="5"/>
        <v>0</v>
      </c>
      <c r="L43" s="13"/>
    </row>
    <row r="44" spans="1:12" x14ac:dyDescent="0.2">
      <c r="A44" s="7" t="s">
        <v>101</v>
      </c>
      <c r="B44" s="9" t="s">
        <v>102</v>
      </c>
      <c r="C44" s="9" t="s">
        <v>203</v>
      </c>
      <c r="D44" s="7" t="s">
        <v>180</v>
      </c>
      <c r="E44" s="4">
        <v>-42498.95</v>
      </c>
      <c r="F44" s="11">
        <f t="shared" si="6"/>
        <v>-42498.95</v>
      </c>
      <c r="G44" s="12">
        <f t="shared" si="1"/>
        <v>0</v>
      </c>
      <c r="H44" s="11">
        <f t="shared" si="2"/>
        <v>0</v>
      </c>
      <c r="I44" s="12">
        <f t="shared" si="3"/>
        <v>0</v>
      </c>
      <c r="J44" s="11">
        <f t="shared" si="4"/>
        <v>-42498.95</v>
      </c>
      <c r="K44" s="12">
        <f t="shared" si="5"/>
        <v>0</v>
      </c>
      <c r="L44" s="13"/>
    </row>
    <row r="45" spans="1:12" x14ac:dyDescent="0.2">
      <c r="A45" s="7" t="s">
        <v>101</v>
      </c>
      <c r="B45" s="9" t="s">
        <v>102</v>
      </c>
      <c r="C45" s="9" t="s">
        <v>203</v>
      </c>
      <c r="D45" s="7" t="s">
        <v>181</v>
      </c>
      <c r="E45" s="4">
        <v>8382075.7300000004</v>
      </c>
      <c r="F45" s="11">
        <f t="shared" si="6"/>
        <v>8382075.7300000004</v>
      </c>
      <c r="G45" s="12">
        <f t="shared" si="1"/>
        <v>0</v>
      </c>
      <c r="H45" s="11">
        <f t="shared" si="2"/>
        <v>0</v>
      </c>
      <c r="I45" s="12">
        <f t="shared" si="3"/>
        <v>0</v>
      </c>
      <c r="J45" s="11">
        <f t="shared" si="4"/>
        <v>8382075.7300000004</v>
      </c>
      <c r="K45" s="12">
        <f t="shared" si="5"/>
        <v>0</v>
      </c>
      <c r="L45" s="13"/>
    </row>
    <row r="46" spans="1:12" x14ac:dyDescent="0.2">
      <c r="A46" s="7" t="s">
        <v>101</v>
      </c>
      <c r="B46" s="9" t="s">
        <v>102</v>
      </c>
      <c r="C46" s="9" t="s">
        <v>203</v>
      </c>
      <c r="D46" s="7" t="s">
        <v>182</v>
      </c>
      <c r="E46" s="4">
        <v>-5751946.5099999998</v>
      </c>
      <c r="F46" s="11">
        <f t="shared" si="6"/>
        <v>-5751946.5099999998</v>
      </c>
      <c r="G46" s="12">
        <f t="shared" si="1"/>
        <v>0</v>
      </c>
      <c r="H46" s="11">
        <f t="shared" si="2"/>
        <v>0</v>
      </c>
      <c r="I46" s="12">
        <f t="shared" si="3"/>
        <v>0</v>
      </c>
      <c r="J46" s="11">
        <f t="shared" si="4"/>
        <v>-5751946.5099999998</v>
      </c>
      <c r="K46" s="12">
        <f t="shared" si="5"/>
        <v>0</v>
      </c>
      <c r="L46" s="13"/>
    </row>
    <row r="47" spans="1:12" x14ac:dyDescent="0.2">
      <c r="A47" s="7" t="s">
        <v>101</v>
      </c>
      <c r="B47" s="9" t="s">
        <v>102</v>
      </c>
      <c r="C47" s="9" t="s">
        <v>203</v>
      </c>
      <c r="D47" s="7" t="s">
        <v>183</v>
      </c>
      <c r="E47" s="4">
        <v>6105635.1699999999</v>
      </c>
      <c r="F47" s="11">
        <f t="shared" si="6"/>
        <v>6105635.1699999999</v>
      </c>
      <c r="G47" s="12">
        <f t="shared" si="1"/>
        <v>0</v>
      </c>
      <c r="H47" s="11">
        <f t="shared" si="2"/>
        <v>0</v>
      </c>
      <c r="I47" s="12">
        <f t="shared" si="3"/>
        <v>0</v>
      </c>
      <c r="J47" s="11">
        <f t="shared" si="4"/>
        <v>6105635.1699999999</v>
      </c>
      <c r="K47" s="12">
        <f t="shared" si="5"/>
        <v>0</v>
      </c>
      <c r="L47" s="13"/>
    </row>
    <row r="48" spans="1:12" x14ac:dyDescent="0.2">
      <c r="A48" s="7" t="s">
        <v>106</v>
      </c>
      <c r="B48" s="9" t="s">
        <v>102</v>
      </c>
      <c r="C48" s="9" t="s">
        <v>192</v>
      </c>
      <c r="D48" s="7" t="s">
        <v>107</v>
      </c>
      <c r="E48" s="4">
        <v>-144576.54999999999</v>
      </c>
      <c r="F48" s="11">
        <f t="shared" si="6"/>
        <v>0</v>
      </c>
      <c r="G48" s="12">
        <f t="shared" si="1"/>
        <v>-144576.54999999999</v>
      </c>
      <c r="H48" s="11">
        <f t="shared" si="2"/>
        <v>0</v>
      </c>
      <c r="I48" s="12">
        <f t="shared" si="3"/>
        <v>144576.54999999999</v>
      </c>
      <c r="J48" s="11">
        <f t="shared" si="4"/>
        <v>0</v>
      </c>
      <c r="K48" s="12">
        <f t="shared" si="5"/>
        <v>0</v>
      </c>
      <c r="L48" s="13">
        <v>1</v>
      </c>
    </row>
    <row r="49" spans="1:12" x14ac:dyDescent="0.2">
      <c r="A49" s="7" t="s">
        <v>106</v>
      </c>
      <c r="B49" s="9" t="s">
        <v>102</v>
      </c>
      <c r="C49" s="9" t="s">
        <v>192</v>
      </c>
      <c r="D49" s="7" t="s">
        <v>108</v>
      </c>
      <c r="E49" s="4">
        <v>225.47</v>
      </c>
      <c r="F49" s="11">
        <f t="shared" si="6"/>
        <v>0</v>
      </c>
      <c r="G49" s="12">
        <f t="shared" si="1"/>
        <v>225.47</v>
      </c>
      <c r="H49" s="11">
        <f t="shared" si="2"/>
        <v>0</v>
      </c>
      <c r="I49" s="12">
        <f t="shared" si="3"/>
        <v>0</v>
      </c>
      <c r="J49" s="11">
        <f t="shared" si="4"/>
        <v>0</v>
      </c>
      <c r="K49" s="12">
        <f t="shared" si="5"/>
        <v>225.47</v>
      </c>
      <c r="L49" s="13"/>
    </row>
    <row r="50" spans="1:12" x14ac:dyDescent="0.2">
      <c r="A50" s="7" t="s">
        <v>106</v>
      </c>
      <c r="B50" s="9" t="s">
        <v>102</v>
      </c>
      <c r="C50" s="9" t="s">
        <v>192</v>
      </c>
      <c r="D50" s="7" t="s">
        <v>103</v>
      </c>
      <c r="E50" s="4">
        <v>4106101.59</v>
      </c>
      <c r="F50" s="11">
        <f t="shared" si="6"/>
        <v>0</v>
      </c>
      <c r="G50" s="12">
        <f t="shared" si="1"/>
        <v>4106101.59</v>
      </c>
      <c r="H50" s="11">
        <f t="shared" si="2"/>
        <v>0</v>
      </c>
      <c r="I50" s="12">
        <f t="shared" si="3"/>
        <v>0</v>
      </c>
      <c r="J50" s="11">
        <f t="shared" si="4"/>
        <v>0</v>
      </c>
      <c r="K50" s="12">
        <f t="shared" si="5"/>
        <v>4106101.59</v>
      </c>
      <c r="L50" s="13"/>
    </row>
    <row r="51" spans="1:12" x14ac:dyDescent="0.2">
      <c r="A51" s="7" t="s">
        <v>106</v>
      </c>
      <c r="B51" s="9" t="s">
        <v>102</v>
      </c>
      <c r="C51" s="9" t="s">
        <v>192</v>
      </c>
      <c r="D51" s="7" t="s">
        <v>104</v>
      </c>
      <c r="E51" s="4">
        <v>-2318086.25</v>
      </c>
      <c r="F51" s="11">
        <f t="shared" si="6"/>
        <v>0</v>
      </c>
      <c r="G51" s="12">
        <f t="shared" si="1"/>
        <v>-2318086.25</v>
      </c>
      <c r="H51" s="11">
        <f t="shared" si="2"/>
        <v>0</v>
      </c>
      <c r="I51" s="12">
        <f t="shared" si="3"/>
        <v>0</v>
      </c>
      <c r="J51" s="11">
        <f t="shared" si="4"/>
        <v>0</v>
      </c>
      <c r="K51" s="12">
        <f t="shared" si="5"/>
        <v>-2318086.25</v>
      </c>
      <c r="L51" s="13"/>
    </row>
    <row r="52" spans="1:12" x14ac:dyDescent="0.2">
      <c r="A52" s="7" t="s">
        <v>106</v>
      </c>
      <c r="B52" s="9" t="s">
        <v>102</v>
      </c>
      <c r="C52" s="9" t="s">
        <v>192</v>
      </c>
      <c r="D52" s="7" t="s">
        <v>105</v>
      </c>
      <c r="E52" s="4">
        <v>2433137.4900000002</v>
      </c>
      <c r="F52" s="11">
        <f t="shared" si="6"/>
        <v>0</v>
      </c>
      <c r="G52" s="12">
        <f t="shared" si="1"/>
        <v>2433137.4900000002</v>
      </c>
      <c r="H52" s="11">
        <f t="shared" si="2"/>
        <v>0</v>
      </c>
      <c r="I52" s="12">
        <f t="shared" si="3"/>
        <v>0</v>
      </c>
      <c r="J52" s="11">
        <f t="shared" si="4"/>
        <v>0</v>
      </c>
      <c r="K52" s="12">
        <f t="shared" si="5"/>
        <v>2433137.4900000002</v>
      </c>
      <c r="L52" s="13"/>
    </row>
    <row r="53" spans="1:12" x14ac:dyDescent="0.2">
      <c r="A53" s="7" t="s">
        <v>106</v>
      </c>
      <c r="B53" s="9" t="s">
        <v>102</v>
      </c>
      <c r="C53" s="9" t="s">
        <v>193</v>
      </c>
      <c r="D53" s="7" t="s">
        <v>115</v>
      </c>
      <c r="E53" s="4">
        <v>-225.47</v>
      </c>
      <c r="F53" s="11">
        <f t="shared" si="6"/>
        <v>0</v>
      </c>
      <c r="G53" s="12">
        <f t="shared" si="1"/>
        <v>-225.47</v>
      </c>
      <c r="H53" s="11">
        <f t="shared" si="2"/>
        <v>0</v>
      </c>
      <c r="I53" s="12">
        <f t="shared" si="3"/>
        <v>0</v>
      </c>
      <c r="J53" s="11">
        <f t="shared" si="4"/>
        <v>0</v>
      </c>
      <c r="K53" s="12">
        <f t="shared" si="5"/>
        <v>-225.47</v>
      </c>
      <c r="L53" s="13"/>
    </row>
    <row r="54" spans="1:12" x14ac:dyDescent="0.2">
      <c r="A54" s="7" t="s">
        <v>106</v>
      </c>
      <c r="B54" s="9" t="s">
        <v>102</v>
      </c>
      <c r="C54" s="9" t="s">
        <v>193</v>
      </c>
      <c r="D54" s="7" t="s">
        <v>112</v>
      </c>
      <c r="E54" s="4">
        <v>4548984.2300000004</v>
      </c>
      <c r="F54" s="11">
        <f t="shared" si="6"/>
        <v>0</v>
      </c>
      <c r="G54" s="12">
        <f t="shared" si="1"/>
        <v>4548984.2300000004</v>
      </c>
      <c r="H54" s="11">
        <f t="shared" si="2"/>
        <v>0</v>
      </c>
      <c r="I54" s="12">
        <f t="shared" si="3"/>
        <v>0</v>
      </c>
      <c r="J54" s="11">
        <f t="shared" si="4"/>
        <v>0</v>
      </c>
      <c r="K54" s="12">
        <f t="shared" si="5"/>
        <v>4548984.2300000004</v>
      </c>
      <c r="L54" s="13"/>
    </row>
    <row r="55" spans="1:12" x14ac:dyDescent="0.2">
      <c r="A55" s="7" t="s">
        <v>106</v>
      </c>
      <c r="B55" s="9" t="s">
        <v>102</v>
      </c>
      <c r="C55" s="9" t="s">
        <v>193</v>
      </c>
      <c r="D55" s="7" t="s">
        <v>113</v>
      </c>
      <c r="E55" s="4">
        <v>-2433137.4900000002</v>
      </c>
      <c r="F55" s="11">
        <f t="shared" si="6"/>
        <v>0</v>
      </c>
      <c r="G55" s="12">
        <f t="shared" si="1"/>
        <v>-2433137.4900000002</v>
      </c>
      <c r="H55" s="11">
        <f t="shared" si="2"/>
        <v>0</v>
      </c>
      <c r="I55" s="12">
        <f t="shared" si="3"/>
        <v>0</v>
      </c>
      <c r="J55" s="11">
        <f t="shared" si="4"/>
        <v>0</v>
      </c>
      <c r="K55" s="12">
        <f t="shared" si="5"/>
        <v>-2433137.4900000002</v>
      </c>
      <c r="L55" s="13"/>
    </row>
    <row r="56" spans="1:12" x14ac:dyDescent="0.2">
      <c r="A56" s="7" t="s">
        <v>106</v>
      </c>
      <c r="B56" s="9" t="s">
        <v>102</v>
      </c>
      <c r="C56" s="9" t="s">
        <v>193</v>
      </c>
      <c r="D56" s="7" t="s">
        <v>116</v>
      </c>
      <c r="E56" s="4">
        <v>218.25</v>
      </c>
      <c r="F56" s="11">
        <f t="shared" si="6"/>
        <v>0</v>
      </c>
      <c r="G56" s="12">
        <f t="shared" si="1"/>
        <v>218.25</v>
      </c>
      <c r="H56" s="11">
        <f t="shared" si="2"/>
        <v>0</v>
      </c>
      <c r="I56" s="12">
        <f t="shared" si="3"/>
        <v>0</v>
      </c>
      <c r="J56" s="11">
        <f t="shared" si="4"/>
        <v>0</v>
      </c>
      <c r="K56" s="12">
        <f t="shared" si="5"/>
        <v>218.25</v>
      </c>
      <c r="L56" s="13"/>
    </row>
    <row r="57" spans="1:12" x14ac:dyDescent="0.2">
      <c r="A57" s="7" t="s">
        <v>106</v>
      </c>
      <c r="B57" s="9" t="s">
        <v>102</v>
      </c>
      <c r="C57" s="9" t="s">
        <v>193</v>
      </c>
      <c r="D57" s="7" t="s">
        <v>114</v>
      </c>
      <c r="E57" s="4">
        <v>2570102.9</v>
      </c>
      <c r="F57" s="11">
        <f t="shared" si="6"/>
        <v>0</v>
      </c>
      <c r="G57" s="12">
        <f t="shared" si="1"/>
        <v>2570102.9</v>
      </c>
      <c r="H57" s="11">
        <f t="shared" si="2"/>
        <v>0</v>
      </c>
      <c r="I57" s="12">
        <f t="shared" si="3"/>
        <v>0</v>
      </c>
      <c r="J57" s="11">
        <f t="shared" si="4"/>
        <v>0</v>
      </c>
      <c r="K57" s="12">
        <f t="shared" si="5"/>
        <v>2570102.9</v>
      </c>
      <c r="L57" s="13"/>
    </row>
    <row r="58" spans="1:12" x14ac:dyDescent="0.2">
      <c r="A58" s="7" t="s">
        <v>106</v>
      </c>
      <c r="B58" s="9" t="s">
        <v>102</v>
      </c>
      <c r="C58" s="9" t="s">
        <v>194</v>
      </c>
      <c r="D58" s="7" t="s">
        <v>118</v>
      </c>
      <c r="E58" s="4">
        <v>-4235.6400000000003</v>
      </c>
      <c r="F58" s="11">
        <f t="shared" si="6"/>
        <v>0</v>
      </c>
      <c r="G58" s="12">
        <f t="shared" si="1"/>
        <v>-4235.6400000000003</v>
      </c>
      <c r="H58" s="11">
        <f t="shared" si="2"/>
        <v>0</v>
      </c>
      <c r="I58" s="12">
        <f t="shared" si="3"/>
        <v>0</v>
      </c>
      <c r="J58" s="11">
        <f t="shared" si="4"/>
        <v>0</v>
      </c>
      <c r="K58" s="12">
        <f t="shared" si="5"/>
        <v>-4235.6400000000003</v>
      </c>
      <c r="L58" s="13"/>
    </row>
    <row r="59" spans="1:12" x14ac:dyDescent="0.2">
      <c r="A59" s="7" t="s">
        <v>106</v>
      </c>
      <c r="B59" s="9" t="s">
        <v>102</v>
      </c>
      <c r="C59" s="9" t="s">
        <v>194</v>
      </c>
      <c r="D59" s="7" t="s">
        <v>122</v>
      </c>
      <c r="E59" s="4">
        <v>252.76</v>
      </c>
      <c r="F59" s="11">
        <f t="shared" si="6"/>
        <v>0</v>
      </c>
      <c r="G59" s="12">
        <f t="shared" si="1"/>
        <v>252.76</v>
      </c>
      <c r="H59" s="11">
        <f t="shared" si="2"/>
        <v>0</v>
      </c>
      <c r="I59" s="12">
        <f t="shared" si="3"/>
        <v>0</v>
      </c>
      <c r="J59" s="11">
        <f t="shared" si="4"/>
        <v>0</v>
      </c>
      <c r="K59" s="12">
        <f t="shared" si="5"/>
        <v>252.76</v>
      </c>
      <c r="L59" s="13"/>
    </row>
    <row r="60" spans="1:12" x14ac:dyDescent="0.2">
      <c r="A60" s="7" t="s">
        <v>106</v>
      </c>
      <c r="B60" s="9" t="s">
        <v>102</v>
      </c>
      <c r="C60" s="9" t="s">
        <v>194</v>
      </c>
      <c r="D60" s="7" t="s">
        <v>119</v>
      </c>
      <c r="E60" s="4">
        <v>4646017.6399999997</v>
      </c>
      <c r="F60" s="11">
        <f t="shared" si="6"/>
        <v>0</v>
      </c>
      <c r="G60" s="12">
        <f t="shared" si="1"/>
        <v>4646017.6399999997</v>
      </c>
      <c r="H60" s="11">
        <f t="shared" si="2"/>
        <v>0</v>
      </c>
      <c r="I60" s="12">
        <f t="shared" si="3"/>
        <v>0</v>
      </c>
      <c r="J60" s="11">
        <f t="shared" si="4"/>
        <v>0</v>
      </c>
      <c r="K60" s="12">
        <f t="shared" si="5"/>
        <v>4646017.6399999997</v>
      </c>
      <c r="L60" s="13"/>
    </row>
    <row r="61" spans="1:12" x14ac:dyDescent="0.2">
      <c r="A61" s="7" t="s">
        <v>106</v>
      </c>
      <c r="B61" s="9" t="s">
        <v>102</v>
      </c>
      <c r="C61" s="9" t="s">
        <v>194</v>
      </c>
      <c r="D61" s="7" t="s">
        <v>120</v>
      </c>
      <c r="E61" s="4">
        <v>-2570102.9</v>
      </c>
      <c r="F61" s="11">
        <f t="shared" si="6"/>
        <v>0</v>
      </c>
      <c r="G61" s="12">
        <f t="shared" si="1"/>
        <v>-2570102.9</v>
      </c>
      <c r="H61" s="11">
        <f t="shared" si="2"/>
        <v>0</v>
      </c>
      <c r="I61" s="12">
        <f t="shared" si="3"/>
        <v>0</v>
      </c>
      <c r="J61" s="11">
        <f t="shared" si="4"/>
        <v>0</v>
      </c>
      <c r="K61" s="12">
        <f t="shared" si="5"/>
        <v>-2570102.9</v>
      </c>
      <c r="L61" s="13"/>
    </row>
    <row r="62" spans="1:12" x14ac:dyDescent="0.2">
      <c r="A62" s="7" t="s">
        <v>106</v>
      </c>
      <c r="B62" s="9" t="s">
        <v>102</v>
      </c>
      <c r="C62" s="9" t="s">
        <v>194</v>
      </c>
      <c r="D62" s="7" t="s">
        <v>121</v>
      </c>
      <c r="E62" s="4">
        <v>1778690.53</v>
      </c>
      <c r="F62" s="11">
        <f t="shared" si="6"/>
        <v>0</v>
      </c>
      <c r="G62" s="12">
        <f t="shared" si="1"/>
        <v>1778690.53</v>
      </c>
      <c r="H62" s="11">
        <f t="shared" si="2"/>
        <v>0</v>
      </c>
      <c r="I62" s="12">
        <f t="shared" si="3"/>
        <v>0</v>
      </c>
      <c r="J62" s="11">
        <f t="shared" si="4"/>
        <v>0</v>
      </c>
      <c r="K62" s="12">
        <f t="shared" si="5"/>
        <v>1778690.53</v>
      </c>
      <c r="L62" s="13"/>
    </row>
    <row r="63" spans="1:12" x14ac:dyDescent="0.2">
      <c r="A63" s="7" t="s">
        <v>106</v>
      </c>
      <c r="B63" s="9" t="s">
        <v>102</v>
      </c>
      <c r="C63" s="9" t="s">
        <v>195</v>
      </c>
      <c r="D63" s="7" t="s">
        <v>127</v>
      </c>
      <c r="E63" s="4">
        <v>-252.76</v>
      </c>
      <c r="F63" s="11">
        <f t="shared" si="6"/>
        <v>0</v>
      </c>
      <c r="G63" s="12">
        <f t="shared" si="1"/>
        <v>-252.76</v>
      </c>
      <c r="H63" s="11">
        <f t="shared" si="2"/>
        <v>0</v>
      </c>
      <c r="I63" s="12">
        <f t="shared" si="3"/>
        <v>0</v>
      </c>
      <c r="J63" s="11">
        <f t="shared" si="4"/>
        <v>0</v>
      </c>
      <c r="K63" s="12">
        <f t="shared" si="5"/>
        <v>-252.76</v>
      </c>
      <c r="L63" s="13"/>
    </row>
    <row r="64" spans="1:12" x14ac:dyDescent="0.2">
      <c r="A64" s="7" t="s">
        <v>106</v>
      </c>
      <c r="B64" s="9" t="s">
        <v>102</v>
      </c>
      <c r="C64" s="9" t="s">
        <v>195</v>
      </c>
      <c r="D64" s="7" t="s">
        <v>128</v>
      </c>
      <c r="E64" s="4">
        <v>123.19</v>
      </c>
      <c r="F64" s="11">
        <f t="shared" si="6"/>
        <v>0</v>
      </c>
      <c r="G64" s="12">
        <f t="shared" si="1"/>
        <v>123.19</v>
      </c>
      <c r="H64" s="11">
        <f t="shared" si="2"/>
        <v>0</v>
      </c>
      <c r="I64" s="12">
        <f t="shared" si="3"/>
        <v>0</v>
      </c>
      <c r="J64" s="11">
        <f t="shared" si="4"/>
        <v>0</v>
      </c>
      <c r="K64" s="12">
        <f t="shared" si="5"/>
        <v>123.19</v>
      </c>
      <c r="L64" s="13"/>
    </row>
    <row r="65" spans="1:12" x14ac:dyDescent="0.2">
      <c r="A65" s="7" t="s">
        <v>106</v>
      </c>
      <c r="B65" s="9" t="s">
        <v>102</v>
      </c>
      <c r="C65" s="9" t="s">
        <v>195</v>
      </c>
      <c r="D65" s="7" t="s">
        <v>124</v>
      </c>
      <c r="E65" s="4">
        <v>2827426.54</v>
      </c>
      <c r="F65" s="11">
        <f t="shared" si="6"/>
        <v>0</v>
      </c>
      <c r="G65" s="12">
        <f t="shared" si="1"/>
        <v>2827426.54</v>
      </c>
      <c r="H65" s="11">
        <f t="shared" si="2"/>
        <v>0</v>
      </c>
      <c r="I65" s="12">
        <f t="shared" si="3"/>
        <v>0</v>
      </c>
      <c r="J65" s="11">
        <f t="shared" si="4"/>
        <v>0</v>
      </c>
      <c r="K65" s="12">
        <f t="shared" si="5"/>
        <v>2827426.54</v>
      </c>
      <c r="L65" s="13"/>
    </row>
    <row r="66" spans="1:12" x14ac:dyDescent="0.2">
      <c r="A66" s="7" t="s">
        <v>106</v>
      </c>
      <c r="B66" s="9" t="s">
        <v>102</v>
      </c>
      <c r="C66" s="9" t="s">
        <v>195</v>
      </c>
      <c r="D66" s="7" t="s">
        <v>125</v>
      </c>
      <c r="E66" s="4">
        <v>-1778690.53</v>
      </c>
      <c r="F66" s="11">
        <f t="shared" si="6"/>
        <v>0</v>
      </c>
      <c r="G66" s="12">
        <f t="shared" si="1"/>
        <v>-1778690.53</v>
      </c>
      <c r="H66" s="11">
        <f t="shared" si="2"/>
        <v>0</v>
      </c>
      <c r="I66" s="12">
        <f t="shared" si="3"/>
        <v>0</v>
      </c>
      <c r="J66" s="11">
        <f t="shared" si="4"/>
        <v>0</v>
      </c>
      <c r="K66" s="12">
        <f t="shared" si="5"/>
        <v>-1778690.53</v>
      </c>
      <c r="L66" s="13"/>
    </row>
    <row r="67" spans="1:12" x14ac:dyDescent="0.2">
      <c r="A67" s="7" t="s">
        <v>106</v>
      </c>
      <c r="B67" s="9" t="s">
        <v>102</v>
      </c>
      <c r="C67" s="9" t="s">
        <v>195</v>
      </c>
      <c r="D67" s="7" t="s">
        <v>126</v>
      </c>
      <c r="E67" s="4">
        <v>1569283.13</v>
      </c>
      <c r="F67" s="11">
        <f t="shared" ref="F67:F98" si="7">IF($A67="40810002",$E67,IF($A67="40810602",$E67*$N$4,0))</f>
        <v>0</v>
      </c>
      <c r="G67" s="12">
        <f t="shared" si="1"/>
        <v>1569283.13</v>
      </c>
      <c r="H67" s="11">
        <f t="shared" si="2"/>
        <v>0</v>
      </c>
      <c r="I67" s="12">
        <f t="shared" si="3"/>
        <v>0</v>
      </c>
      <c r="J67" s="11">
        <f t="shared" si="4"/>
        <v>0</v>
      </c>
      <c r="K67" s="12">
        <f t="shared" si="5"/>
        <v>1569283.13</v>
      </c>
      <c r="L67" s="13"/>
    </row>
    <row r="68" spans="1:12" x14ac:dyDescent="0.2">
      <c r="A68" s="7" t="s">
        <v>106</v>
      </c>
      <c r="B68" s="9" t="s">
        <v>102</v>
      </c>
      <c r="C68" s="9" t="s">
        <v>196</v>
      </c>
      <c r="D68" s="7" t="s">
        <v>134</v>
      </c>
      <c r="E68" s="4">
        <v>-123.19</v>
      </c>
      <c r="F68" s="11">
        <f t="shared" si="7"/>
        <v>0</v>
      </c>
      <c r="G68" s="12">
        <f t="shared" ref="G68:G131" si="8">IF($A68="40810302",$E68,IF($A68="40810602",$E68*$N$5,0))</f>
        <v>-123.19</v>
      </c>
      <c r="H68" s="11">
        <f t="shared" ref="H68:H131" si="9">IF(L68=1,-F68,0)</f>
        <v>0</v>
      </c>
      <c r="I68" s="12">
        <f t="shared" ref="I68:I131" si="10">IF(L68=1,-G68,0)</f>
        <v>0</v>
      </c>
      <c r="J68" s="11">
        <f t="shared" ref="J68:J131" si="11">F68+H68</f>
        <v>0</v>
      </c>
      <c r="K68" s="12">
        <f t="shared" ref="K68:K131" si="12">G68+I68</f>
        <v>-123.19</v>
      </c>
      <c r="L68" s="13"/>
    </row>
    <row r="69" spans="1:12" x14ac:dyDescent="0.2">
      <c r="A69" s="7" t="s">
        <v>106</v>
      </c>
      <c r="B69" s="9" t="s">
        <v>102</v>
      </c>
      <c r="C69" s="9" t="s">
        <v>196</v>
      </c>
      <c r="D69" s="7" t="s">
        <v>131</v>
      </c>
      <c r="E69" s="4">
        <v>2134528.86</v>
      </c>
      <c r="F69" s="11">
        <f t="shared" si="7"/>
        <v>0</v>
      </c>
      <c r="G69" s="12">
        <f t="shared" si="8"/>
        <v>2134528.86</v>
      </c>
      <c r="H69" s="11">
        <f t="shared" si="9"/>
        <v>0</v>
      </c>
      <c r="I69" s="12">
        <f t="shared" si="10"/>
        <v>0</v>
      </c>
      <c r="J69" s="11">
        <f t="shared" si="11"/>
        <v>0</v>
      </c>
      <c r="K69" s="12">
        <f t="shared" si="12"/>
        <v>2134528.86</v>
      </c>
      <c r="L69" s="13"/>
    </row>
    <row r="70" spans="1:12" x14ac:dyDescent="0.2">
      <c r="A70" s="7" t="s">
        <v>106</v>
      </c>
      <c r="B70" s="9" t="s">
        <v>102</v>
      </c>
      <c r="C70" s="9" t="s">
        <v>196</v>
      </c>
      <c r="D70" s="7" t="s">
        <v>132</v>
      </c>
      <c r="E70" s="4">
        <v>-1569283.13</v>
      </c>
      <c r="F70" s="11">
        <f t="shared" si="7"/>
        <v>0</v>
      </c>
      <c r="G70" s="12">
        <f t="shared" si="8"/>
        <v>-1569283.13</v>
      </c>
      <c r="H70" s="11">
        <f t="shared" si="9"/>
        <v>0</v>
      </c>
      <c r="I70" s="12">
        <f t="shared" si="10"/>
        <v>0</v>
      </c>
      <c r="J70" s="11">
        <f t="shared" si="11"/>
        <v>0</v>
      </c>
      <c r="K70" s="12">
        <f t="shared" si="12"/>
        <v>-1569283.13</v>
      </c>
      <c r="L70" s="13"/>
    </row>
    <row r="71" spans="1:12" x14ac:dyDescent="0.2">
      <c r="A71" s="7" t="s">
        <v>106</v>
      </c>
      <c r="B71" s="9" t="s">
        <v>102</v>
      </c>
      <c r="C71" s="9" t="s">
        <v>196</v>
      </c>
      <c r="D71" s="7" t="s">
        <v>135</v>
      </c>
      <c r="E71" s="4">
        <v>76.66</v>
      </c>
      <c r="F71" s="11">
        <f t="shared" si="7"/>
        <v>0</v>
      </c>
      <c r="G71" s="12">
        <f t="shared" si="8"/>
        <v>76.66</v>
      </c>
      <c r="H71" s="11">
        <f t="shared" si="9"/>
        <v>0</v>
      </c>
      <c r="I71" s="12">
        <f t="shared" si="10"/>
        <v>0</v>
      </c>
      <c r="J71" s="11">
        <f t="shared" si="11"/>
        <v>0</v>
      </c>
      <c r="K71" s="12">
        <f t="shared" si="12"/>
        <v>76.66</v>
      </c>
      <c r="L71" s="13"/>
    </row>
    <row r="72" spans="1:12" x14ac:dyDescent="0.2">
      <c r="A72" s="7" t="s">
        <v>106</v>
      </c>
      <c r="B72" s="9" t="s">
        <v>102</v>
      </c>
      <c r="C72" s="9" t="s">
        <v>196</v>
      </c>
      <c r="D72" s="7" t="s">
        <v>133</v>
      </c>
      <c r="E72" s="4">
        <v>1207380.03</v>
      </c>
      <c r="F72" s="11">
        <f t="shared" si="7"/>
        <v>0</v>
      </c>
      <c r="G72" s="12">
        <f t="shared" si="8"/>
        <v>1207380.03</v>
      </c>
      <c r="H72" s="11">
        <f t="shared" si="9"/>
        <v>0</v>
      </c>
      <c r="I72" s="12">
        <f t="shared" si="10"/>
        <v>0</v>
      </c>
      <c r="J72" s="11">
        <f t="shared" si="11"/>
        <v>0</v>
      </c>
      <c r="K72" s="12">
        <f t="shared" si="12"/>
        <v>1207380.03</v>
      </c>
      <c r="L72" s="13"/>
    </row>
    <row r="73" spans="1:12" x14ac:dyDescent="0.2">
      <c r="A73" s="7" t="s">
        <v>106</v>
      </c>
      <c r="B73" s="9" t="s">
        <v>102</v>
      </c>
      <c r="C73" s="9" t="s">
        <v>197</v>
      </c>
      <c r="D73" s="7" t="s">
        <v>138</v>
      </c>
      <c r="E73" s="4">
        <v>-76.66</v>
      </c>
      <c r="F73" s="11">
        <f t="shared" si="7"/>
        <v>0</v>
      </c>
      <c r="G73" s="12">
        <f t="shared" si="8"/>
        <v>-76.66</v>
      </c>
      <c r="H73" s="11">
        <f t="shared" si="9"/>
        <v>0</v>
      </c>
      <c r="I73" s="12">
        <f t="shared" si="10"/>
        <v>0</v>
      </c>
      <c r="J73" s="11">
        <f t="shared" si="11"/>
        <v>0</v>
      </c>
      <c r="K73" s="12">
        <f t="shared" si="12"/>
        <v>-76.66</v>
      </c>
      <c r="L73" s="13"/>
    </row>
    <row r="74" spans="1:12" x14ac:dyDescent="0.2">
      <c r="A74" s="7" t="s">
        <v>106</v>
      </c>
      <c r="B74" s="9" t="s">
        <v>102</v>
      </c>
      <c r="C74" s="9" t="s">
        <v>197</v>
      </c>
      <c r="D74" s="7" t="s">
        <v>139</v>
      </c>
      <c r="E74" s="4">
        <v>1570330.45</v>
      </c>
      <c r="F74" s="11">
        <f t="shared" si="7"/>
        <v>0</v>
      </c>
      <c r="G74" s="12">
        <f t="shared" si="8"/>
        <v>1570330.45</v>
      </c>
      <c r="H74" s="11">
        <f t="shared" si="9"/>
        <v>0</v>
      </c>
      <c r="I74" s="12">
        <f t="shared" si="10"/>
        <v>0</v>
      </c>
      <c r="J74" s="11">
        <f t="shared" si="11"/>
        <v>0</v>
      </c>
      <c r="K74" s="12">
        <f t="shared" si="12"/>
        <v>1570330.45</v>
      </c>
      <c r="L74" s="13"/>
    </row>
    <row r="75" spans="1:12" x14ac:dyDescent="0.2">
      <c r="A75" s="7" t="s">
        <v>106</v>
      </c>
      <c r="B75" s="9" t="s">
        <v>102</v>
      </c>
      <c r="C75" s="9" t="s">
        <v>197</v>
      </c>
      <c r="D75" s="7" t="s">
        <v>140</v>
      </c>
      <c r="E75" s="4">
        <v>-1207380.03</v>
      </c>
      <c r="F75" s="11">
        <f t="shared" si="7"/>
        <v>0</v>
      </c>
      <c r="G75" s="12">
        <f t="shared" si="8"/>
        <v>-1207380.03</v>
      </c>
      <c r="H75" s="11">
        <f t="shared" si="9"/>
        <v>0</v>
      </c>
      <c r="I75" s="12">
        <f t="shared" si="10"/>
        <v>0</v>
      </c>
      <c r="J75" s="11">
        <f t="shared" si="11"/>
        <v>0</v>
      </c>
      <c r="K75" s="12">
        <f t="shared" si="12"/>
        <v>-1207380.03</v>
      </c>
      <c r="L75" s="13"/>
    </row>
    <row r="76" spans="1:12" x14ac:dyDescent="0.2">
      <c r="A76" s="7" t="s">
        <v>106</v>
      </c>
      <c r="B76" s="9" t="s">
        <v>102</v>
      </c>
      <c r="C76" s="9" t="s">
        <v>197</v>
      </c>
      <c r="D76" s="7" t="s">
        <v>142</v>
      </c>
      <c r="E76" s="4">
        <v>58.02</v>
      </c>
      <c r="F76" s="11">
        <f t="shared" si="7"/>
        <v>0</v>
      </c>
      <c r="G76" s="12">
        <f t="shared" si="8"/>
        <v>58.02</v>
      </c>
      <c r="H76" s="11">
        <f t="shared" si="9"/>
        <v>0</v>
      </c>
      <c r="I76" s="12">
        <f t="shared" si="10"/>
        <v>0</v>
      </c>
      <c r="J76" s="11">
        <f t="shared" si="11"/>
        <v>0</v>
      </c>
      <c r="K76" s="12">
        <f t="shared" si="12"/>
        <v>58.02</v>
      </c>
      <c r="L76" s="13"/>
    </row>
    <row r="77" spans="1:12" x14ac:dyDescent="0.2">
      <c r="A77" s="7" t="s">
        <v>106</v>
      </c>
      <c r="B77" s="9" t="s">
        <v>102</v>
      </c>
      <c r="C77" s="9" t="s">
        <v>197</v>
      </c>
      <c r="D77" s="7" t="s">
        <v>141</v>
      </c>
      <c r="E77" s="4">
        <v>1002991.12</v>
      </c>
      <c r="F77" s="11">
        <f t="shared" si="7"/>
        <v>0</v>
      </c>
      <c r="G77" s="12">
        <f t="shared" si="8"/>
        <v>1002991.12</v>
      </c>
      <c r="H77" s="11">
        <f t="shared" si="9"/>
        <v>0</v>
      </c>
      <c r="I77" s="12">
        <f t="shared" si="10"/>
        <v>0</v>
      </c>
      <c r="J77" s="11">
        <f t="shared" si="11"/>
        <v>0</v>
      </c>
      <c r="K77" s="12">
        <f t="shared" si="12"/>
        <v>1002991.12</v>
      </c>
      <c r="L77" s="13"/>
    </row>
    <row r="78" spans="1:12" x14ac:dyDescent="0.2">
      <c r="A78" s="7" t="s">
        <v>106</v>
      </c>
      <c r="B78" s="9" t="s">
        <v>102</v>
      </c>
      <c r="C78" s="9" t="s">
        <v>198</v>
      </c>
      <c r="D78" s="7" t="s">
        <v>144</v>
      </c>
      <c r="E78" s="4">
        <v>-58.02</v>
      </c>
      <c r="F78" s="11">
        <f t="shared" si="7"/>
        <v>0</v>
      </c>
      <c r="G78" s="12">
        <f t="shared" si="8"/>
        <v>-58.02</v>
      </c>
      <c r="H78" s="11">
        <f t="shared" si="9"/>
        <v>0</v>
      </c>
      <c r="I78" s="12">
        <f t="shared" si="10"/>
        <v>0</v>
      </c>
      <c r="J78" s="11">
        <f t="shared" si="11"/>
        <v>0</v>
      </c>
      <c r="K78" s="12">
        <f t="shared" si="12"/>
        <v>-58.02</v>
      </c>
      <c r="L78" s="13"/>
    </row>
    <row r="79" spans="1:12" x14ac:dyDescent="0.2">
      <c r="A79" s="7" t="s">
        <v>106</v>
      </c>
      <c r="B79" s="9" t="s">
        <v>102</v>
      </c>
      <c r="C79" s="9" t="s">
        <v>198</v>
      </c>
      <c r="D79" s="7" t="s">
        <v>145</v>
      </c>
      <c r="E79" s="4">
        <v>1443173.31</v>
      </c>
      <c r="F79" s="11">
        <f t="shared" si="7"/>
        <v>0</v>
      </c>
      <c r="G79" s="12">
        <f t="shared" si="8"/>
        <v>1443173.31</v>
      </c>
      <c r="H79" s="11">
        <f t="shared" si="9"/>
        <v>0</v>
      </c>
      <c r="I79" s="12">
        <f t="shared" si="10"/>
        <v>0</v>
      </c>
      <c r="J79" s="11">
        <f t="shared" si="11"/>
        <v>0</v>
      </c>
      <c r="K79" s="12">
        <f t="shared" si="12"/>
        <v>1443173.31</v>
      </c>
      <c r="L79" s="13"/>
    </row>
    <row r="80" spans="1:12" x14ac:dyDescent="0.2">
      <c r="A80" s="7" t="s">
        <v>106</v>
      </c>
      <c r="B80" s="9" t="s">
        <v>102</v>
      </c>
      <c r="C80" s="9" t="s">
        <v>198</v>
      </c>
      <c r="D80" s="7" t="s">
        <v>146</v>
      </c>
      <c r="E80" s="4">
        <v>-1002991.12</v>
      </c>
      <c r="F80" s="11">
        <f t="shared" si="7"/>
        <v>0</v>
      </c>
      <c r="G80" s="12">
        <f t="shared" si="8"/>
        <v>-1002991.12</v>
      </c>
      <c r="H80" s="11">
        <f t="shared" si="9"/>
        <v>0</v>
      </c>
      <c r="I80" s="12">
        <f t="shared" si="10"/>
        <v>0</v>
      </c>
      <c r="J80" s="11">
        <f t="shared" si="11"/>
        <v>0</v>
      </c>
      <c r="K80" s="12">
        <f t="shared" si="12"/>
        <v>-1002991.12</v>
      </c>
      <c r="L80" s="13"/>
    </row>
    <row r="81" spans="1:12" x14ac:dyDescent="0.2">
      <c r="A81" s="7" t="s">
        <v>106</v>
      </c>
      <c r="B81" s="9" t="s">
        <v>102</v>
      </c>
      <c r="C81" s="9" t="s">
        <v>198</v>
      </c>
      <c r="D81" s="7" t="s">
        <v>148</v>
      </c>
      <c r="E81" s="4">
        <v>-0.22</v>
      </c>
      <c r="F81" s="11">
        <f t="shared" si="7"/>
        <v>0</v>
      </c>
      <c r="G81" s="12">
        <f t="shared" si="8"/>
        <v>-0.22</v>
      </c>
      <c r="H81" s="11">
        <f t="shared" si="9"/>
        <v>0</v>
      </c>
      <c r="I81" s="12">
        <f t="shared" si="10"/>
        <v>0</v>
      </c>
      <c r="J81" s="11">
        <f t="shared" si="11"/>
        <v>0</v>
      </c>
      <c r="K81" s="12">
        <f t="shared" si="12"/>
        <v>-0.22</v>
      </c>
      <c r="L81" s="13"/>
    </row>
    <row r="82" spans="1:12" x14ac:dyDescent="0.2">
      <c r="A82" s="7" t="s">
        <v>106</v>
      </c>
      <c r="B82" s="9" t="s">
        <v>102</v>
      </c>
      <c r="C82" s="9" t="s">
        <v>198</v>
      </c>
      <c r="D82" s="7" t="s">
        <v>147</v>
      </c>
      <c r="E82" s="4">
        <v>882914.44</v>
      </c>
      <c r="F82" s="11">
        <f t="shared" si="7"/>
        <v>0</v>
      </c>
      <c r="G82" s="12">
        <f t="shared" si="8"/>
        <v>882914.44</v>
      </c>
      <c r="H82" s="11">
        <f t="shared" si="9"/>
        <v>0</v>
      </c>
      <c r="I82" s="12">
        <f t="shared" si="10"/>
        <v>0</v>
      </c>
      <c r="J82" s="11">
        <f t="shared" si="11"/>
        <v>0</v>
      </c>
      <c r="K82" s="12">
        <f t="shared" si="12"/>
        <v>882914.44</v>
      </c>
      <c r="L82" s="13"/>
    </row>
    <row r="83" spans="1:12" x14ac:dyDescent="0.2">
      <c r="A83" s="7" t="s">
        <v>106</v>
      </c>
      <c r="B83" s="9" t="s">
        <v>102</v>
      </c>
      <c r="C83" s="9" t="s">
        <v>199</v>
      </c>
      <c r="D83" s="7" t="s">
        <v>153</v>
      </c>
      <c r="E83" s="4">
        <v>1271476.75</v>
      </c>
      <c r="F83" s="11">
        <f t="shared" si="7"/>
        <v>0</v>
      </c>
      <c r="G83" s="12">
        <f t="shared" si="8"/>
        <v>1271476.75</v>
      </c>
      <c r="H83" s="11">
        <f t="shared" si="9"/>
        <v>0</v>
      </c>
      <c r="I83" s="12">
        <f t="shared" si="10"/>
        <v>0</v>
      </c>
      <c r="J83" s="11">
        <f t="shared" si="11"/>
        <v>0</v>
      </c>
      <c r="K83" s="12">
        <f t="shared" si="12"/>
        <v>1271476.75</v>
      </c>
      <c r="L83" s="13"/>
    </row>
    <row r="84" spans="1:12" x14ac:dyDescent="0.2">
      <c r="A84" s="7" t="s">
        <v>106</v>
      </c>
      <c r="B84" s="9" t="s">
        <v>102</v>
      </c>
      <c r="C84" s="9" t="s">
        <v>199</v>
      </c>
      <c r="D84" s="7" t="s">
        <v>154</v>
      </c>
      <c r="E84" s="4">
        <v>-882914.44</v>
      </c>
      <c r="F84" s="11">
        <f t="shared" si="7"/>
        <v>0</v>
      </c>
      <c r="G84" s="12">
        <f t="shared" si="8"/>
        <v>-882914.44</v>
      </c>
      <c r="H84" s="11">
        <f t="shared" si="9"/>
        <v>0</v>
      </c>
      <c r="I84" s="12">
        <f t="shared" si="10"/>
        <v>0</v>
      </c>
      <c r="J84" s="11">
        <f t="shared" si="11"/>
        <v>0</v>
      </c>
      <c r="K84" s="12">
        <f t="shared" si="12"/>
        <v>-882914.44</v>
      </c>
      <c r="L84" s="13"/>
    </row>
    <row r="85" spans="1:12" x14ac:dyDescent="0.2">
      <c r="A85" s="7" t="s">
        <v>106</v>
      </c>
      <c r="B85" s="9" t="s">
        <v>102</v>
      </c>
      <c r="C85" s="9" t="s">
        <v>199</v>
      </c>
      <c r="D85" s="7" t="s">
        <v>156</v>
      </c>
      <c r="E85" s="4">
        <v>17.61</v>
      </c>
      <c r="F85" s="11">
        <f t="shared" si="7"/>
        <v>0</v>
      </c>
      <c r="G85" s="12">
        <f t="shared" si="8"/>
        <v>17.61</v>
      </c>
      <c r="H85" s="11">
        <f t="shared" si="9"/>
        <v>0</v>
      </c>
      <c r="I85" s="12">
        <f t="shared" si="10"/>
        <v>0</v>
      </c>
      <c r="J85" s="11">
        <f t="shared" si="11"/>
        <v>0</v>
      </c>
      <c r="K85" s="12">
        <f t="shared" si="12"/>
        <v>17.61</v>
      </c>
      <c r="L85" s="13"/>
    </row>
    <row r="86" spans="1:12" x14ac:dyDescent="0.2">
      <c r="A86" s="7" t="s">
        <v>106</v>
      </c>
      <c r="B86" s="9" t="s">
        <v>102</v>
      </c>
      <c r="C86" s="9" t="s">
        <v>199</v>
      </c>
      <c r="D86" s="7" t="s">
        <v>155</v>
      </c>
      <c r="E86" s="4">
        <v>898645.86</v>
      </c>
      <c r="F86" s="11">
        <f t="shared" si="7"/>
        <v>0</v>
      </c>
      <c r="G86" s="12">
        <f t="shared" si="8"/>
        <v>898645.86</v>
      </c>
      <c r="H86" s="11">
        <f t="shared" si="9"/>
        <v>0</v>
      </c>
      <c r="I86" s="12">
        <f t="shared" si="10"/>
        <v>0</v>
      </c>
      <c r="J86" s="11">
        <f t="shared" si="11"/>
        <v>0</v>
      </c>
      <c r="K86" s="12">
        <f t="shared" si="12"/>
        <v>898645.86</v>
      </c>
      <c r="L86" s="13"/>
    </row>
    <row r="87" spans="1:12" x14ac:dyDescent="0.2">
      <c r="A87" s="7" t="s">
        <v>106</v>
      </c>
      <c r="B87" s="9" t="s">
        <v>102</v>
      </c>
      <c r="C87" s="9" t="s">
        <v>200</v>
      </c>
      <c r="D87" s="7" t="s">
        <v>157</v>
      </c>
      <c r="E87" s="4">
        <v>-10247.01</v>
      </c>
      <c r="F87" s="11">
        <f t="shared" si="7"/>
        <v>0</v>
      </c>
      <c r="G87" s="12">
        <f t="shared" si="8"/>
        <v>-10247.01</v>
      </c>
      <c r="H87" s="11">
        <f t="shared" si="9"/>
        <v>0</v>
      </c>
      <c r="I87" s="12">
        <f t="shared" si="10"/>
        <v>0</v>
      </c>
      <c r="J87" s="11">
        <f t="shared" si="11"/>
        <v>0</v>
      </c>
      <c r="K87" s="12">
        <f t="shared" si="12"/>
        <v>-10247.01</v>
      </c>
      <c r="L87" s="13"/>
    </row>
    <row r="88" spans="1:12" x14ac:dyDescent="0.2">
      <c r="A88" s="7" t="s">
        <v>106</v>
      </c>
      <c r="B88" s="9" t="s">
        <v>102</v>
      </c>
      <c r="C88" s="9" t="s">
        <v>200</v>
      </c>
      <c r="D88" s="7" t="s">
        <v>158</v>
      </c>
      <c r="E88" s="4">
        <v>1307314.19</v>
      </c>
      <c r="F88" s="11">
        <f t="shared" si="7"/>
        <v>0</v>
      </c>
      <c r="G88" s="12">
        <f t="shared" si="8"/>
        <v>1307314.19</v>
      </c>
      <c r="H88" s="11">
        <f t="shared" si="9"/>
        <v>0</v>
      </c>
      <c r="I88" s="12">
        <f t="shared" si="10"/>
        <v>0</v>
      </c>
      <c r="J88" s="11">
        <f t="shared" si="11"/>
        <v>0</v>
      </c>
      <c r="K88" s="12">
        <f t="shared" si="12"/>
        <v>1307314.19</v>
      </c>
      <c r="L88" s="13"/>
    </row>
    <row r="89" spans="1:12" x14ac:dyDescent="0.2">
      <c r="A89" s="7" t="s">
        <v>106</v>
      </c>
      <c r="B89" s="9" t="s">
        <v>102</v>
      </c>
      <c r="C89" s="9" t="s">
        <v>200</v>
      </c>
      <c r="D89" s="7" t="s">
        <v>159</v>
      </c>
      <c r="E89" s="4">
        <v>-898645.86</v>
      </c>
      <c r="F89" s="11">
        <f t="shared" si="7"/>
        <v>0</v>
      </c>
      <c r="G89" s="12">
        <f t="shared" si="8"/>
        <v>-898645.86</v>
      </c>
      <c r="H89" s="11">
        <f t="shared" si="9"/>
        <v>0</v>
      </c>
      <c r="I89" s="12">
        <f t="shared" si="10"/>
        <v>0</v>
      </c>
      <c r="J89" s="11">
        <f t="shared" si="11"/>
        <v>0</v>
      </c>
      <c r="K89" s="12">
        <f t="shared" si="12"/>
        <v>-898645.86</v>
      </c>
      <c r="L89" s="13"/>
    </row>
    <row r="90" spans="1:12" x14ac:dyDescent="0.2">
      <c r="A90" s="7" t="s">
        <v>106</v>
      </c>
      <c r="B90" s="9" t="s">
        <v>102</v>
      </c>
      <c r="C90" s="9" t="s">
        <v>200</v>
      </c>
      <c r="D90" s="7" t="s">
        <v>161</v>
      </c>
      <c r="E90" s="4">
        <v>25.15</v>
      </c>
      <c r="F90" s="11">
        <f t="shared" si="7"/>
        <v>0</v>
      </c>
      <c r="G90" s="12">
        <f t="shared" si="8"/>
        <v>25.15</v>
      </c>
      <c r="H90" s="11">
        <f t="shared" si="9"/>
        <v>0</v>
      </c>
      <c r="I90" s="12">
        <f t="shared" si="10"/>
        <v>0</v>
      </c>
      <c r="J90" s="11">
        <f t="shared" si="11"/>
        <v>0</v>
      </c>
      <c r="K90" s="12">
        <f t="shared" si="12"/>
        <v>25.15</v>
      </c>
      <c r="L90" s="13"/>
    </row>
    <row r="91" spans="1:12" x14ac:dyDescent="0.2">
      <c r="A91" s="7" t="s">
        <v>106</v>
      </c>
      <c r="B91" s="9" t="s">
        <v>102</v>
      </c>
      <c r="C91" s="9" t="s">
        <v>200</v>
      </c>
      <c r="D91" s="7" t="s">
        <v>160</v>
      </c>
      <c r="E91" s="4">
        <v>1095405.97</v>
      </c>
      <c r="F91" s="11">
        <f t="shared" si="7"/>
        <v>0</v>
      </c>
      <c r="G91" s="12">
        <f t="shared" si="8"/>
        <v>1095405.97</v>
      </c>
      <c r="H91" s="11">
        <f t="shared" si="9"/>
        <v>0</v>
      </c>
      <c r="I91" s="12">
        <f t="shared" si="10"/>
        <v>0</v>
      </c>
      <c r="J91" s="11">
        <f t="shared" si="11"/>
        <v>0</v>
      </c>
      <c r="K91" s="12">
        <f t="shared" si="12"/>
        <v>1095405.97</v>
      </c>
      <c r="L91" s="13"/>
    </row>
    <row r="92" spans="1:12" x14ac:dyDescent="0.2">
      <c r="A92" s="7" t="s">
        <v>106</v>
      </c>
      <c r="B92" s="9" t="s">
        <v>102</v>
      </c>
      <c r="C92" s="9" t="s">
        <v>201</v>
      </c>
      <c r="D92" s="7" t="s">
        <v>164</v>
      </c>
      <c r="E92" s="4">
        <v>-25.15</v>
      </c>
      <c r="F92" s="11">
        <f t="shared" si="7"/>
        <v>0</v>
      </c>
      <c r="G92" s="12">
        <f t="shared" si="8"/>
        <v>-25.15</v>
      </c>
      <c r="H92" s="11">
        <f t="shared" si="9"/>
        <v>0</v>
      </c>
      <c r="I92" s="12">
        <f t="shared" si="10"/>
        <v>0</v>
      </c>
      <c r="J92" s="11">
        <f t="shared" si="11"/>
        <v>0</v>
      </c>
      <c r="K92" s="12">
        <f t="shared" si="12"/>
        <v>-25.15</v>
      </c>
      <c r="L92" s="13"/>
    </row>
    <row r="93" spans="1:12" x14ac:dyDescent="0.2">
      <c r="A93" s="7" t="s">
        <v>106</v>
      </c>
      <c r="B93" s="9" t="s">
        <v>102</v>
      </c>
      <c r="C93" s="9" t="s">
        <v>201</v>
      </c>
      <c r="D93" s="7" t="s">
        <v>165</v>
      </c>
      <c r="E93" s="4">
        <v>2114653.7999999998</v>
      </c>
      <c r="F93" s="11">
        <f t="shared" si="7"/>
        <v>0</v>
      </c>
      <c r="G93" s="12">
        <f t="shared" si="8"/>
        <v>2114653.7999999998</v>
      </c>
      <c r="H93" s="11">
        <f t="shared" si="9"/>
        <v>0</v>
      </c>
      <c r="I93" s="12">
        <f t="shared" si="10"/>
        <v>0</v>
      </c>
      <c r="J93" s="11">
        <f t="shared" si="11"/>
        <v>0</v>
      </c>
      <c r="K93" s="12">
        <f t="shared" si="12"/>
        <v>2114653.7999999998</v>
      </c>
      <c r="L93" s="13"/>
    </row>
    <row r="94" spans="1:12" x14ac:dyDescent="0.2">
      <c r="A94" s="7" t="s">
        <v>106</v>
      </c>
      <c r="B94" s="9" t="s">
        <v>102</v>
      </c>
      <c r="C94" s="9" t="s">
        <v>201</v>
      </c>
      <c r="D94" s="7" t="s">
        <v>167</v>
      </c>
      <c r="E94" s="4">
        <v>-1095405.97</v>
      </c>
      <c r="F94" s="11">
        <f t="shared" si="7"/>
        <v>0</v>
      </c>
      <c r="G94" s="12">
        <f t="shared" si="8"/>
        <v>-1095405.97</v>
      </c>
      <c r="H94" s="11">
        <f t="shared" si="9"/>
        <v>0</v>
      </c>
      <c r="I94" s="12">
        <f t="shared" si="10"/>
        <v>0</v>
      </c>
      <c r="J94" s="11">
        <f t="shared" si="11"/>
        <v>0</v>
      </c>
      <c r="K94" s="12">
        <f t="shared" si="12"/>
        <v>-1095405.97</v>
      </c>
      <c r="L94" s="13"/>
    </row>
    <row r="95" spans="1:12" x14ac:dyDescent="0.2">
      <c r="A95" s="7" t="s">
        <v>106</v>
      </c>
      <c r="B95" s="9" t="s">
        <v>102</v>
      </c>
      <c r="C95" s="9" t="s">
        <v>201</v>
      </c>
      <c r="D95" s="7" t="s">
        <v>169</v>
      </c>
      <c r="E95" s="4">
        <v>58.13</v>
      </c>
      <c r="F95" s="11">
        <f t="shared" si="7"/>
        <v>0</v>
      </c>
      <c r="G95" s="12">
        <f t="shared" si="8"/>
        <v>58.13</v>
      </c>
      <c r="H95" s="11">
        <f t="shared" si="9"/>
        <v>0</v>
      </c>
      <c r="I95" s="12">
        <f t="shared" si="10"/>
        <v>0</v>
      </c>
      <c r="J95" s="11">
        <f t="shared" si="11"/>
        <v>0</v>
      </c>
      <c r="K95" s="12">
        <f t="shared" si="12"/>
        <v>58.13</v>
      </c>
      <c r="L95" s="13"/>
    </row>
    <row r="96" spans="1:12" x14ac:dyDescent="0.2">
      <c r="A96" s="7" t="s">
        <v>106</v>
      </c>
      <c r="B96" s="9" t="s">
        <v>102</v>
      </c>
      <c r="C96" s="9" t="s">
        <v>201</v>
      </c>
      <c r="D96" s="7" t="s">
        <v>168</v>
      </c>
      <c r="E96" s="4">
        <v>1810464.81</v>
      </c>
      <c r="F96" s="11">
        <f t="shared" si="7"/>
        <v>0</v>
      </c>
      <c r="G96" s="12">
        <f t="shared" si="8"/>
        <v>1810464.81</v>
      </c>
      <c r="H96" s="11">
        <f t="shared" si="9"/>
        <v>0</v>
      </c>
      <c r="I96" s="12">
        <f t="shared" si="10"/>
        <v>0</v>
      </c>
      <c r="J96" s="11">
        <f t="shared" si="11"/>
        <v>0</v>
      </c>
      <c r="K96" s="12">
        <f t="shared" si="12"/>
        <v>1810464.81</v>
      </c>
      <c r="L96" s="13"/>
    </row>
    <row r="97" spans="1:12" x14ac:dyDescent="0.2">
      <c r="A97" s="7" t="s">
        <v>106</v>
      </c>
      <c r="B97" s="9" t="s">
        <v>102</v>
      </c>
      <c r="C97" s="9" t="s">
        <v>202</v>
      </c>
      <c r="D97" s="7" t="s">
        <v>173</v>
      </c>
      <c r="E97" s="4">
        <v>-1682.61</v>
      </c>
      <c r="F97" s="11">
        <f t="shared" si="7"/>
        <v>0</v>
      </c>
      <c r="G97" s="12">
        <f t="shared" si="8"/>
        <v>-1682.61</v>
      </c>
      <c r="H97" s="11">
        <f t="shared" si="9"/>
        <v>0</v>
      </c>
      <c r="I97" s="12">
        <f t="shared" si="10"/>
        <v>0</v>
      </c>
      <c r="J97" s="11">
        <f t="shared" si="11"/>
        <v>0</v>
      </c>
      <c r="K97" s="12">
        <f t="shared" si="12"/>
        <v>-1682.61</v>
      </c>
      <c r="L97" s="13"/>
    </row>
    <row r="98" spans="1:12" x14ac:dyDescent="0.2">
      <c r="A98" s="7" t="s">
        <v>106</v>
      </c>
      <c r="B98" s="9" t="s">
        <v>102</v>
      </c>
      <c r="C98" s="9" t="s">
        <v>202</v>
      </c>
      <c r="D98" s="7" t="s">
        <v>174</v>
      </c>
      <c r="E98" s="4">
        <v>3212562.77</v>
      </c>
      <c r="F98" s="11">
        <f t="shared" si="7"/>
        <v>0</v>
      </c>
      <c r="G98" s="12">
        <f t="shared" si="8"/>
        <v>3212562.77</v>
      </c>
      <c r="H98" s="11">
        <f t="shared" si="9"/>
        <v>0</v>
      </c>
      <c r="I98" s="12">
        <f t="shared" si="10"/>
        <v>0</v>
      </c>
      <c r="J98" s="11">
        <f t="shared" si="11"/>
        <v>0</v>
      </c>
      <c r="K98" s="12">
        <f t="shared" si="12"/>
        <v>3212562.77</v>
      </c>
      <c r="L98" s="13"/>
    </row>
    <row r="99" spans="1:12" x14ac:dyDescent="0.2">
      <c r="A99" s="7" t="s">
        <v>106</v>
      </c>
      <c r="B99" s="9" t="s">
        <v>102</v>
      </c>
      <c r="C99" s="9" t="s">
        <v>202</v>
      </c>
      <c r="D99" s="7" t="s">
        <v>175</v>
      </c>
      <c r="E99" s="4">
        <v>-1810464.81</v>
      </c>
      <c r="F99" s="11">
        <f t="shared" ref="F99:F130" si="13">IF($A99="40810002",$E99,IF($A99="40810602",$E99*$N$4,0))</f>
        <v>0</v>
      </c>
      <c r="G99" s="12">
        <f t="shared" si="8"/>
        <v>-1810464.81</v>
      </c>
      <c r="H99" s="11">
        <f t="shared" si="9"/>
        <v>0</v>
      </c>
      <c r="I99" s="12">
        <f t="shared" si="10"/>
        <v>0</v>
      </c>
      <c r="J99" s="11">
        <f t="shared" si="11"/>
        <v>0</v>
      </c>
      <c r="K99" s="12">
        <f t="shared" si="12"/>
        <v>-1810464.81</v>
      </c>
      <c r="L99" s="13"/>
    </row>
    <row r="100" spans="1:12" x14ac:dyDescent="0.2">
      <c r="A100" s="7" t="s">
        <v>106</v>
      </c>
      <c r="B100" s="9" t="s">
        <v>102</v>
      </c>
      <c r="C100" s="9" t="s">
        <v>202</v>
      </c>
      <c r="D100" s="7" t="s">
        <v>177</v>
      </c>
      <c r="E100" s="4">
        <v>92.58</v>
      </c>
      <c r="F100" s="11">
        <f t="shared" si="13"/>
        <v>0</v>
      </c>
      <c r="G100" s="12">
        <f t="shared" si="8"/>
        <v>92.58</v>
      </c>
      <c r="H100" s="11">
        <f t="shared" si="9"/>
        <v>0</v>
      </c>
      <c r="I100" s="12">
        <f t="shared" si="10"/>
        <v>0</v>
      </c>
      <c r="J100" s="11">
        <f t="shared" si="11"/>
        <v>0</v>
      </c>
      <c r="K100" s="12">
        <f t="shared" si="12"/>
        <v>92.58</v>
      </c>
      <c r="L100" s="13"/>
    </row>
    <row r="101" spans="1:12" x14ac:dyDescent="0.2">
      <c r="A101" s="7" t="s">
        <v>106</v>
      </c>
      <c r="B101" s="9" t="s">
        <v>102</v>
      </c>
      <c r="C101" s="9" t="s">
        <v>202</v>
      </c>
      <c r="D101" s="7" t="s">
        <v>176</v>
      </c>
      <c r="E101" s="4">
        <v>2485443.23</v>
      </c>
      <c r="F101" s="11">
        <f t="shared" si="13"/>
        <v>0</v>
      </c>
      <c r="G101" s="12">
        <f t="shared" si="8"/>
        <v>2485443.23</v>
      </c>
      <c r="H101" s="11">
        <f t="shared" si="9"/>
        <v>0</v>
      </c>
      <c r="I101" s="12">
        <f t="shared" si="10"/>
        <v>0</v>
      </c>
      <c r="J101" s="11">
        <f t="shared" si="11"/>
        <v>0</v>
      </c>
      <c r="K101" s="12">
        <f t="shared" si="12"/>
        <v>2485443.23</v>
      </c>
      <c r="L101" s="13"/>
    </row>
    <row r="102" spans="1:12" x14ac:dyDescent="0.2">
      <c r="A102" s="7" t="s">
        <v>106</v>
      </c>
      <c r="B102" s="9" t="s">
        <v>102</v>
      </c>
      <c r="C102" s="9" t="s">
        <v>203</v>
      </c>
      <c r="D102" s="7" t="s">
        <v>180</v>
      </c>
      <c r="E102" s="4">
        <v>-2104.7600000000002</v>
      </c>
      <c r="F102" s="11">
        <f t="shared" si="13"/>
        <v>0</v>
      </c>
      <c r="G102" s="12">
        <f t="shared" si="8"/>
        <v>-2104.7600000000002</v>
      </c>
      <c r="H102" s="11">
        <f t="shared" si="9"/>
        <v>0</v>
      </c>
      <c r="I102" s="12">
        <f t="shared" si="10"/>
        <v>0</v>
      </c>
      <c r="J102" s="11">
        <f t="shared" si="11"/>
        <v>0</v>
      </c>
      <c r="K102" s="12">
        <f t="shared" si="12"/>
        <v>-2104.7600000000002</v>
      </c>
      <c r="L102" s="13"/>
    </row>
    <row r="103" spans="1:12" x14ac:dyDescent="0.2">
      <c r="A103" s="7" t="s">
        <v>106</v>
      </c>
      <c r="B103" s="9" t="s">
        <v>102</v>
      </c>
      <c r="C103" s="9" t="s">
        <v>203</v>
      </c>
      <c r="D103" s="7" t="s">
        <v>181</v>
      </c>
      <c r="E103" s="4">
        <v>4879326.9400000004</v>
      </c>
      <c r="F103" s="11">
        <f t="shared" si="13"/>
        <v>0</v>
      </c>
      <c r="G103" s="12">
        <f t="shared" si="8"/>
        <v>4879326.9400000004</v>
      </c>
      <c r="H103" s="11">
        <f t="shared" si="9"/>
        <v>0</v>
      </c>
      <c r="I103" s="12">
        <f t="shared" si="10"/>
        <v>0</v>
      </c>
      <c r="J103" s="11">
        <f t="shared" si="11"/>
        <v>0</v>
      </c>
      <c r="K103" s="12">
        <f t="shared" si="12"/>
        <v>4879326.9400000004</v>
      </c>
      <c r="L103" s="13"/>
    </row>
    <row r="104" spans="1:12" x14ac:dyDescent="0.2">
      <c r="A104" s="7" t="s">
        <v>106</v>
      </c>
      <c r="B104" s="9" t="s">
        <v>102</v>
      </c>
      <c r="C104" s="9" t="s">
        <v>203</v>
      </c>
      <c r="D104" s="7" t="s">
        <v>182</v>
      </c>
      <c r="E104" s="4">
        <v>-2485443.23</v>
      </c>
      <c r="F104" s="11">
        <f t="shared" si="13"/>
        <v>0</v>
      </c>
      <c r="G104" s="12">
        <f t="shared" si="8"/>
        <v>-2485443.23</v>
      </c>
      <c r="H104" s="11">
        <f t="shared" si="9"/>
        <v>0</v>
      </c>
      <c r="I104" s="12">
        <f t="shared" si="10"/>
        <v>0</v>
      </c>
      <c r="J104" s="11">
        <f t="shared" si="11"/>
        <v>0</v>
      </c>
      <c r="K104" s="12">
        <f t="shared" si="12"/>
        <v>-2485443.23</v>
      </c>
      <c r="L104" s="13"/>
    </row>
    <row r="105" spans="1:12" x14ac:dyDescent="0.2">
      <c r="A105" s="7" t="s">
        <v>106</v>
      </c>
      <c r="B105" s="9" t="s">
        <v>102</v>
      </c>
      <c r="C105" s="9" t="s">
        <v>203</v>
      </c>
      <c r="D105" s="7" t="s">
        <v>184</v>
      </c>
      <c r="E105" s="4">
        <v>918.64</v>
      </c>
      <c r="F105" s="11">
        <f t="shared" si="13"/>
        <v>0</v>
      </c>
      <c r="G105" s="12">
        <f t="shared" si="8"/>
        <v>918.64</v>
      </c>
      <c r="H105" s="11">
        <f t="shared" si="9"/>
        <v>0</v>
      </c>
      <c r="I105" s="12">
        <f t="shared" si="10"/>
        <v>0</v>
      </c>
      <c r="J105" s="11">
        <f t="shared" si="11"/>
        <v>0</v>
      </c>
      <c r="K105" s="12">
        <f t="shared" si="12"/>
        <v>918.64</v>
      </c>
      <c r="L105" s="13"/>
    </row>
    <row r="106" spans="1:12" x14ac:dyDescent="0.2">
      <c r="A106" s="7" t="s">
        <v>106</v>
      </c>
      <c r="B106" s="9" t="s">
        <v>102</v>
      </c>
      <c r="C106" s="9" t="s">
        <v>203</v>
      </c>
      <c r="D106" s="7" t="s">
        <v>183</v>
      </c>
      <c r="E106" s="4">
        <v>2581865.7799999998</v>
      </c>
      <c r="F106" s="11">
        <f t="shared" si="13"/>
        <v>0</v>
      </c>
      <c r="G106" s="12">
        <f t="shared" si="8"/>
        <v>2581865.7799999998</v>
      </c>
      <c r="H106" s="11">
        <f t="shared" si="9"/>
        <v>0</v>
      </c>
      <c r="I106" s="12">
        <f t="shared" si="10"/>
        <v>0</v>
      </c>
      <c r="J106" s="11">
        <f t="shared" si="11"/>
        <v>0</v>
      </c>
      <c r="K106" s="12">
        <f t="shared" si="12"/>
        <v>2581865.7799999998</v>
      </c>
      <c r="L106" s="13"/>
    </row>
    <row r="107" spans="1:12" x14ac:dyDescent="0.2">
      <c r="A107" s="7" t="s">
        <v>109</v>
      </c>
      <c r="B107" s="9" t="s">
        <v>110</v>
      </c>
      <c r="C107" s="9" t="s">
        <v>192</v>
      </c>
      <c r="D107" s="7" t="s">
        <v>111</v>
      </c>
      <c r="E107" s="4">
        <v>11000</v>
      </c>
      <c r="F107" s="11">
        <f t="shared" si="13"/>
        <v>7298.5</v>
      </c>
      <c r="G107" s="12">
        <f t="shared" si="8"/>
        <v>3701.5000000000005</v>
      </c>
      <c r="H107" s="11">
        <f t="shared" si="9"/>
        <v>0</v>
      </c>
      <c r="I107" s="12">
        <f t="shared" si="10"/>
        <v>0</v>
      </c>
      <c r="J107" s="11">
        <f t="shared" si="11"/>
        <v>7298.5</v>
      </c>
      <c r="K107" s="12">
        <f t="shared" si="12"/>
        <v>3701.5000000000005</v>
      </c>
      <c r="L107" s="13"/>
    </row>
    <row r="108" spans="1:12" x14ac:dyDescent="0.2">
      <c r="A108" s="7" t="s">
        <v>109</v>
      </c>
      <c r="B108" s="9" t="s">
        <v>110</v>
      </c>
      <c r="C108" s="9" t="s">
        <v>192</v>
      </c>
      <c r="D108" s="7" t="s">
        <v>103</v>
      </c>
      <c r="E108" s="4">
        <v>135417.57999999999</v>
      </c>
      <c r="F108" s="11">
        <f t="shared" si="13"/>
        <v>89849.564329999994</v>
      </c>
      <c r="G108" s="12">
        <f t="shared" si="8"/>
        <v>45568.015670000001</v>
      </c>
      <c r="H108" s="11">
        <f t="shared" si="9"/>
        <v>0</v>
      </c>
      <c r="I108" s="12">
        <f t="shared" si="10"/>
        <v>0</v>
      </c>
      <c r="J108" s="11">
        <f t="shared" si="11"/>
        <v>89849.564329999994</v>
      </c>
      <c r="K108" s="12">
        <f t="shared" si="12"/>
        <v>45568.015670000001</v>
      </c>
      <c r="L108" s="13"/>
    </row>
    <row r="109" spans="1:12" x14ac:dyDescent="0.2">
      <c r="A109" s="7" t="s">
        <v>109</v>
      </c>
      <c r="B109" s="9" t="s">
        <v>110</v>
      </c>
      <c r="C109" s="9" t="s">
        <v>193</v>
      </c>
      <c r="D109" s="7" t="s">
        <v>117</v>
      </c>
      <c r="E109" s="4">
        <v>1500</v>
      </c>
      <c r="F109" s="11">
        <f t="shared" si="13"/>
        <v>995.25</v>
      </c>
      <c r="G109" s="12">
        <f t="shared" si="8"/>
        <v>504.75000000000006</v>
      </c>
      <c r="H109" s="11">
        <f t="shared" si="9"/>
        <v>0</v>
      </c>
      <c r="I109" s="12">
        <f t="shared" si="10"/>
        <v>0</v>
      </c>
      <c r="J109" s="11">
        <f t="shared" si="11"/>
        <v>995.25</v>
      </c>
      <c r="K109" s="12">
        <f t="shared" si="12"/>
        <v>504.75000000000006</v>
      </c>
      <c r="L109" s="13"/>
    </row>
    <row r="110" spans="1:12" x14ac:dyDescent="0.2">
      <c r="A110" s="7" t="s">
        <v>109</v>
      </c>
      <c r="B110" s="9" t="s">
        <v>110</v>
      </c>
      <c r="C110" s="9" t="s">
        <v>193</v>
      </c>
      <c r="D110" s="7" t="s">
        <v>115</v>
      </c>
      <c r="E110" s="4">
        <v>-0.01</v>
      </c>
      <c r="F110" s="11">
        <f t="shared" si="13"/>
        <v>-6.6350000000000003E-3</v>
      </c>
      <c r="G110" s="12">
        <f t="shared" si="8"/>
        <v>-3.3650000000000004E-3</v>
      </c>
      <c r="H110" s="11">
        <f t="shared" si="9"/>
        <v>0</v>
      </c>
      <c r="I110" s="12">
        <f t="shared" si="10"/>
        <v>0</v>
      </c>
      <c r="J110" s="11">
        <f t="shared" si="11"/>
        <v>-6.6350000000000003E-3</v>
      </c>
      <c r="K110" s="12">
        <f t="shared" si="12"/>
        <v>-3.3650000000000004E-3</v>
      </c>
      <c r="L110" s="13"/>
    </row>
    <row r="111" spans="1:12" x14ac:dyDescent="0.2">
      <c r="A111" s="7" t="s">
        <v>109</v>
      </c>
      <c r="B111" s="9" t="s">
        <v>110</v>
      </c>
      <c r="C111" s="9" t="s">
        <v>193</v>
      </c>
      <c r="D111" s="7" t="s">
        <v>112</v>
      </c>
      <c r="E111" s="4">
        <v>95277.43</v>
      </c>
      <c r="F111" s="11">
        <f t="shared" si="13"/>
        <v>63216.574804999997</v>
      </c>
      <c r="G111" s="12">
        <f t="shared" si="8"/>
        <v>32060.855195</v>
      </c>
      <c r="H111" s="11">
        <f t="shared" si="9"/>
        <v>0</v>
      </c>
      <c r="I111" s="12">
        <f t="shared" si="10"/>
        <v>0</v>
      </c>
      <c r="J111" s="11">
        <f t="shared" si="11"/>
        <v>63216.574804999997</v>
      </c>
      <c r="K111" s="12">
        <f t="shared" si="12"/>
        <v>32060.855195</v>
      </c>
      <c r="L111" s="13"/>
    </row>
    <row r="112" spans="1:12" x14ac:dyDescent="0.2">
      <c r="A112" s="7" t="s">
        <v>109</v>
      </c>
      <c r="B112" s="9" t="s">
        <v>110</v>
      </c>
      <c r="C112" s="9" t="s">
        <v>194</v>
      </c>
      <c r="D112" s="7" t="s">
        <v>118</v>
      </c>
      <c r="E112" s="4">
        <v>484.54</v>
      </c>
      <c r="F112" s="11">
        <f t="shared" si="13"/>
        <v>321.49229000000003</v>
      </c>
      <c r="G112" s="12">
        <f t="shared" si="8"/>
        <v>163.04771000000002</v>
      </c>
      <c r="H112" s="11">
        <f t="shared" si="9"/>
        <v>0</v>
      </c>
      <c r="I112" s="12">
        <f t="shared" si="10"/>
        <v>0</v>
      </c>
      <c r="J112" s="11">
        <f t="shared" si="11"/>
        <v>321.49229000000003</v>
      </c>
      <c r="K112" s="12">
        <f t="shared" si="12"/>
        <v>163.04771000000002</v>
      </c>
      <c r="L112" s="13"/>
    </row>
    <row r="113" spans="1:12" x14ac:dyDescent="0.2">
      <c r="A113" s="7" t="s">
        <v>109</v>
      </c>
      <c r="B113" s="9" t="s">
        <v>110</v>
      </c>
      <c r="C113" s="9" t="s">
        <v>194</v>
      </c>
      <c r="D113" s="7" t="s">
        <v>123</v>
      </c>
      <c r="E113" s="4">
        <v>7000</v>
      </c>
      <c r="F113" s="11">
        <f t="shared" si="13"/>
        <v>4644.5</v>
      </c>
      <c r="G113" s="12">
        <f t="shared" si="8"/>
        <v>2355.5</v>
      </c>
      <c r="H113" s="11">
        <f t="shared" si="9"/>
        <v>0</v>
      </c>
      <c r="I113" s="12">
        <f t="shared" si="10"/>
        <v>0</v>
      </c>
      <c r="J113" s="11">
        <f t="shared" si="11"/>
        <v>4644.5</v>
      </c>
      <c r="K113" s="12">
        <f t="shared" si="12"/>
        <v>2355.5</v>
      </c>
      <c r="L113" s="13"/>
    </row>
    <row r="114" spans="1:12" x14ac:dyDescent="0.2">
      <c r="A114" s="7" t="s">
        <v>109</v>
      </c>
      <c r="B114" s="9" t="s">
        <v>110</v>
      </c>
      <c r="C114" s="9" t="s">
        <v>194</v>
      </c>
      <c r="D114" s="7" t="s">
        <v>119</v>
      </c>
      <c r="E114" s="4">
        <v>158908.73000000001</v>
      </c>
      <c r="F114" s="11">
        <f t="shared" si="13"/>
        <v>105435.94235500001</v>
      </c>
      <c r="G114" s="12">
        <f t="shared" si="8"/>
        <v>53472.787645000004</v>
      </c>
      <c r="H114" s="11">
        <f t="shared" si="9"/>
        <v>0</v>
      </c>
      <c r="I114" s="12">
        <f t="shared" si="10"/>
        <v>0</v>
      </c>
      <c r="J114" s="11">
        <f t="shared" si="11"/>
        <v>105435.94235500001</v>
      </c>
      <c r="K114" s="12">
        <f t="shared" si="12"/>
        <v>53472.787645000004</v>
      </c>
      <c r="L114" s="13"/>
    </row>
    <row r="115" spans="1:12" x14ac:dyDescent="0.2">
      <c r="A115" s="7" t="s">
        <v>109</v>
      </c>
      <c r="B115" s="9" t="s">
        <v>110</v>
      </c>
      <c r="C115" s="9" t="s">
        <v>195</v>
      </c>
      <c r="D115" s="7" t="s">
        <v>127</v>
      </c>
      <c r="E115" s="4">
        <v>1.25</v>
      </c>
      <c r="F115" s="11">
        <f t="shared" si="13"/>
        <v>0.82937499999999997</v>
      </c>
      <c r="G115" s="12">
        <f t="shared" si="8"/>
        <v>0.42062500000000003</v>
      </c>
      <c r="H115" s="11">
        <f t="shared" si="9"/>
        <v>0</v>
      </c>
      <c r="I115" s="12">
        <f t="shared" si="10"/>
        <v>0</v>
      </c>
      <c r="J115" s="11">
        <f t="shared" si="11"/>
        <v>0.82937499999999997</v>
      </c>
      <c r="K115" s="12">
        <f t="shared" si="12"/>
        <v>0.42062500000000003</v>
      </c>
      <c r="L115" s="13"/>
    </row>
    <row r="116" spans="1:12" x14ac:dyDescent="0.2">
      <c r="A116" s="7" t="s">
        <v>109</v>
      </c>
      <c r="B116" s="9" t="s">
        <v>110</v>
      </c>
      <c r="C116" s="9" t="s">
        <v>195</v>
      </c>
      <c r="D116" s="7" t="s">
        <v>129</v>
      </c>
      <c r="E116" s="4">
        <v>8000</v>
      </c>
      <c r="F116" s="11">
        <f t="shared" si="13"/>
        <v>5308</v>
      </c>
      <c r="G116" s="12">
        <f t="shared" si="8"/>
        <v>2692</v>
      </c>
      <c r="H116" s="11">
        <f t="shared" si="9"/>
        <v>0</v>
      </c>
      <c r="I116" s="12">
        <f t="shared" si="10"/>
        <v>0</v>
      </c>
      <c r="J116" s="11">
        <f t="shared" si="11"/>
        <v>5308</v>
      </c>
      <c r="K116" s="12">
        <f t="shared" si="12"/>
        <v>2692</v>
      </c>
      <c r="L116" s="13"/>
    </row>
    <row r="117" spans="1:12" x14ac:dyDescent="0.2">
      <c r="A117" s="7" t="s">
        <v>109</v>
      </c>
      <c r="B117" s="9" t="s">
        <v>110</v>
      </c>
      <c r="C117" s="9" t="s">
        <v>195</v>
      </c>
      <c r="D117" s="7" t="s">
        <v>124</v>
      </c>
      <c r="E117" s="4">
        <v>115953.26</v>
      </c>
      <c r="F117" s="11">
        <f t="shared" si="13"/>
        <v>76934.988010000001</v>
      </c>
      <c r="G117" s="12">
        <f t="shared" si="8"/>
        <v>39018.271990000001</v>
      </c>
      <c r="H117" s="11">
        <f t="shared" si="9"/>
        <v>0</v>
      </c>
      <c r="I117" s="12">
        <f t="shared" si="10"/>
        <v>0</v>
      </c>
      <c r="J117" s="11">
        <f t="shared" si="11"/>
        <v>76934.988010000001</v>
      </c>
      <c r="K117" s="12">
        <f t="shared" si="12"/>
        <v>39018.271990000001</v>
      </c>
      <c r="L117" s="13"/>
    </row>
    <row r="118" spans="1:12" x14ac:dyDescent="0.2">
      <c r="A118" s="7" t="s">
        <v>109</v>
      </c>
      <c r="B118" s="9" t="s">
        <v>110</v>
      </c>
      <c r="C118" s="9" t="s">
        <v>195</v>
      </c>
      <c r="D118" s="7" t="s">
        <v>130</v>
      </c>
      <c r="E118" s="4">
        <v>8.5399999999999991</v>
      </c>
      <c r="F118" s="11">
        <f t="shared" si="13"/>
        <v>5.6662899999999992</v>
      </c>
      <c r="G118" s="12">
        <f t="shared" si="8"/>
        <v>2.87371</v>
      </c>
      <c r="H118" s="11">
        <f t="shared" si="9"/>
        <v>0</v>
      </c>
      <c r="I118" s="12">
        <f t="shared" si="10"/>
        <v>0</v>
      </c>
      <c r="J118" s="11">
        <f t="shared" si="11"/>
        <v>5.6662899999999992</v>
      </c>
      <c r="K118" s="12">
        <f t="shared" si="12"/>
        <v>2.87371</v>
      </c>
      <c r="L118" s="13"/>
    </row>
    <row r="119" spans="1:12" x14ac:dyDescent="0.2">
      <c r="A119" s="7" t="s">
        <v>109</v>
      </c>
      <c r="B119" s="9" t="s">
        <v>110</v>
      </c>
      <c r="C119" s="9" t="s">
        <v>196</v>
      </c>
      <c r="D119" s="7" t="s">
        <v>134</v>
      </c>
      <c r="E119" s="4">
        <v>-804.76</v>
      </c>
      <c r="F119" s="11">
        <f t="shared" si="13"/>
        <v>-533.95826</v>
      </c>
      <c r="G119" s="12">
        <f t="shared" si="8"/>
        <v>-270.80174</v>
      </c>
      <c r="H119" s="11">
        <f t="shared" si="9"/>
        <v>0</v>
      </c>
      <c r="I119" s="12">
        <f t="shared" si="10"/>
        <v>0</v>
      </c>
      <c r="J119" s="11">
        <f t="shared" si="11"/>
        <v>-533.95826</v>
      </c>
      <c r="K119" s="12">
        <f t="shared" si="12"/>
        <v>-270.80174</v>
      </c>
      <c r="L119" s="13"/>
    </row>
    <row r="120" spans="1:12" x14ac:dyDescent="0.2">
      <c r="A120" s="7" t="s">
        <v>109</v>
      </c>
      <c r="B120" s="9" t="s">
        <v>110</v>
      </c>
      <c r="C120" s="9" t="s">
        <v>196</v>
      </c>
      <c r="D120" s="7" t="s">
        <v>136</v>
      </c>
      <c r="E120" s="4">
        <v>11000</v>
      </c>
      <c r="F120" s="11">
        <f t="shared" si="13"/>
        <v>7298.5</v>
      </c>
      <c r="G120" s="12">
        <f t="shared" si="8"/>
        <v>3701.5000000000005</v>
      </c>
      <c r="H120" s="11">
        <f t="shared" si="9"/>
        <v>0</v>
      </c>
      <c r="I120" s="12">
        <f t="shared" si="10"/>
        <v>0</v>
      </c>
      <c r="J120" s="11">
        <f t="shared" si="11"/>
        <v>7298.5</v>
      </c>
      <c r="K120" s="12">
        <f t="shared" si="12"/>
        <v>3701.5000000000005</v>
      </c>
      <c r="L120" s="13"/>
    </row>
    <row r="121" spans="1:12" x14ac:dyDescent="0.2">
      <c r="A121" s="7" t="s">
        <v>109</v>
      </c>
      <c r="B121" s="9" t="s">
        <v>110</v>
      </c>
      <c r="C121" s="9" t="s">
        <v>196</v>
      </c>
      <c r="D121" s="7" t="s">
        <v>131</v>
      </c>
      <c r="E121" s="4">
        <v>70365.440000000002</v>
      </c>
      <c r="F121" s="11">
        <f t="shared" si="13"/>
        <v>46687.469440000001</v>
      </c>
      <c r="G121" s="12">
        <f t="shared" si="8"/>
        <v>23677.970560000002</v>
      </c>
      <c r="H121" s="11">
        <f t="shared" si="9"/>
        <v>0</v>
      </c>
      <c r="I121" s="12">
        <f t="shared" si="10"/>
        <v>0</v>
      </c>
      <c r="J121" s="11">
        <f t="shared" si="11"/>
        <v>46687.469440000001</v>
      </c>
      <c r="K121" s="12">
        <f t="shared" si="12"/>
        <v>23677.970560000002</v>
      </c>
      <c r="L121" s="13"/>
    </row>
    <row r="122" spans="1:12" x14ac:dyDescent="0.2">
      <c r="A122" s="7" t="s">
        <v>109</v>
      </c>
      <c r="B122" s="9" t="s">
        <v>110</v>
      </c>
      <c r="C122" s="9" t="s">
        <v>196</v>
      </c>
      <c r="D122" s="7" t="s">
        <v>137</v>
      </c>
      <c r="E122" s="4">
        <v>100.96</v>
      </c>
      <c r="F122" s="11">
        <f t="shared" si="13"/>
        <v>66.986959999999996</v>
      </c>
      <c r="G122" s="12">
        <f t="shared" si="8"/>
        <v>33.973039999999997</v>
      </c>
      <c r="H122" s="11">
        <f t="shared" si="9"/>
        <v>0</v>
      </c>
      <c r="I122" s="12">
        <f t="shared" si="10"/>
        <v>0</v>
      </c>
      <c r="J122" s="11">
        <f t="shared" si="11"/>
        <v>66.986959999999996</v>
      </c>
      <c r="K122" s="12">
        <f t="shared" si="12"/>
        <v>33.973039999999997</v>
      </c>
      <c r="L122" s="13"/>
    </row>
    <row r="123" spans="1:12" x14ac:dyDescent="0.2">
      <c r="A123" s="7" t="s">
        <v>109</v>
      </c>
      <c r="B123" s="9" t="s">
        <v>110</v>
      </c>
      <c r="C123" s="9" t="s">
        <v>197</v>
      </c>
      <c r="D123" s="7" t="s">
        <v>143</v>
      </c>
      <c r="E123" s="4">
        <v>9000</v>
      </c>
      <c r="F123" s="11">
        <f t="shared" si="13"/>
        <v>5971.5</v>
      </c>
      <c r="G123" s="12">
        <f t="shared" si="8"/>
        <v>3028.5</v>
      </c>
      <c r="H123" s="11">
        <f t="shared" si="9"/>
        <v>0</v>
      </c>
      <c r="I123" s="12">
        <f t="shared" si="10"/>
        <v>0</v>
      </c>
      <c r="J123" s="11">
        <f t="shared" si="11"/>
        <v>5971.5</v>
      </c>
      <c r="K123" s="12">
        <f t="shared" si="12"/>
        <v>3028.5</v>
      </c>
      <c r="L123" s="13"/>
    </row>
    <row r="124" spans="1:12" x14ac:dyDescent="0.2">
      <c r="A124" s="7" t="s">
        <v>109</v>
      </c>
      <c r="B124" s="9" t="s">
        <v>110</v>
      </c>
      <c r="C124" s="9" t="s">
        <v>197</v>
      </c>
      <c r="D124" s="7" t="s">
        <v>138</v>
      </c>
      <c r="E124" s="4">
        <v>52549.34</v>
      </c>
      <c r="F124" s="11">
        <f t="shared" si="13"/>
        <v>34866.487089999995</v>
      </c>
      <c r="G124" s="12">
        <f t="shared" si="8"/>
        <v>17682.852910000001</v>
      </c>
      <c r="H124" s="11">
        <f t="shared" si="9"/>
        <v>0</v>
      </c>
      <c r="I124" s="12">
        <f t="shared" si="10"/>
        <v>0</v>
      </c>
      <c r="J124" s="11">
        <f t="shared" si="11"/>
        <v>34866.487089999995</v>
      </c>
      <c r="K124" s="12">
        <f t="shared" si="12"/>
        <v>17682.852910000001</v>
      </c>
      <c r="L124" s="13"/>
    </row>
    <row r="125" spans="1:12" x14ac:dyDescent="0.2">
      <c r="A125" s="7" t="s">
        <v>109</v>
      </c>
      <c r="B125" s="9" t="s">
        <v>110</v>
      </c>
      <c r="C125" s="9" t="s">
        <v>197</v>
      </c>
      <c r="D125" s="7" t="s">
        <v>139</v>
      </c>
      <c r="E125" s="4">
        <v>142836.69</v>
      </c>
      <c r="F125" s="11">
        <f t="shared" si="13"/>
        <v>94772.143815000003</v>
      </c>
      <c r="G125" s="12">
        <f t="shared" si="8"/>
        <v>48064.546185000007</v>
      </c>
      <c r="H125" s="11">
        <f t="shared" si="9"/>
        <v>0</v>
      </c>
      <c r="I125" s="12">
        <f t="shared" si="10"/>
        <v>0</v>
      </c>
      <c r="J125" s="11">
        <f t="shared" si="11"/>
        <v>94772.143815000003</v>
      </c>
      <c r="K125" s="12">
        <f t="shared" si="12"/>
        <v>48064.546185000007</v>
      </c>
      <c r="L125" s="13"/>
    </row>
    <row r="126" spans="1:12" x14ac:dyDescent="0.2">
      <c r="A126" s="7" t="s">
        <v>109</v>
      </c>
      <c r="B126" s="9" t="s">
        <v>110</v>
      </c>
      <c r="C126" s="9" t="s">
        <v>198</v>
      </c>
      <c r="D126" s="7" t="s">
        <v>144</v>
      </c>
      <c r="E126" s="4">
        <v>-13.31</v>
      </c>
      <c r="F126" s="11">
        <f t="shared" si="13"/>
        <v>-8.8311849999999996</v>
      </c>
      <c r="G126" s="12">
        <f t="shared" si="8"/>
        <v>-4.4788150000000009</v>
      </c>
      <c r="H126" s="11">
        <f t="shared" si="9"/>
        <v>0</v>
      </c>
      <c r="I126" s="12">
        <f t="shared" si="10"/>
        <v>0</v>
      </c>
      <c r="J126" s="11">
        <f t="shared" si="11"/>
        <v>-8.8311849999999996</v>
      </c>
      <c r="K126" s="12">
        <f t="shared" si="12"/>
        <v>-4.4788150000000009</v>
      </c>
      <c r="L126" s="13"/>
    </row>
    <row r="127" spans="1:12" x14ac:dyDescent="0.2">
      <c r="A127" s="7" t="s">
        <v>109</v>
      </c>
      <c r="B127" s="9" t="s">
        <v>110</v>
      </c>
      <c r="C127" s="9" t="s">
        <v>198</v>
      </c>
      <c r="D127" s="7" t="s">
        <v>149</v>
      </c>
      <c r="E127" s="4">
        <v>3000</v>
      </c>
      <c r="F127" s="11">
        <f t="shared" si="13"/>
        <v>1990.5</v>
      </c>
      <c r="G127" s="12">
        <f t="shared" si="8"/>
        <v>1009.5000000000001</v>
      </c>
      <c r="H127" s="11">
        <f t="shared" si="9"/>
        <v>0</v>
      </c>
      <c r="I127" s="12">
        <f t="shared" si="10"/>
        <v>0</v>
      </c>
      <c r="J127" s="11">
        <f t="shared" si="11"/>
        <v>1990.5</v>
      </c>
      <c r="K127" s="12">
        <f t="shared" si="12"/>
        <v>1009.5000000000001</v>
      </c>
      <c r="L127" s="13"/>
    </row>
    <row r="128" spans="1:12" x14ac:dyDescent="0.2">
      <c r="A128" s="7" t="s">
        <v>109</v>
      </c>
      <c r="B128" s="9" t="s">
        <v>110</v>
      </c>
      <c r="C128" s="9" t="s">
        <v>198</v>
      </c>
      <c r="D128" s="7" t="s">
        <v>145</v>
      </c>
      <c r="E128" s="4">
        <v>114335.39</v>
      </c>
      <c r="F128" s="11">
        <f t="shared" si="13"/>
        <v>75861.531264999998</v>
      </c>
      <c r="G128" s="12">
        <f t="shared" si="8"/>
        <v>38473.858735000002</v>
      </c>
      <c r="H128" s="11">
        <f t="shared" si="9"/>
        <v>0</v>
      </c>
      <c r="I128" s="12">
        <f t="shared" si="10"/>
        <v>0</v>
      </c>
      <c r="J128" s="11">
        <f t="shared" si="11"/>
        <v>75861.531264999998</v>
      </c>
      <c r="K128" s="12">
        <f t="shared" si="12"/>
        <v>38473.858735000002</v>
      </c>
      <c r="L128" s="13"/>
    </row>
    <row r="129" spans="1:12" x14ac:dyDescent="0.2">
      <c r="A129" s="7" t="s">
        <v>109</v>
      </c>
      <c r="B129" s="9" t="s">
        <v>110</v>
      </c>
      <c r="C129" s="9" t="s">
        <v>198</v>
      </c>
      <c r="D129" s="7" t="s">
        <v>150</v>
      </c>
      <c r="E129" s="4">
        <v>1143.9000000000001</v>
      </c>
      <c r="F129" s="11">
        <f t="shared" si="13"/>
        <v>758.97765000000004</v>
      </c>
      <c r="G129" s="12">
        <f t="shared" si="8"/>
        <v>384.92235000000005</v>
      </c>
      <c r="H129" s="11">
        <f t="shared" si="9"/>
        <v>0</v>
      </c>
      <c r="I129" s="12">
        <f t="shared" si="10"/>
        <v>0</v>
      </c>
      <c r="J129" s="11">
        <f t="shared" si="11"/>
        <v>758.97765000000004</v>
      </c>
      <c r="K129" s="12">
        <f t="shared" si="12"/>
        <v>384.92235000000005</v>
      </c>
      <c r="L129" s="13"/>
    </row>
    <row r="130" spans="1:12" x14ac:dyDescent="0.2">
      <c r="A130" s="7" t="s">
        <v>109</v>
      </c>
      <c r="B130" s="9" t="s">
        <v>110</v>
      </c>
      <c r="C130" s="9" t="s">
        <v>198</v>
      </c>
      <c r="D130" s="7" t="s">
        <v>151</v>
      </c>
      <c r="E130" s="4">
        <v>716.5</v>
      </c>
      <c r="F130" s="11">
        <f t="shared" si="13"/>
        <v>475.39774999999997</v>
      </c>
      <c r="G130" s="12">
        <f t="shared" si="8"/>
        <v>241.10225000000003</v>
      </c>
      <c r="H130" s="11">
        <f t="shared" si="9"/>
        <v>0</v>
      </c>
      <c r="I130" s="12">
        <f t="shared" si="10"/>
        <v>0</v>
      </c>
      <c r="J130" s="11">
        <f t="shared" si="11"/>
        <v>475.39774999999997</v>
      </c>
      <c r="K130" s="12">
        <f t="shared" si="12"/>
        <v>241.10225000000003</v>
      </c>
      <c r="L130" s="13"/>
    </row>
    <row r="131" spans="1:12" x14ac:dyDescent="0.2">
      <c r="A131" s="7" t="s">
        <v>109</v>
      </c>
      <c r="B131" s="9" t="s">
        <v>110</v>
      </c>
      <c r="C131" s="9" t="s">
        <v>199</v>
      </c>
      <c r="D131" s="7" t="s">
        <v>152</v>
      </c>
      <c r="E131" s="4">
        <v>-81.7</v>
      </c>
      <c r="F131" s="11">
        <f t="shared" ref="F131:F150" si="14">IF($A131="40810002",$E131,IF($A131="40810602",$E131*$N$4,0))</f>
        <v>-54.207949999999997</v>
      </c>
      <c r="G131" s="12">
        <f t="shared" si="8"/>
        <v>-27.492050000000003</v>
      </c>
      <c r="H131" s="11">
        <f t="shared" si="9"/>
        <v>0</v>
      </c>
      <c r="I131" s="12">
        <f t="shared" si="10"/>
        <v>0</v>
      </c>
      <c r="J131" s="11">
        <f t="shared" si="11"/>
        <v>-54.207949999999997</v>
      </c>
      <c r="K131" s="12">
        <f t="shared" si="12"/>
        <v>-27.492050000000003</v>
      </c>
      <c r="L131" s="13"/>
    </row>
    <row r="132" spans="1:12" x14ac:dyDescent="0.2">
      <c r="A132" s="7" t="s">
        <v>109</v>
      </c>
      <c r="B132" s="9" t="s">
        <v>110</v>
      </c>
      <c r="C132" s="9" t="s">
        <v>199</v>
      </c>
      <c r="D132" s="7" t="s">
        <v>153</v>
      </c>
      <c r="E132" s="4">
        <v>71241.87</v>
      </c>
      <c r="F132" s="11">
        <f t="shared" si="14"/>
        <v>47268.980744999993</v>
      </c>
      <c r="G132" s="12">
        <f t="shared" ref="G132:G150" si="15">IF($A132="40810302",$E132,IF($A132="40810602",$E132*$N$5,0))</f>
        <v>23972.889254999998</v>
      </c>
      <c r="H132" s="11">
        <f t="shared" ref="H132:H150" si="16">IF(L132=1,-F132,0)</f>
        <v>0</v>
      </c>
      <c r="I132" s="12">
        <f t="shared" ref="I132:I150" si="17">IF(L132=1,-G132,0)</f>
        <v>0</v>
      </c>
      <c r="J132" s="11">
        <f t="shared" ref="J132:J150" si="18">F132+H132</f>
        <v>47268.980744999993</v>
      </c>
      <c r="K132" s="12">
        <f t="shared" ref="K132:K150" si="19">G132+I132</f>
        <v>23972.889254999998</v>
      </c>
      <c r="L132" s="13"/>
    </row>
    <row r="133" spans="1:12" x14ac:dyDescent="0.2">
      <c r="A133" s="7" t="s">
        <v>109</v>
      </c>
      <c r="B133" s="9" t="s">
        <v>110</v>
      </c>
      <c r="C133" s="9" t="s">
        <v>200</v>
      </c>
      <c r="D133" s="7" t="s">
        <v>157</v>
      </c>
      <c r="E133" s="4">
        <v>-10526.25</v>
      </c>
      <c r="F133" s="11">
        <f t="shared" si="14"/>
        <v>-6984.1668749999999</v>
      </c>
      <c r="G133" s="12">
        <f t="shared" si="15"/>
        <v>-3542.0831250000001</v>
      </c>
      <c r="H133" s="11">
        <f t="shared" si="16"/>
        <v>0</v>
      </c>
      <c r="I133" s="12">
        <f t="shared" si="17"/>
        <v>0</v>
      </c>
      <c r="J133" s="11">
        <f t="shared" si="18"/>
        <v>-6984.1668749999999</v>
      </c>
      <c r="K133" s="12">
        <f t="shared" si="19"/>
        <v>-3542.0831250000001</v>
      </c>
      <c r="L133" s="13"/>
    </row>
    <row r="134" spans="1:12" x14ac:dyDescent="0.2">
      <c r="A134" s="7" t="s">
        <v>109</v>
      </c>
      <c r="B134" s="9" t="s">
        <v>110</v>
      </c>
      <c r="C134" s="9" t="s">
        <v>200</v>
      </c>
      <c r="D134" s="7" t="s">
        <v>162</v>
      </c>
      <c r="E134" s="4">
        <v>6728.76</v>
      </c>
      <c r="F134" s="11">
        <f t="shared" si="14"/>
        <v>4464.53226</v>
      </c>
      <c r="G134" s="12">
        <f t="shared" si="15"/>
        <v>2264.2277400000003</v>
      </c>
      <c r="H134" s="11">
        <f t="shared" si="16"/>
        <v>0</v>
      </c>
      <c r="I134" s="12">
        <f t="shared" si="17"/>
        <v>0</v>
      </c>
      <c r="J134" s="11">
        <f t="shared" si="18"/>
        <v>4464.53226</v>
      </c>
      <c r="K134" s="12">
        <f t="shared" si="19"/>
        <v>2264.2277400000003</v>
      </c>
      <c r="L134" s="13"/>
    </row>
    <row r="135" spans="1:12" x14ac:dyDescent="0.2">
      <c r="A135" s="7" t="s">
        <v>109</v>
      </c>
      <c r="B135" s="9" t="s">
        <v>110</v>
      </c>
      <c r="C135" s="9" t="s">
        <v>200</v>
      </c>
      <c r="D135" s="7" t="s">
        <v>158</v>
      </c>
      <c r="E135" s="4">
        <v>133998.41</v>
      </c>
      <c r="F135" s="11">
        <f t="shared" si="14"/>
        <v>88907.945034999997</v>
      </c>
      <c r="G135" s="12">
        <f t="shared" si="15"/>
        <v>45090.464965000006</v>
      </c>
      <c r="H135" s="11">
        <f t="shared" si="16"/>
        <v>0</v>
      </c>
      <c r="I135" s="12">
        <f t="shared" si="17"/>
        <v>0</v>
      </c>
      <c r="J135" s="11">
        <f t="shared" si="18"/>
        <v>88907.945034999997</v>
      </c>
      <c r="K135" s="12">
        <f t="shared" si="19"/>
        <v>45090.464965000006</v>
      </c>
      <c r="L135" s="13"/>
    </row>
    <row r="136" spans="1:12" x14ac:dyDescent="0.2">
      <c r="A136" s="7" t="s">
        <v>109</v>
      </c>
      <c r="B136" s="9" t="s">
        <v>110</v>
      </c>
      <c r="C136" s="9" t="s">
        <v>200</v>
      </c>
      <c r="D136" s="7" t="s">
        <v>163</v>
      </c>
      <c r="E136" s="4">
        <v>168.1</v>
      </c>
      <c r="F136" s="11">
        <f t="shared" si="14"/>
        <v>111.53434999999999</v>
      </c>
      <c r="G136" s="12">
        <f t="shared" si="15"/>
        <v>56.565650000000005</v>
      </c>
      <c r="H136" s="11">
        <f t="shared" si="16"/>
        <v>0</v>
      </c>
      <c r="I136" s="12">
        <f t="shared" si="17"/>
        <v>0</v>
      </c>
      <c r="J136" s="11">
        <f t="shared" si="18"/>
        <v>111.53434999999999</v>
      </c>
      <c r="K136" s="12">
        <f t="shared" si="19"/>
        <v>56.565650000000005</v>
      </c>
      <c r="L136" s="13"/>
    </row>
    <row r="137" spans="1:12" x14ac:dyDescent="0.2">
      <c r="A137" s="7" t="s">
        <v>109</v>
      </c>
      <c r="B137" s="9" t="s">
        <v>110</v>
      </c>
      <c r="C137" s="9" t="s">
        <v>201</v>
      </c>
      <c r="D137" s="7" t="s">
        <v>164</v>
      </c>
      <c r="E137" s="4">
        <v>-55.82</v>
      </c>
      <c r="F137" s="11">
        <f t="shared" si="14"/>
        <v>-37.036569999999998</v>
      </c>
      <c r="G137" s="12">
        <f t="shared" si="15"/>
        <v>-18.783430000000003</v>
      </c>
      <c r="H137" s="11">
        <f t="shared" si="16"/>
        <v>0</v>
      </c>
      <c r="I137" s="12">
        <f t="shared" si="17"/>
        <v>0</v>
      </c>
      <c r="J137" s="11">
        <f t="shared" si="18"/>
        <v>-37.036569999999998</v>
      </c>
      <c r="K137" s="12">
        <f t="shared" si="19"/>
        <v>-18.783430000000003</v>
      </c>
      <c r="L137" s="13"/>
    </row>
    <row r="138" spans="1:12" x14ac:dyDescent="0.2">
      <c r="A138" s="7" t="s">
        <v>109</v>
      </c>
      <c r="B138" s="9" t="s">
        <v>110</v>
      </c>
      <c r="C138" s="9" t="s">
        <v>201</v>
      </c>
      <c r="D138" s="7" t="s">
        <v>170</v>
      </c>
      <c r="E138" s="4">
        <v>9500</v>
      </c>
      <c r="F138" s="11">
        <f t="shared" si="14"/>
        <v>6303.25</v>
      </c>
      <c r="G138" s="12">
        <f t="shared" si="15"/>
        <v>3196.75</v>
      </c>
      <c r="H138" s="11">
        <f t="shared" si="16"/>
        <v>0</v>
      </c>
      <c r="I138" s="12">
        <f t="shared" si="17"/>
        <v>0</v>
      </c>
      <c r="J138" s="11">
        <f t="shared" si="18"/>
        <v>6303.25</v>
      </c>
      <c r="K138" s="12">
        <f t="shared" si="19"/>
        <v>3196.75</v>
      </c>
      <c r="L138" s="13"/>
    </row>
    <row r="139" spans="1:12" x14ac:dyDescent="0.2">
      <c r="A139" s="7" t="s">
        <v>109</v>
      </c>
      <c r="B139" s="9" t="s">
        <v>110</v>
      </c>
      <c r="C139" s="9" t="s">
        <v>201</v>
      </c>
      <c r="D139" s="7" t="s">
        <v>165</v>
      </c>
      <c r="E139" s="4">
        <v>159144.42000000001</v>
      </c>
      <c r="F139" s="11">
        <f t="shared" si="14"/>
        <v>105592.32267000001</v>
      </c>
      <c r="G139" s="12">
        <f t="shared" si="15"/>
        <v>53552.097330000004</v>
      </c>
      <c r="H139" s="11">
        <f t="shared" si="16"/>
        <v>0</v>
      </c>
      <c r="I139" s="12">
        <f t="shared" si="17"/>
        <v>0</v>
      </c>
      <c r="J139" s="11">
        <f t="shared" si="18"/>
        <v>105592.32267000001</v>
      </c>
      <c r="K139" s="12">
        <f t="shared" si="19"/>
        <v>53552.097330000004</v>
      </c>
      <c r="L139" s="13"/>
    </row>
    <row r="140" spans="1:12" x14ac:dyDescent="0.2">
      <c r="A140" s="7" t="s">
        <v>109</v>
      </c>
      <c r="B140" s="9" t="s">
        <v>110</v>
      </c>
      <c r="C140" s="9" t="s">
        <v>201</v>
      </c>
      <c r="D140" s="7" t="s">
        <v>171</v>
      </c>
      <c r="E140" s="4">
        <v>168.1</v>
      </c>
      <c r="F140" s="11">
        <f t="shared" si="14"/>
        <v>111.53434999999999</v>
      </c>
      <c r="G140" s="12">
        <f t="shared" si="15"/>
        <v>56.565650000000005</v>
      </c>
      <c r="H140" s="11">
        <f t="shared" si="16"/>
        <v>0</v>
      </c>
      <c r="I140" s="12">
        <f t="shared" si="17"/>
        <v>0</v>
      </c>
      <c r="J140" s="11">
        <f t="shared" si="18"/>
        <v>111.53434999999999</v>
      </c>
      <c r="K140" s="12">
        <f t="shared" si="19"/>
        <v>56.565650000000005</v>
      </c>
      <c r="L140" s="13"/>
    </row>
    <row r="141" spans="1:12" x14ac:dyDescent="0.2">
      <c r="A141" s="7" t="s">
        <v>109</v>
      </c>
      <c r="B141" s="9" t="s">
        <v>110</v>
      </c>
      <c r="C141" s="9" t="s">
        <v>201</v>
      </c>
      <c r="D141" s="7" t="s">
        <v>172</v>
      </c>
      <c r="E141" s="4">
        <v>-168.1</v>
      </c>
      <c r="F141" s="11">
        <f t="shared" si="14"/>
        <v>-111.53434999999999</v>
      </c>
      <c r="G141" s="12">
        <f t="shared" si="15"/>
        <v>-56.565650000000005</v>
      </c>
      <c r="H141" s="11">
        <f t="shared" si="16"/>
        <v>0</v>
      </c>
      <c r="I141" s="12">
        <f t="shared" si="17"/>
        <v>0</v>
      </c>
      <c r="J141" s="11">
        <f t="shared" si="18"/>
        <v>-111.53434999999999</v>
      </c>
      <c r="K141" s="12">
        <f t="shared" si="19"/>
        <v>-56.565650000000005</v>
      </c>
      <c r="L141" s="13"/>
    </row>
    <row r="142" spans="1:12" x14ac:dyDescent="0.2">
      <c r="A142" s="7" t="s">
        <v>109</v>
      </c>
      <c r="B142" s="9" t="s">
        <v>110</v>
      </c>
      <c r="C142" s="9" t="s">
        <v>202</v>
      </c>
      <c r="D142" s="7" t="s">
        <v>173</v>
      </c>
      <c r="E142" s="4">
        <v>1520.63</v>
      </c>
      <c r="F142" s="11">
        <f t="shared" si="14"/>
        <v>1008.9380050000001</v>
      </c>
      <c r="G142" s="12">
        <f t="shared" si="15"/>
        <v>511.69199500000008</v>
      </c>
      <c r="H142" s="11">
        <f t="shared" si="16"/>
        <v>0</v>
      </c>
      <c r="I142" s="12">
        <f t="shared" si="17"/>
        <v>0</v>
      </c>
      <c r="J142" s="11">
        <f t="shared" si="18"/>
        <v>1008.9380050000001</v>
      </c>
      <c r="K142" s="12">
        <f t="shared" si="19"/>
        <v>511.69199500000008</v>
      </c>
      <c r="L142" s="13"/>
    </row>
    <row r="143" spans="1:12" x14ac:dyDescent="0.2">
      <c r="A143" s="7" t="s">
        <v>109</v>
      </c>
      <c r="B143" s="9" t="s">
        <v>110</v>
      </c>
      <c r="C143" s="9" t="s">
        <v>202</v>
      </c>
      <c r="D143" s="7" t="s">
        <v>178</v>
      </c>
      <c r="E143" s="4">
        <v>5500</v>
      </c>
      <c r="F143" s="11">
        <f t="shared" si="14"/>
        <v>3649.25</v>
      </c>
      <c r="G143" s="12">
        <f t="shared" si="15"/>
        <v>1850.7500000000002</v>
      </c>
      <c r="H143" s="11">
        <f t="shared" si="16"/>
        <v>0</v>
      </c>
      <c r="I143" s="12">
        <f t="shared" si="17"/>
        <v>0</v>
      </c>
      <c r="J143" s="11">
        <f t="shared" si="18"/>
        <v>3649.25</v>
      </c>
      <c r="K143" s="12">
        <f t="shared" si="19"/>
        <v>1850.7500000000002</v>
      </c>
      <c r="L143" s="13"/>
    </row>
    <row r="144" spans="1:12" x14ac:dyDescent="0.2">
      <c r="A144" s="7" t="s">
        <v>109</v>
      </c>
      <c r="B144" s="9" t="s">
        <v>110</v>
      </c>
      <c r="C144" s="9" t="s">
        <v>202</v>
      </c>
      <c r="D144" s="7" t="s">
        <v>174</v>
      </c>
      <c r="E144" s="4">
        <v>86250.37</v>
      </c>
      <c r="F144" s="11">
        <f t="shared" si="14"/>
        <v>57227.120494999996</v>
      </c>
      <c r="G144" s="12">
        <f t="shared" si="15"/>
        <v>29023.249505</v>
      </c>
      <c r="H144" s="11">
        <f t="shared" si="16"/>
        <v>0</v>
      </c>
      <c r="I144" s="12">
        <f t="shared" si="17"/>
        <v>0</v>
      </c>
      <c r="J144" s="11">
        <f t="shared" si="18"/>
        <v>57227.120494999996</v>
      </c>
      <c r="K144" s="12">
        <f t="shared" si="19"/>
        <v>29023.249505</v>
      </c>
      <c r="L144" s="13"/>
    </row>
    <row r="145" spans="1:12" x14ac:dyDescent="0.2">
      <c r="A145" s="7" t="s">
        <v>109</v>
      </c>
      <c r="B145" s="9" t="s">
        <v>110</v>
      </c>
      <c r="C145" s="9" t="s">
        <v>202</v>
      </c>
      <c r="D145" s="7" t="s">
        <v>179</v>
      </c>
      <c r="E145" s="4">
        <v>70.73</v>
      </c>
      <c r="F145" s="11">
        <f t="shared" si="14"/>
        <v>46.929355000000001</v>
      </c>
      <c r="G145" s="12">
        <f t="shared" si="15"/>
        <v>23.800645000000003</v>
      </c>
      <c r="H145" s="11">
        <f t="shared" si="16"/>
        <v>0</v>
      </c>
      <c r="I145" s="12">
        <f t="shared" si="17"/>
        <v>0</v>
      </c>
      <c r="J145" s="11">
        <f t="shared" si="18"/>
        <v>46.929355000000001</v>
      </c>
      <c r="K145" s="12">
        <f t="shared" si="19"/>
        <v>23.800645000000003</v>
      </c>
      <c r="L145" s="13"/>
    </row>
    <row r="146" spans="1:12" x14ac:dyDescent="0.2">
      <c r="A146" s="7" t="s">
        <v>109</v>
      </c>
      <c r="B146" s="9" t="s">
        <v>110</v>
      </c>
      <c r="C146" s="9" t="s">
        <v>203</v>
      </c>
      <c r="D146" s="7" t="s">
        <v>185</v>
      </c>
      <c r="E146" s="4">
        <v>429523.86</v>
      </c>
      <c r="F146" s="11">
        <f t="shared" si="14"/>
        <v>284989.08110999997</v>
      </c>
      <c r="G146" s="12">
        <f t="shared" si="15"/>
        <v>144534.77889000002</v>
      </c>
      <c r="H146" s="11">
        <f t="shared" si="16"/>
        <v>0</v>
      </c>
      <c r="I146" s="12">
        <f t="shared" si="17"/>
        <v>0</v>
      </c>
      <c r="J146" s="11">
        <f t="shared" si="18"/>
        <v>284989.08110999997</v>
      </c>
      <c r="K146" s="12">
        <f t="shared" si="19"/>
        <v>144534.77889000002</v>
      </c>
      <c r="L146" s="13"/>
    </row>
    <row r="147" spans="1:12" x14ac:dyDescent="0.2">
      <c r="A147" s="7" t="s">
        <v>109</v>
      </c>
      <c r="B147" s="9" t="s">
        <v>110</v>
      </c>
      <c r="C147" s="9" t="s">
        <v>203</v>
      </c>
      <c r="D147" s="7" t="s">
        <v>180</v>
      </c>
      <c r="E147" s="4">
        <v>1923.08</v>
      </c>
      <c r="F147" s="11">
        <f t="shared" si="14"/>
        <v>1275.9635799999999</v>
      </c>
      <c r="G147" s="12">
        <f t="shared" si="15"/>
        <v>647.11642000000006</v>
      </c>
      <c r="H147" s="11">
        <f t="shared" si="16"/>
        <v>0</v>
      </c>
      <c r="I147" s="12">
        <f t="shared" si="17"/>
        <v>0</v>
      </c>
      <c r="J147" s="11">
        <f t="shared" si="18"/>
        <v>1275.9635799999999</v>
      </c>
      <c r="K147" s="12">
        <f t="shared" si="19"/>
        <v>647.11642000000006</v>
      </c>
      <c r="L147" s="13"/>
    </row>
    <row r="148" spans="1:12" x14ac:dyDescent="0.2">
      <c r="A148" s="7" t="s">
        <v>109</v>
      </c>
      <c r="B148" s="9" t="s">
        <v>110</v>
      </c>
      <c r="C148" s="9" t="s">
        <v>203</v>
      </c>
      <c r="D148" s="7" t="s">
        <v>186</v>
      </c>
      <c r="E148" s="4">
        <v>42500</v>
      </c>
      <c r="F148" s="11">
        <f t="shared" si="14"/>
        <v>28198.75</v>
      </c>
      <c r="G148" s="12">
        <f t="shared" si="15"/>
        <v>14301.25</v>
      </c>
      <c r="H148" s="11">
        <f t="shared" si="16"/>
        <v>0</v>
      </c>
      <c r="I148" s="12">
        <f t="shared" si="17"/>
        <v>0</v>
      </c>
      <c r="J148" s="11">
        <f t="shared" si="18"/>
        <v>28198.75</v>
      </c>
      <c r="K148" s="12">
        <f t="shared" si="19"/>
        <v>14301.25</v>
      </c>
      <c r="L148" s="13"/>
    </row>
    <row r="149" spans="1:12" x14ac:dyDescent="0.2">
      <c r="A149" s="7" t="s">
        <v>109</v>
      </c>
      <c r="B149" s="9" t="s">
        <v>110</v>
      </c>
      <c r="C149" s="9" t="s">
        <v>203</v>
      </c>
      <c r="D149" s="7" t="s">
        <v>181</v>
      </c>
      <c r="E149" s="4">
        <v>169231.96</v>
      </c>
      <c r="F149" s="11">
        <f t="shared" si="14"/>
        <v>112285.40545999999</v>
      </c>
      <c r="G149" s="12">
        <f t="shared" si="15"/>
        <v>56946.554539999997</v>
      </c>
      <c r="H149" s="11">
        <f t="shared" si="16"/>
        <v>0</v>
      </c>
      <c r="I149" s="12">
        <f t="shared" si="17"/>
        <v>0</v>
      </c>
      <c r="J149" s="11">
        <f t="shared" si="18"/>
        <v>112285.40545999999</v>
      </c>
      <c r="K149" s="12">
        <f t="shared" si="19"/>
        <v>56946.554539999997</v>
      </c>
      <c r="L149" s="13"/>
    </row>
    <row r="150" spans="1:12" x14ac:dyDescent="0.2">
      <c r="A150" s="7" t="s">
        <v>109</v>
      </c>
      <c r="B150" s="7" t="s">
        <v>110</v>
      </c>
      <c r="C150" s="7" t="s">
        <v>203</v>
      </c>
      <c r="D150" s="7" t="s">
        <v>187</v>
      </c>
      <c r="E150" s="5">
        <v>482.61</v>
      </c>
      <c r="F150" s="11">
        <f t="shared" si="14"/>
        <v>320.21173499999998</v>
      </c>
      <c r="G150" s="12">
        <f t="shared" si="15"/>
        <v>162.39826500000001</v>
      </c>
      <c r="H150" s="11">
        <f t="shared" si="16"/>
        <v>0</v>
      </c>
      <c r="I150" s="12">
        <f t="shared" si="17"/>
        <v>0</v>
      </c>
      <c r="J150" s="11">
        <f t="shared" si="18"/>
        <v>320.21173499999998</v>
      </c>
      <c r="K150" s="12">
        <f t="shared" si="19"/>
        <v>162.39826500000001</v>
      </c>
      <c r="L150" s="13"/>
    </row>
    <row r="151" spans="1:12" x14ac:dyDescent="0.2">
      <c r="F151" s="24"/>
      <c r="G151" s="28"/>
      <c r="H151" s="24"/>
      <c r="I151" s="28"/>
      <c r="J151" s="24"/>
      <c r="K151" s="28"/>
      <c r="L151" s="32"/>
    </row>
    <row r="152" spans="1:12" x14ac:dyDescent="0.2">
      <c r="F152" s="24"/>
      <c r="G152" s="28"/>
      <c r="H152" s="24"/>
      <c r="I152" s="28"/>
      <c r="J152" s="24"/>
      <c r="K152" s="28"/>
      <c r="L152" s="32"/>
    </row>
    <row r="153" spans="1:12" x14ac:dyDescent="0.2">
      <c r="F153" s="24"/>
      <c r="G153" s="28"/>
      <c r="H153" s="24"/>
      <c r="I153" s="28"/>
      <c r="J153" s="24"/>
      <c r="K153" s="28"/>
      <c r="L153" s="32"/>
    </row>
    <row r="154" spans="1:12" x14ac:dyDescent="0.2">
      <c r="F154" s="24"/>
      <c r="G154" s="28"/>
      <c r="H154" s="24"/>
      <c r="I154" s="28"/>
      <c r="J154" s="24"/>
      <c r="K154" s="28"/>
      <c r="L154" s="32"/>
    </row>
    <row r="155" spans="1:12" x14ac:dyDescent="0.2">
      <c r="F155" s="24"/>
      <c r="G155" s="28"/>
      <c r="H155" s="24"/>
      <c r="I155" s="28"/>
      <c r="J155" s="24"/>
      <c r="K155" s="28"/>
      <c r="L155" s="32"/>
    </row>
    <row r="156" spans="1:12" x14ac:dyDescent="0.2">
      <c r="F156" s="24"/>
      <c r="G156" s="28"/>
      <c r="H156" s="24"/>
      <c r="I156" s="28"/>
      <c r="J156" s="24"/>
      <c r="K156" s="28"/>
      <c r="L156" s="32"/>
    </row>
    <row r="157" spans="1:12" x14ac:dyDescent="0.2">
      <c r="F157" s="24"/>
      <c r="G157" s="28"/>
      <c r="H157" s="24"/>
      <c r="I157" s="28"/>
      <c r="J157" s="24"/>
      <c r="K157" s="28"/>
      <c r="L157" s="32"/>
    </row>
    <row r="158" spans="1:12" x14ac:dyDescent="0.2">
      <c r="F158" s="24"/>
      <c r="G158" s="28"/>
      <c r="H158" s="24"/>
      <c r="I158" s="28"/>
      <c r="J158" s="24"/>
      <c r="K158" s="28"/>
      <c r="L158" s="32"/>
    </row>
    <row r="159" spans="1:12" x14ac:dyDescent="0.2">
      <c r="F159" s="24"/>
      <c r="G159" s="28"/>
      <c r="H159" s="24"/>
      <c r="I159" s="28"/>
      <c r="J159" s="24"/>
      <c r="K159" s="28"/>
      <c r="L159" s="32"/>
    </row>
    <row r="160" spans="1:12" x14ac:dyDescent="0.2">
      <c r="F160" s="24"/>
      <c r="G160" s="28"/>
      <c r="H160" s="24"/>
      <c r="I160" s="28"/>
      <c r="J160" s="24"/>
      <c r="K160" s="28"/>
      <c r="L160" s="32"/>
    </row>
    <row r="161" spans="6:12" x14ac:dyDescent="0.2">
      <c r="F161" s="24"/>
      <c r="G161" s="28"/>
      <c r="H161" s="24"/>
      <c r="I161" s="28"/>
      <c r="J161" s="24"/>
      <c r="K161" s="28"/>
      <c r="L161" s="32"/>
    </row>
    <row r="162" spans="6:12" x14ac:dyDescent="0.2">
      <c r="F162" s="24"/>
      <c r="G162" s="28"/>
      <c r="H162" s="24"/>
      <c r="I162" s="28"/>
      <c r="J162" s="24"/>
      <c r="K162" s="28"/>
      <c r="L162" s="32"/>
    </row>
    <row r="163" spans="6:12" x14ac:dyDescent="0.2">
      <c r="F163" s="24"/>
      <c r="G163" s="28"/>
      <c r="H163" s="24"/>
      <c r="I163" s="28"/>
      <c r="J163" s="24"/>
      <c r="K163" s="28"/>
      <c r="L163" s="32"/>
    </row>
    <row r="164" spans="6:12" x14ac:dyDescent="0.2">
      <c r="F164" s="24"/>
      <c r="G164" s="28"/>
      <c r="H164" s="24"/>
      <c r="I164" s="28"/>
      <c r="J164" s="24"/>
      <c r="K164" s="28"/>
      <c r="L164" s="32"/>
    </row>
    <row r="165" spans="6:12" x14ac:dyDescent="0.2">
      <c r="F165" s="24"/>
      <c r="G165" s="28"/>
      <c r="H165" s="24"/>
      <c r="I165" s="28"/>
      <c r="J165" s="24"/>
      <c r="K165" s="28"/>
      <c r="L165" s="32"/>
    </row>
    <row r="166" spans="6:12" x14ac:dyDescent="0.2">
      <c r="F166" s="24"/>
      <c r="G166" s="28"/>
      <c r="H166" s="24"/>
      <c r="I166" s="28"/>
      <c r="J166" s="24"/>
      <c r="K166" s="28"/>
      <c r="L166" s="32"/>
    </row>
    <row r="167" spans="6:12" x14ac:dyDescent="0.2">
      <c r="F167" s="24"/>
      <c r="G167" s="28"/>
      <c r="H167" s="24"/>
      <c r="I167" s="28"/>
      <c r="J167" s="24"/>
      <c r="K167" s="28"/>
      <c r="L167" s="32"/>
    </row>
    <row r="168" spans="6:12" x14ac:dyDescent="0.2">
      <c r="F168" s="24"/>
      <c r="G168" s="28"/>
      <c r="H168" s="24"/>
      <c r="I168" s="28"/>
      <c r="J168" s="24"/>
      <c r="K168" s="28"/>
      <c r="L168" s="32"/>
    </row>
    <row r="169" spans="6:12" x14ac:dyDescent="0.2">
      <c r="F169" s="24"/>
      <c r="G169" s="28"/>
      <c r="H169" s="24"/>
      <c r="I169" s="28"/>
      <c r="J169" s="24"/>
      <c r="K169" s="28"/>
      <c r="L169" s="32"/>
    </row>
    <row r="170" spans="6:12" x14ac:dyDescent="0.2">
      <c r="F170" s="24"/>
      <c r="G170" s="28"/>
      <c r="H170" s="24"/>
      <c r="I170" s="28"/>
      <c r="J170" s="24"/>
      <c r="K170" s="28"/>
      <c r="L170" s="32"/>
    </row>
    <row r="171" spans="6:12" x14ac:dyDescent="0.2">
      <c r="F171" s="24"/>
      <c r="G171" s="28"/>
      <c r="H171" s="24"/>
      <c r="I171" s="28"/>
      <c r="J171" s="24"/>
      <c r="K171" s="28"/>
      <c r="L171" s="32"/>
    </row>
    <row r="172" spans="6:12" x14ac:dyDescent="0.2">
      <c r="F172" s="24"/>
      <c r="G172" s="28"/>
      <c r="H172" s="24"/>
      <c r="I172" s="28"/>
      <c r="J172" s="24"/>
      <c r="K172" s="28"/>
      <c r="L172" s="32"/>
    </row>
    <row r="173" spans="6:12" x14ac:dyDescent="0.2">
      <c r="F173" s="24"/>
      <c r="G173" s="28"/>
      <c r="H173" s="24"/>
      <c r="I173" s="28"/>
      <c r="J173" s="24"/>
      <c r="K173" s="28"/>
      <c r="L173" s="32"/>
    </row>
    <row r="174" spans="6:12" x14ac:dyDescent="0.2">
      <c r="F174" s="24"/>
      <c r="G174" s="28"/>
      <c r="H174" s="24"/>
      <c r="I174" s="28"/>
      <c r="J174" s="24"/>
      <c r="K174" s="28"/>
      <c r="L174" s="32"/>
    </row>
    <row r="175" spans="6:12" x14ac:dyDescent="0.2">
      <c r="F175" s="24"/>
      <c r="G175" s="28"/>
      <c r="H175" s="24"/>
      <c r="I175" s="28"/>
      <c r="J175" s="24"/>
      <c r="K175" s="28"/>
      <c r="L175" s="32"/>
    </row>
    <row r="176" spans="6:12" x14ac:dyDescent="0.2">
      <c r="F176" s="24"/>
      <c r="G176" s="28"/>
      <c r="H176" s="24"/>
      <c r="I176" s="28"/>
      <c r="J176" s="24"/>
      <c r="K176" s="28"/>
      <c r="L176" s="32"/>
    </row>
    <row r="177" spans="1:12" x14ac:dyDescent="0.2">
      <c r="F177" s="24"/>
      <c r="G177" s="28"/>
      <c r="H177" s="24"/>
      <c r="I177" s="28"/>
      <c r="J177" s="24"/>
      <c r="K177" s="28"/>
      <c r="L177" s="32"/>
    </row>
    <row r="178" spans="1:12" x14ac:dyDescent="0.2">
      <c r="F178" s="24"/>
      <c r="G178" s="28"/>
      <c r="H178" s="24"/>
      <c r="I178" s="28"/>
      <c r="J178" s="24"/>
      <c r="K178" s="28"/>
      <c r="L178" s="32"/>
    </row>
    <row r="179" spans="1:12" x14ac:dyDescent="0.2">
      <c r="F179" s="24"/>
      <c r="G179" s="28"/>
      <c r="H179" s="24"/>
      <c r="I179" s="28"/>
      <c r="J179" s="24"/>
      <c r="K179" s="28"/>
      <c r="L179" s="32"/>
    </row>
    <row r="180" spans="1:12" x14ac:dyDescent="0.2">
      <c r="F180" s="24"/>
      <c r="G180" s="28"/>
      <c r="H180" s="24"/>
      <c r="I180" s="28"/>
      <c r="J180" s="24"/>
      <c r="K180" s="28"/>
      <c r="L180" s="32"/>
    </row>
    <row r="181" spans="1:12" x14ac:dyDescent="0.2">
      <c r="F181" s="24"/>
      <c r="G181" s="28"/>
      <c r="H181" s="24"/>
      <c r="I181" s="28"/>
      <c r="J181" s="24"/>
      <c r="K181" s="28"/>
      <c r="L181" s="32"/>
    </row>
    <row r="182" spans="1:12" x14ac:dyDescent="0.2">
      <c r="F182" s="24"/>
      <c r="G182" s="28"/>
      <c r="H182" s="24"/>
      <c r="I182" s="28"/>
      <c r="J182" s="24"/>
      <c r="K182" s="28"/>
      <c r="L182" s="32"/>
    </row>
    <row r="183" spans="1:12" x14ac:dyDescent="0.2">
      <c r="F183" s="24"/>
      <c r="G183" s="28"/>
      <c r="H183" s="24"/>
      <c r="I183" s="28"/>
      <c r="J183" s="24"/>
      <c r="K183" s="28"/>
      <c r="L183" s="32"/>
    </row>
    <row r="184" spans="1:12" x14ac:dyDescent="0.2">
      <c r="F184" s="24"/>
      <c r="G184" s="28"/>
      <c r="H184" s="24"/>
      <c r="I184" s="28"/>
      <c r="J184" s="24"/>
      <c r="K184" s="28"/>
      <c r="L184" s="32"/>
    </row>
    <row r="185" spans="1:12" x14ac:dyDescent="0.2">
      <c r="F185" s="24"/>
      <c r="G185" s="28"/>
      <c r="H185" s="24"/>
      <c r="I185" s="28"/>
      <c r="J185" s="24"/>
      <c r="K185" s="28"/>
      <c r="L185" s="32"/>
    </row>
    <row r="186" spans="1:12" x14ac:dyDescent="0.2">
      <c r="A186" s="19" t="s">
        <v>101</v>
      </c>
      <c r="B186" s="19" t="s">
        <v>231</v>
      </c>
      <c r="D186" s="40">
        <v>43831</v>
      </c>
      <c r="E186" s="123">
        <v>-25863.64</v>
      </c>
      <c r="F186" s="11">
        <f>IF($L186=2,0,IF($A186="40810002",$E186,IF($A186="40810602",$E186*$N$4,0)))</f>
        <v>0</v>
      </c>
      <c r="G186" s="12">
        <f>IF($L186=2,0,IF($A186="40810302",$E186,IF($A186="40810602",$E186*$N$5,0)))</f>
        <v>0</v>
      </c>
      <c r="H186" s="11">
        <f>IF($L186=2,IF($A186="40810002",$E186,IF($A186="40810602",$E186*$N$4,0)))</f>
        <v>-25863.64</v>
      </c>
      <c r="I186" s="12">
        <f>IF($L186=2,IF($A186="40810302",$E186,IF($A186="40810602",$E186*$N$4,0)))</f>
        <v>0</v>
      </c>
      <c r="J186" s="11">
        <f t="shared" ref="J186:J188" si="20">F186+H186</f>
        <v>-25863.64</v>
      </c>
      <c r="K186" s="12">
        <f t="shared" ref="K186:K188" si="21">G186+I186</f>
        <v>0</v>
      </c>
      <c r="L186" s="13">
        <v>2</v>
      </c>
    </row>
    <row r="187" spans="1:12" x14ac:dyDescent="0.2">
      <c r="A187" s="19" t="s">
        <v>106</v>
      </c>
      <c r="B187" s="19" t="s">
        <v>232</v>
      </c>
      <c r="D187" s="40">
        <v>43831</v>
      </c>
      <c r="E187" s="123">
        <v>-918.64</v>
      </c>
      <c r="F187" s="11">
        <f t="shared" ref="F187:F188" si="22">IF($L187=2,0,IF($A187="40810002",$E187,IF($A187="40810602",$E187*$N$4,0)))</f>
        <v>0</v>
      </c>
      <c r="G187" s="12">
        <f>IF($L187=2,0,IF($A187="40810302",$E187,IF($A187="40810602",$E187*$N$5,0)))</f>
        <v>0</v>
      </c>
      <c r="H187" s="11">
        <f t="shared" ref="H187" si="23">IF($L187=2,IF($A187="40810002",$E187,IF($A187="40810602",$E187*$N$4,0)))</f>
        <v>0</v>
      </c>
      <c r="I187" s="12">
        <f>IF($L187=2,IF($A187="40810302",$E187,IF($A187="40810602",$E187*$N$5,0)))</f>
        <v>-918.64</v>
      </c>
      <c r="J187" s="11">
        <f t="shared" si="20"/>
        <v>0</v>
      </c>
      <c r="K187" s="12">
        <f t="shared" si="21"/>
        <v>-918.64</v>
      </c>
      <c r="L187" s="13">
        <v>2</v>
      </c>
    </row>
    <row r="188" spans="1:12" x14ac:dyDescent="0.2">
      <c r="A188" s="19" t="s">
        <v>109</v>
      </c>
      <c r="B188" s="19" t="s">
        <v>233</v>
      </c>
      <c r="D188" s="40">
        <v>43831</v>
      </c>
      <c r="E188" s="123">
        <v>2341.87</v>
      </c>
      <c r="F188" s="11">
        <f t="shared" si="22"/>
        <v>0</v>
      </c>
      <c r="G188" s="12">
        <f>IF($L188=2,0,IF($A188="40810302",$E188,IF($A188="40810602",$E188*$N$5,0)))</f>
        <v>0</v>
      </c>
      <c r="H188" s="11">
        <f>IF($L188=2,IF($A188="40810002",$E188,IF($A188="40810602",$E188*$N$4,0)))</f>
        <v>1553.830745</v>
      </c>
      <c r="I188" s="12">
        <f>IF($L188=2,IF($A188="40810302",$E188,IF($A188="40810602",$E188*$N$5,0)))</f>
        <v>788.03925500000003</v>
      </c>
      <c r="J188" s="11">
        <f t="shared" si="20"/>
        <v>1553.830745</v>
      </c>
      <c r="K188" s="12">
        <f t="shared" si="21"/>
        <v>788.03925500000003</v>
      </c>
      <c r="L188" s="13">
        <v>2</v>
      </c>
    </row>
    <row r="189" spans="1:12" x14ac:dyDescent="0.2">
      <c r="F189" s="24"/>
      <c r="G189" s="28"/>
      <c r="H189" s="24"/>
      <c r="I189" s="28"/>
      <c r="J189" s="24"/>
      <c r="K189" s="28"/>
      <c r="L189" s="32"/>
    </row>
    <row r="190" spans="1:12" x14ac:dyDescent="0.2">
      <c r="A190" s="21" t="s">
        <v>214</v>
      </c>
      <c r="B190" s="21"/>
      <c r="C190" s="21"/>
      <c r="D190" s="21">
        <v>40810002</v>
      </c>
      <c r="E190" s="21"/>
      <c r="F190" s="25">
        <f>SUMIF($A$3:$A$189,$D190,F$3:F$189)</f>
        <v>82732381.389999986</v>
      </c>
      <c r="G190" s="29">
        <f t="shared" ref="G190:K192" si="24">SUMIF($A$3:$A$189,$D190,G$3:G$189)</f>
        <v>0</v>
      </c>
      <c r="H190" s="25">
        <f t="shared" si="24"/>
        <v>-25863.64</v>
      </c>
      <c r="I190" s="29">
        <f t="shared" si="24"/>
        <v>0</v>
      </c>
      <c r="J190" s="25">
        <f t="shared" si="24"/>
        <v>82706517.749999985</v>
      </c>
      <c r="K190" s="29">
        <f t="shared" si="24"/>
        <v>0</v>
      </c>
      <c r="L190" s="32"/>
    </row>
    <row r="191" spans="1:12" x14ac:dyDescent="0.2">
      <c r="A191" s="21" t="s">
        <v>215</v>
      </c>
      <c r="B191" s="21"/>
      <c r="C191" s="21"/>
      <c r="D191" s="21">
        <v>40810302</v>
      </c>
      <c r="E191" s="21"/>
      <c r="F191" s="25">
        <f>SUMIF($A$3:$A$189,$D191,F$3:F$189)</f>
        <v>0</v>
      </c>
      <c r="G191" s="29">
        <f t="shared" si="24"/>
        <v>34164135.019999996</v>
      </c>
      <c r="H191" s="25">
        <f t="shared" si="24"/>
        <v>0</v>
      </c>
      <c r="I191" s="29">
        <f t="shared" si="24"/>
        <v>143657.90999999997</v>
      </c>
      <c r="J191" s="25">
        <f t="shared" si="24"/>
        <v>0</v>
      </c>
      <c r="K191" s="29">
        <f t="shared" si="24"/>
        <v>34307792.929999992</v>
      </c>
      <c r="L191" s="32"/>
    </row>
    <row r="192" spans="1:12" ht="12" thickBot="1" x14ac:dyDescent="0.25">
      <c r="A192" s="22" t="s">
        <v>216</v>
      </c>
      <c r="B192" s="22"/>
      <c r="C192" s="22"/>
      <c r="D192" s="22">
        <v>40810602</v>
      </c>
      <c r="E192" s="22"/>
      <c r="F192" s="26">
        <f>SUMIF($A$3:$A$189,$D192,F$3:F$189)</f>
        <v>1356792.8087499999</v>
      </c>
      <c r="G192" s="30">
        <f t="shared" si="24"/>
        <v>688109.69125000015</v>
      </c>
      <c r="H192" s="26">
        <f t="shared" si="24"/>
        <v>1553.830745</v>
      </c>
      <c r="I192" s="30">
        <f t="shared" si="24"/>
        <v>788.03925500000003</v>
      </c>
      <c r="J192" s="26">
        <f t="shared" si="24"/>
        <v>1358346.6394949998</v>
      </c>
      <c r="K192" s="30">
        <f t="shared" si="24"/>
        <v>688897.7305050001</v>
      </c>
      <c r="L192" s="32"/>
    </row>
    <row r="193" spans="1:12" ht="12" thickBot="1" x14ac:dyDescent="0.25">
      <c r="A193" s="23" t="s">
        <v>213</v>
      </c>
      <c r="B193" s="23"/>
      <c r="C193" s="23"/>
      <c r="D193" s="23"/>
      <c r="E193" s="23"/>
      <c r="F193" s="27">
        <f>SUM(F190:F192)</f>
        <v>84089174.198749989</v>
      </c>
      <c r="G193" s="31">
        <f t="shared" ref="G193:K193" si="25">SUM(G190:G192)</f>
        <v>34852244.711249992</v>
      </c>
      <c r="H193" s="27">
        <f t="shared" si="25"/>
        <v>-24309.809255</v>
      </c>
      <c r="I193" s="31">
        <f t="shared" si="25"/>
        <v>144445.94925499998</v>
      </c>
      <c r="J193" s="27">
        <f t="shared" si="25"/>
        <v>84064864.389494985</v>
      </c>
      <c r="K193" s="31">
        <f t="shared" si="25"/>
        <v>34996690.660504989</v>
      </c>
      <c r="L193" s="32"/>
    </row>
    <row r="194" spans="1:12" ht="12" thickTop="1" x14ac:dyDescent="0.2">
      <c r="F194" s="20"/>
      <c r="G194" s="20"/>
      <c r="H194" s="20"/>
      <c r="I194" s="20"/>
      <c r="J194" s="20"/>
      <c r="K194" s="20"/>
    </row>
    <row r="195" spans="1:12" x14ac:dyDescent="0.2">
      <c r="F195" s="20"/>
      <c r="G195" s="20"/>
      <c r="H195" s="20"/>
      <c r="I195" s="20"/>
      <c r="J195" s="20"/>
      <c r="K195" s="20"/>
    </row>
    <row r="197" spans="1:12" ht="13.2" x14ac:dyDescent="0.25">
      <c r="A197" s="92" t="s">
        <v>234</v>
      </c>
      <c r="B197" s="93"/>
      <c r="C197" s="93"/>
      <c r="D197" s="93"/>
      <c r="E197" s="93"/>
    </row>
    <row r="198" spans="1:12" ht="13.2" x14ac:dyDescent="0.25">
      <c r="A198" s="92" t="s">
        <v>235</v>
      </c>
      <c r="B198" s="93"/>
      <c r="C198" s="93"/>
      <c r="D198" s="93"/>
      <c r="E198" s="93"/>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D28" sqref="D28"/>
    </sheetView>
  </sheetViews>
  <sheetFormatPr defaultRowHeight="12" x14ac:dyDescent="0.25"/>
  <cols>
    <col min="1" max="1" width="15.85546875" bestFit="1" customWidth="1"/>
    <col min="2" max="2" width="34.5703125" bestFit="1" customWidth="1"/>
    <col min="3" max="3" width="20.7109375" bestFit="1" customWidth="1"/>
    <col min="4" max="4" width="15.140625" bestFit="1" customWidth="1"/>
  </cols>
  <sheetData>
    <row r="1" spans="1:4" x14ac:dyDescent="0.25">
      <c r="A1" s="6" t="s">
        <v>0</v>
      </c>
      <c r="B1" s="6" t="s">
        <v>0</v>
      </c>
      <c r="C1" s="6" t="s">
        <v>0</v>
      </c>
      <c r="D1" s="7" t="s">
        <v>1</v>
      </c>
    </row>
    <row r="2" spans="1:4" x14ac:dyDescent="0.25">
      <c r="A2" s="6" t="s">
        <v>3</v>
      </c>
      <c r="B2" s="2"/>
      <c r="C2" s="6" t="s">
        <v>99</v>
      </c>
      <c r="D2" s="8" t="s">
        <v>4</v>
      </c>
    </row>
    <row r="3" spans="1:4" x14ac:dyDescent="0.25">
      <c r="A3" s="7" t="s">
        <v>188</v>
      </c>
      <c r="B3" s="9" t="s">
        <v>189</v>
      </c>
      <c r="C3" s="7" t="s">
        <v>217</v>
      </c>
      <c r="D3" s="4">
        <v>474090</v>
      </c>
    </row>
    <row r="4" spans="1:4" x14ac:dyDescent="0.25">
      <c r="A4" s="3"/>
      <c r="B4" s="1"/>
      <c r="C4" s="7" t="s">
        <v>218</v>
      </c>
      <c r="D4" s="4">
        <v>517977</v>
      </c>
    </row>
    <row r="5" spans="1:4" x14ac:dyDescent="0.25">
      <c r="A5" s="3"/>
      <c r="B5" s="1"/>
      <c r="C5" s="7" t="s">
        <v>219</v>
      </c>
      <c r="D5" s="4">
        <v>519345</v>
      </c>
    </row>
    <row r="6" spans="1:4" x14ac:dyDescent="0.25">
      <c r="A6" s="3"/>
      <c r="B6" s="1"/>
      <c r="C6" s="7" t="s">
        <v>220</v>
      </c>
      <c r="D6" s="4">
        <v>169577.77</v>
      </c>
    </row>
    <row r="7" spans="1:4" x14ac:dyDescent="0.25">
      <c r="A7" s="3"/>
      <c r="B7" s="1"/>
      <c r="C7" s="7" t="s">
        <v>221</v>
      </c>
      <c r="D7" s="4">
        <v>328805</v>
      </c>
    </row>
    <row r="8" spans="1:4" x14ac:dyDescent="0.25">
      <c r="A8" s="3"/>
      <c r="B8" s="1"/>
      <c r="C8" s="7" t="s">
        <v>222</v>
      </c>
      <c r="D8" s="4">
        <v>308477</v>
      </c>
    </row>
    <row r="9" spans="1:4" x14ac:dyDescent="0.25">
      <c r="A9" s="3"/>
      <c r="B9" s="1"/>
      <c r="C9" s="7" t="s">
        <v>223</v>
      </c>
      <c r="D9" s="4">
        <v>326902</v>
      </c>
    </row>
    <row r="10" spans="1:4" x14ac:dyDescent="0.25">
      <c r="A10" s="3"/>
      <c r="B10" s="1"/>
      <c r="C10" s="7" t="s">
        <v>224</v>
      </c>
      <c r="D10" s="4">
        <v>362330</v>
      </c>
    </row>
    <row r="11" spans="1:4" x14ac:dyDescent="0.25">
      <c r="A11" s="3"/>
      <c r="B11" s="1"/>
      <c r="C11" s="7" t="s">
        <v>225</v>
      </c>
      <c r="D11" s="4">
        <v>324052</v>
      </c>
    </row>
    <row r="12" spans="1:4" x14ac:dyDescent="0.25">
      <c r="A12" s="3"/>
      <c r="B12" s="1"/>
      <c r="C12" s="7" t="s">
        <v>226</v>
      </c>
      <c r="D12" s="4">
        <v>395403</v>
      </c>
    </row>
    <row r="13" spans="1:4" x14ac:dyDescent="0.25">
      <c r="A13" s="3"/>
      <c r="B13" s="1"/>
      <c r="C13" s="7" t="s">
        <v>227</v>
      </c>
      <c r="D13" s="4">
        <v>403163</v>
      </c>
    </row>
    <row r="14" spans="1:4" x14ac:dyDescent="0.25">
      <c r="A14" s="3"/>
      <c r="B14" s="1"/>
      <c r="C14" s="7" t="s">
        <v>228</v>
      </c>
      <c r="D14" s="4">
        <v>264064</v>
      </c>
    </row>
    <row r="15" spans="1:4" x14ac:dyDescent="0.25">
      <c r="A15" s="3"/>
      <c r="B15" s="1"/>
      <c r="C15" s="37" t="s">
        <v>229</v>
      </c>
      <c r="D15" s="34">
        <v>4394185.7699999996</v>
      </c>
    </row>
    <row r="16" spans="1:4" x14ac:dyDescent="0.25">
      <c r="A16" s="7" t="s">
        <v>190</v>
      </c>
      <c r="B16" s="9" t="s">
        <v>191</v>
      </c>
      <c r="C16" s="7" t="s">
        <v>217</v>
      </c>
      <c r="D16" s="4">
        <v>209583</v>
      </c>
    </row>
    <row r="17" spans="1:4" x14ac:dyDescent="0.25">
      <c r="A17" s="3"/>
      <c r="B17" s="1"/>
      <c r="C17" s="7" t="s">
        <v>218</v>
      </c>
      <c r="D17" s="4">
        <v>246974</v>
      </c>
    </row>
    <row r="18" spans="1:4" x14ac:dyDescent="0.25">
      <c r="A18" s="3"/>
      <c r="B18" s="1"/>
      <c r="C18" s="7" t="s">
        <v>219</v>
      </c>
      <c r="D18" s="4">
        <v>201624</v>
      </c>
    </row>
    <row r="19" spans="1:4" x14ac:dyDescent="0.25">
      <c r="A19" s="3"/>
      <c r="B19" s="1"/>
      <c r="C19" s="7" t="s">
        <v>220</v>
      </c>
      <c r="D19" s="4">
        <v>90519.78</v>
      </c>
    </row>
    <row r="20" spans="1:4" x14ac:dyDescent="0.25">
      <c r="A20" s="3"/>
      <c r="B20" s="1"/>
      <c r="C20" s="7" t="s">
        <v>221</v>
      </c>
      <c r="D20" s="4">
        <v>95639</v>
      </c>
    </row>
    <row r="21" spans="1:4" x14ac:dyDescent="0.25">
      <c r="A21" s="3"/>
      <c r="B21" s="1"/>
      <c r="C21" s="7" t="s">
        <v>222</v>
      </c>
      <c r="D21" s="4">
        <v>73158</v>
      </c>
    </row>
    <row r="22" spans="1:4" x14ac:dyDescent="0.25">
      <c r="A22" s="3"/>
      <c r="B22" s="1"/>
      <c r="C22" s="7" t="s">
        <v>223</v>
      </c>
      <c r="D22" s="4">
        <v>69581</v>
      </c>
    </row>
    <row r="23" spans="1:4" x14ac:dyDescent="0.25">
      <c r="A23" s="3"/>
      <c r="B23" s="1"/>
      <c r="C23" s="7" t="s">
        <v>224</v>
      </c>
      <c r="D23" s="4">
        <v>68413</v>
      </c>
    </row>
    <row r="24" spans="1:4" x14ac:dyDescent="0.25">
      <c r="A24" s="3"/>
      <c r="B24" s="1"/>
      <c r="C24" s="7" t="s">
        <v>225</v>
      </c>
      <c r="D24" s="4">
        <v>80079</v>
      </c>
    </row>
    <row r="25" spans="1:4" x14ac:dyDescent="0.25">
      <c r="A25" s="3"/>
      <c r="B25" s="1"/>
      <c r="C25" s="7" t="s">
        <v>226</v>
      </c>
      <c r="D25" s="4">
        <v>150212</v>
      </c>
    </row>
    <row r="26" spans="1:4" x14ac:dyDescent="0.25">
      <c r="A26" s="3"/>
      <c r="B26" s="1"/>
      <c r="C26" s="7" t="s">
        <v>227</v>
      </c>
      <c r="D26" s="4">
        <v>206548</v>
      </c>
    </row>
    <row r="27" spans="1:4" x14ac:dyDescent="0.25">
      <c r="A27" s="3"/>
      <c r="B27" s="1"/>
      <c r="C27" s="7" t="s">
        <v>228</v>
      </c>
      <c r="D27" s="4">
        <v>260688</v>
      </c>
    </row>
    <row r="28" spans="1:4" x14ac:dyDescent="0.25">
      <c r="A28" s="3"/>
      <c r="B28" s="1"/>
      <c r="C28" s="37" t="s">
        <v>229</v>
      </c>
      <c r="D28" s="34">
        <v>1753018.78</v>
      </c>
    </row>
    <row r="29" spans="1:4" x14ac:dyDescent="0.25">
      <c r="A29" s="38" t="s">
        <v>230</v>
      </c>
      <c r="B29" s="33"/>
      <c r="C29" s="36"/>
      <c r="D29" s="35">
        <v>6147204.5499999998</v>
      </c>
    </row>
  </sheetData>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B22" zoomScaleNormal="100" workbookViewId="0">
      <selection activeCell="E49" sqref="E49"/>
    </sheetView>
  </sheetViews>
  <sheetFormatPr defaultColWidth="11.42578125" defaultRowHeight="14.4" x14ac:dyDescent="0.3"/>
  <cols>
    <col min="1" max="1" width="11.7109375" style="106" customWidth="1"/>
    <col min="2" max="2" width="151.5703125" style="80" customWidth="1"/>
    <col min="3" max="3" width="4.7109375" style="80" bestFit="1" customWidth="1"/>
    <col min="4" max="4" width="22.7109375" style="80" bestFit="1" customWidth="1"/>
    <col min="5" max="5" width="20.42578125" style="80" bestFit="1" customWidth="1"/>
    <col min="6" max="6" width="25.5703125" style="80" bestFit="1" customWidth="1"/>
    <col min="7" max="16384" width="11.42578125" style="80"/>
  </cols>
  <sheetData>
    <row r="1" spans="1:6" x14ac:dyDescent="0.3">
      <c r="A1" s="94" t="s">
        <v>255</v>
      </c>
      <c r="B1" s="94"/>
      <c r="C1" s="94"/>
      <c r="D1" s="94"/>
      <c r="E1" s="94"/>
      <c r="F1" s="94"/>
    </row>
    <row r="2" spans="1:6" x14ac:dyDescent="0.3">
      <c r="A2" s="94" t="s">
        <v>256</v>
      </c>
      <c r="B2" s="94"/>
      <c r="C2" s="94"/>
      <c r="D2" s="94"/>
      <c r="E2" s="94"/>
      <c r="F2" s="94"/>
    </row>
    <row r="3" spans="1:6" x14ac:dyDescent="0.3">
      <c r="A3" s="94" t="s">
        <v>257</v>
      </c>
      <c r="B3" s="95"/>
      <c r="C3" s="95"/>
      <c r="D3" s="95"/>
      <c r="E3" s="95"/>
      <c r="F3" s="95"/>
    </row>
    <row r="5" spans="1:6" x14ac:dyDescent="0.3">
      <c r="A5" s="96" t="s">
        <v>258</v>
      </c>
    </row>
    <row r="6" spans="1:6" x14ac:dyDescent="0.3">
      <c r="A6" s="97" t="s">
        <v>259</v>
      </c>
    </row>
    <row r="7" spans="1:6" x14ac:dyDescent="0.3">
      <c r="A7" s="97" t="s">
        <v>260</v>
      </c>
    </row>
    <row r="8" spans="1:6" x14ac:dyDescent="0.3">
      <c r="A8" s="97" t="s">
        <v>261</v>
      </c>
    </row>
    <row r="9" spans="1:6" x14ac:dyDescent="0.3">
      <c r="A9" s="97" t="s">
        <v>262</v>
      </c>
    </row>
    <row r="10" spans="1:6" x14ac:dyDescent="0.3">
      <c r="A10" s="97"/>
    </row>
    <row r="11" spans="1:6" x14ac:dyDescent="0.3">
      <c r="A11" s="98" t="s">
        <v>263</v>
      </c>
    </row>
    <row r="12" spans="1:6" x14ac:dyDescent="0.3">
      <c r="A12" s="98" t="s">
        <v>264</v>
      </c>
      <c r="B12" s="80" t="s">
        <v>265</v>
      </c>
      <c r="C12" s="99" t="s">
        <v>264</v>
      </c>
      <c r="D12" s="122">
        <f>'[2]Allocated (CBR)'!$B$9</f>
        <v>2127052953.75</v>
      </c>
    </row>
    <row r="13" spans="1:6" x14ac:dyDescent="0.3">
      <c r="A13" s="98" t="s">
        <v>266</v>
      </c>
      <c r="B13" s="80" t="s">
        <v>267</v>
      </c>
      <c r="C13" s="101" t="s">
        <v>268</v>
      </c>
      <c r="D13" s="80" t="s">
        <v>266</v>
      </c>
    </row>
    <row r="14" spans="1:6" x14ac:dyDescent="0.3">
      <c r="A14" s="98" t="s">
        <v>269</v>
      </c>
      <c r="B14" s="80" t="s">
        <v>270</v>
      </c>
      <c r="C14" s="101"/>
      <c r="D14" s="80" t="s">
        <v>269</v>
      </c>
    </row>
    <row r="15" spans="1:6" x14ac:dyDescent="0.3">
      <c r="A15" s="98" t="s">
        <v>271</v>
      </c>
      <c r="B15" s="80" t="s">
        <v>272</v>
      </c>
      <c r="C15" s="80" t="s">
        <v>271</v>
      </c>
      <c r="D15" s="100"/>
    </row>
    <row r="16" spans="1:6" x14ac:dyDescent="0.3">
      <c r="A16" s="98" t="s">
        <v>273</v>
      </c>
      <c r="B16" s="80" t="s">
        <v>274</v>
      </c>
      <c r="C16" s="80" t="s">
        <v>273</v>
      </c>
      <c r="D16" s="100"/>
    </row>
    <row r="17" spans="1:7" ht="15" thickBot="1" x14ac:dyDescent="0.35">
      <c r="A17" s="98">
        <v>1</v>
      </c>
      <c r="B17" s="102" t="s">
        <v>275</v>
      </c>
      <c r="D17" s="80" t="s">
        <v>276</v>
      </c>
      <c r="E17" s="80">
        <v>1</v>
      </c>
      <c r="F17" s="103">
        <f>+D12</f>
        <v>2127052953.75</v>
      </c>
    </row>
    <row r="18" spans="1:7" ht="15.6" thickTop="1" thickBot="1" x14ac:dyDescent="0.35">
      <c r="A18" s="98">
        <v>2</v>
      </c>
      <c r="B18" s="80" t="s">
        <v>277</v>
      </c>
      <c r="E18" s="80">
        <v>2</v>
      </c>
      <c r="F18" s="103">
        <f>+E48</f>
        <v>148527679.59</v>
      </c>
      <c r="G18" s="80" t="s">
        <v>278</v>
      </c>
    </row>
    <row r="19" spans="1:7" ht="15" thickTop="1" x14ac:dyDescent="0.3">
      <c r="A19" s="98">
        <v>3</v>
      </c>
      <c r="B19" s="80" t="s">
        <v>279</v>
      </c>
      <c r="E19" s="80">
        <v>3</v>
      </c>
      <c r="F19" s="104">
        <f>SUM(F17:F18)</f>
        <v>2275580633.3400002</v>
      </c>
    </row>
    <row r="20" spans="1:7" x14ac:dyDescent="0.3">
      <c r="A20" s="98">
        <v>4</v>
      </c>
      <c r="B20" s="80" t="s">
        <v>280</v>
      </c>
      <c r="E20" s="80">
        <v>4</v>
      </c>
      <c r="F20" s="105"/>
    </row>
    <row r="21" spans="1:7" x14ac:dyDescent="0.3">
      <c r="A21" s="98" t="s">
        <v>281</v>
      </c>
      <c r="B21" s="80" t="s">
        <v>282</v>
      </c>
      <c r="E21" s="106" t="s">
        <v>283</v>
      </c>
      <c r="F21" s="107">
        <f>IF(AND(F19&gt;=1,F19&lt;20000),"ZERO", 0)</f>
        <v>0</v>
      </c>
    </row>
    <row r="22" spans="1:7" x14ac:dyDescent="0.3">
      <c r="A22" s="98" t="s">
        <v>284</v>
      </c>
      <c r="B22" s="80" t="s">
        <v>285</v>
      </c>
      <c r="C22" s="80" t="s">
        <v>286</v>
      </c>
      <c r="D22" s="108">
        <f>IF(AND(20000&lt;=F19,F19&lt;=50000),F19, 0)</f>
        <v>0</v>
      </c>
      <c r="E22" s="105" t="s">
        <v>287</v>
      </c>
      <c r="F22" s="109">
        <f>IF(D22&gt;1, (D22*0.001), 0)</f>
        <v>0</v>
      </c>
    </row>
    <row r="23" spans="1:7" x14ac:dyDescent="0.3">
      <c r="A23" s="98"/>
      <c r="B23" s="80" t="s">
        <v>288</v>
      </c>
    </row>
    <row r="24" spans="1:7" x14ac:dyDescent="0.3">
      <c r="A24" s="98" t="s">
        <v>289</v>
      </c>
      <c r="B24" s="80" t="s">
        <v>290</v>
      </c>
      <c r="C24" s="80" t="s">
        <v>291</v>
      </c>
      <c r="D24" s="109">
        <f>IF(F19&gt;50000, F19, 0)</f>
        <v>2275580633.3400002</v>
      </c>
    </row>
    <row r="25" spans="1:7" x14ac:dyDescent="0.3">
      <c r="A25" s="98" t="s">
        <v>292</v>
      </c>
      <c r="B25" s="80" t="s">
        <v>293</v>
      </c>
      <c r="C25" s="80" t="s">
        <v>294</v>
      </c>
      <c r="D25" s="109">
        <f>IF(D24&gt;1, 50000, 0)</f>
        <v>50000</v>
      </c>
      <c r="E25" s="105" t="s">
        <v>287</v>
      </c>
      <c r="F25" s="109">
        <f t="shared" ref="F25" si="0">IF(D25&gt;1, (D25*0.001), 0)</f>
        <v>50</v>
      </c>
    </row>
    <row r="26" spans="1:7" x14ac:dyDescent="0.3">
      <c r="A26" s="98" t="s">
        <v>295</v>
      </c>
      <c r="B26" s="80" t="s">
        <v>296</v>
      </c>
      <c r="C26" s="80" t="s">
        <v>297</v>
      </c>
      <c r="D26" s="109">
        <f>+D24-D25</f>
        <v>2275530633.3400002</v>
      </c>
      <c r="E26" s="105" t="s">
        <v>298</v>
      </c>
      <c r="F26" s="109">
        <f>IF(D26&gt;1, (D26*0.002), 0)</f>
        <v>4551061.2666800003</v>
      </c>
    </row>
    <row r="27" spans="1:7" x14ac:dyDescent="0.3">
      <c r="A27" s="98">
        <v>5</v>
      </c>
      <c r="B27" s="80" t="s">
        <v>299</v>
      </c>
      <c r="E27" s="80">
        <v>5</v>
      </c>
      <c r="F27" s="109">
        <f>SUM(F25:F26)</f>
        <v>4551111.2666800003</v>
      </c>
    </row>
    <row r="28" spans="1:7" x14ac:dyDescent="0.3">
      <c r="A28" s="98"/>
      <c r="E28" s="110" t="s">
        <v>300</v>
      </c>
      <c r="F28" s="111" t="s">
        <v>301</v>
      </c>
    </row>
    <row r="29" spans="1:7" x14ac:dyDescent="0.3">
      <c r="A29" s="98"/>
      <c r="B29" s="102" t="s">
        <v>302</v>
      </c>
    </row>
    <row r="30" spans="1:7" x14ac:dyDescent="0.3">
      <c r="A30" s="98">
        <v>6</v>
      </c>
      <c r="B30" s="80" t="s">
        <v>303</v>
      </c>
      <c r="E30" s="80">
        <v>6</v>
      </c>
      <c r="F30" s="105"/>
    </row>
    <row r="31" spans="1:7" x14ac:dyDescent="0.3">
      <c r="A31" s="98" t="s">
        <v>304</v>
      </c>
      <c r="B31" s="80" t="s">
        <v>305</v>
      </c>
      <c r="C31" s="80" t="s">
        <v>306</v>
      </c>
      <c r="D31" s="112">
        <v>0</v>
      </c>
      <c r="E31" s="105" t="s">
        <v>307</v>
      </c>
      <c r="F31" s="109">
        <f>IF(D31&gt;0, (D31*0.02), 0)</f>
        <v>0</v>
      </c>
    </row>
    <row r="32" spans="1:7" x14ac:dyDescent="0.3">
      <c r="A32" s="98">
        <v>7</v>
      </c>
      <c r="B32" s="80" t="s">
        <v>308</v>
      </c>
      <c r="E32" s="80">
        <v>7</v>
      </c>
      <c r="F32" s="105"/>
    </row>
    <row r="33" spans="1:6" x14ac:dyDescent="0.3">
      <c r="A33" s="98" t="s">
        <v>309</v>
      </c>
      <c r="B33" s="80" t="s">
        <v>310</v>
      </c>
      <c r="E33" s="106" t="s">
        <v>309</v>
      </c>
      <c r="F33" s="113"/>
    </row>
    <row r="34" spans="1:6" x14ac:dyDescent="0.3">
      <c r="A34" s="98" t="s">
        <v>311</v>
      </c>
      <c r="B34" s="80" t="s">
        <v>312</v>
      </c>
      <c r="E34" s="106" t="s">
        <v>311</v>
      </c>
      <c r="F34" s="109">
        <f>F27*F33*0.01</f>
        <v>0</v>
      </c>
    </row>
    <row r="35" spans="1:6" x14ac:dyDescent="0.3">
      <c r="A35" s="98">
        <v>8</v>
      </c>
      <c r="B35" s="80" t="s">
        <v>313</v>
      </c>
      <c r="E35" s="80">
        <v>8</v>
      </c>
      <c r="F35" s="109">
        <f>SUM(F34,F31)</f>
        <v>0</v>
      </c>
    </row>
    <row r="36" spans="1:6" x14ac:dyDescent="0.3">
      <c r="A36" s="98"/>
      <c r="E36" s="80" t="s">
        <v>300</v>
      </c>
      <c r="F36" s="111" t="s">
        <v>314</v>
      </c>
    </row>
    <row r="37" spans="1:6" x14ac:dyDescent="0.3">
      <c r="A37" s="98"/>
    </row>
    <row r="38" spans="1:6" x14ac:dyDescent="0.3">
      <c r="A38" s="98">
        <v>9</v>
      </c>
      <c r="B38" s="80" t="s">
        <v>315</v>
      </c>
      <c r="E38" s="80">
        <v>9</v>
      </c>
      <c r="F38" s="114">
        <f>IF((F21="ZERO"),"ZERO",SUM(F22,F27,F35))</f>
        <v>4551111.2666800003</v>
      </c>
    </row>
    <row r="39" spans="1:6" x14ac:dyDescent="0.3">
      <c r="A39" s="98"/>
    </row>
    <row r="40" spans="1:6" ht="28.8" x14ac:dyDescent="0.3">
      <c r="A40" s="98" t="s">
        <v>316</v>
      </c>
      <c r="B40" s="115" t="s">
        <v>317</v>
      </c>
    </row>
    <row r="41" spans="1:6" ht="28.8" x14ac:dyDescent="0.3">
      <c r="A41" s="98" t="s">
        <v>318</v>
      </c>
      <c r="B41" s="115" t="s">
        <v>319</v>
      </c>
    </row>
    <row r="43" spans="1:6" x14ac:dyDescent="0.3">
      <c r="B43" s="116" t="s">
        <v>320</v>
      </c>
      <c r="C43" s="114"/>
      <c r="D43" s="114"/>
      <c r="E43" s="114"/>
      <c r="F43" s="114"/>
    </row>
    <row r="44" spans="1:6" x14ac:dyDescent="0.3">
      <c r="B44" s="117" t="s">
        <v>321</v>
      </c>
      <c r="E44" s="121">
        <f>'[2]Unallocated Detail (CBR)'!$G$29</f>
        <v>2128525.79</v>
      </c>
    </row>
    <row r="45" spans="1:6" x14ac:dyDescent="0.3">
      <c r="B45" s="117" t="s">
        <v>322</v>
      </c>
      <c r="E45" s="121">
        <f>'[2]Unallocated Detail (CBR)'!$G$30</f>
        <v>11894207.08</v>
      </c>
    </row>
    <row r="46" spans="1:6" x14ac:dyDescent="0.3">
      <c r="B46" s="117" t="s">
        <v>323</v>
      </c>
      <c r="E46" s="121">
        <f>'[2]Unallocated Detail (CBR)'!$G$31</f>
        <v>17462762.780000001</v>
      </c>
    </row>
    <row r="47" spans="1:6" x14ac:dyDescent="0.3">
      <c r="B47" s="117" t="s">
        <v>324</v>
      </c>
      <c r="E47" s="118">
        <f>-'Other Elec Revenue'!E49</f>
        <v>117042183.94</v>
      </c>
    </row>
    <row r="48" spans="1:6" ht="15" thickBot="1" x14ac:dyDescent="0.35">
      <c r="B48" s="80" t="s">
        <v>325</v>
      </c>
      <c r="E48" s="119">
        <f>SUM(E44:E47)</f>
        <v>148527679.59</v>
      </c>
      <c r="F48" s="120"/>
    </row>
    <row r="49" spans="6:6" ht="15" thickTop="1" x14ac:dyDescent="0.3">
      <c r="F49" s="120"/>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106" customWidth="1"/>
    <col min="2" max="2" width="151.5703125" style="80" customWidth="1"/>
    <col min="3" max="3" width="4.7109375" style="80" bestFit="1" customWidth="1"/>
    <col min="4" max="4" width="22.7109375" style="80" bestFit="1" customWidth="1"/>
    <col min="5" max="5" width="20.42578125" style="80" bestFit="1" customWidth="1"/>
    <col min="6" max="6" width="25.5703125" style="80" bestFit="1" customWidth="1"/>
    <col min="7" max="16384" width="11.42578125" style="80"/>
  </cols>
  <sheetData>
    <row r="1" spans="1:6" x14ac:dyDescent="0.3">
      <c r="A1" s="94" t="s">
        <v>255</v>
      </c>
      <c r="B1" s="94"/>
      <c r="C1" s="94"/>
      <c r="D1" s="94"/>
      <c r="E1" s="94"/>
      <c r="F1" s="94"/>
    </row>
    <row r="2" spans="1:6" x14ac:dyDescent="0.3">
      <c r="A2" s="94" t="s">
        <v>326</v>
      </c>
      <c r="B2" s="94"/>
      <c r="C2" s="94"/>
      <c r="D2" s="94"/>
      <c r="E2" s="94"/>
      <c r="F2" s="94"/>
    </row>
    <row r="3" spans="1:6" x14ac:dyDescent="0.3">
      <c r="A3" s="94" t="s">
        <v>257</v>
      </c>
      <c r="B3" s="95"/>
      <c r="C3" s="95"/>
      <c r="D3" s="95"/>
      <c r="E3" s="95"/>
      <c r="F3" s="95"/>
    </row>
    <row r="5" spans="1:6" x14ac:dyDescent="0.3">
      <c r="A5" s="96" t="s">
        <v>327</v>
      </c>
    </row>
    <row r="6" spans="1:6" x14ac:dyDescent="0.3">
      <c r="A6" s="97" t="s">
        <v>328</v>
      </c>
    </row>
    <row r="7" spans="1:6" x14ac:dyDescent="0.3">
      <c r="A7" s="97" t="s">
        <v>329</v>
      </c>
    </row>
    <row r="8" spans="1:6" x14ac:dyDescent="0.3">
      <c r="A8" s="97" t="s">
        <v>261</v>
      </c>
    </row>
    <row r="9" spans="1:6" x14ac:dyDescent="0.3">
      <c r="A9" s="97" t="s">
        <v>330</v>
      </c>
    </row>
    <row r="10" spans="1:6" x14ac:dyDescent="0.3">
      <c r="A10" s="97"/>
    </row>
    <row r="11" spans="1:6" x14ac:dyDescent="0.3">
      <c r="A11" s="98" t="s">
        <v>263</v>
      </c>
    </row>
    <row r="12" spans="1:6" x14ac:dyDescent="0.3">
      <c r="A12" s="98" t="s">
        <v>264</v>
      </c>
      <c r="B12" s="80" t="s">
        <v>331</v>
      </c>
      <c r="C12" s="99" t="s">
        <v>264</v>
      </c>
      <c r="D12" s="122">
        <f>'[2]Allocated (CBR)'!$C$9</f>
        <v>885869830.97000003</v>
      </c>
    </row>
    <row r="13" spans="1:6" x14ac:dyDescent="0.3">
      <c r="A13" s="98" t="s">
        <v>266</v>
      </c>
      <c r="B13" s="80" t="s">
        <v>267</v>
      </c>
      <c r="C13" s="101" t="s">
        <v>268</v>
      </c>
      <c r="D13" s="80" t="s">
        <v>266</v>
      </c>
    </row>
    <row r="14" spans="1:6" x14ac:dyDescent="0.3">
      <c r="A14" s="98" t="s">
        <v>269</v>
      </c>
      <c r="B14" s="80" t="s">
        <v>270</v>
      </c>
      <c r="C14" s="101"/>
      <c r="D14" s="80" t="s">
        <v>269</v>
      </c>
    </row>
    <row r="15" spans="1:6" x14ac:dyDescent="0.3">
      <c r="A15" s="98" t="s">
        <v>271</v>
      </c>
      <c r="B15" s="80" t="s">
        <v>272</v>
      </c>
      <c r="C15" s="80" t="s">
        <v>271</v>
      </c>
      <c r="D15" s="100"/>
    </row>
    <row r="16" spans="1:6" x14ac:dyDescent="0.3">
      <c r="A16" s="98" t="s">
        <v>273</v>
      </c>
      <c r="B16" s="80" t="s">
        <v>274</v>
      </c>
      <c r="C16" s="80" t="s">
        <v>273</v>
      </c>
      <c r="D16" s="100"/>
    </row>
    <row r="17" spans="1:6" ht="15" thickBot="1" x14ac:dyDescent="0.35">
      <c r="A17" s="98">
        <v>1</v>
      </c>
      <c r="B17" s="102" t="s">
        <v>275</v>
      </c>
      <c r="D17" s="80" t="s">
        <v>276</v>
      </c>
      <c r="E17" s="80">
        <v>1</v>
      </c>
      <c r="F17" s="103">
        <f>+D12</f>
        <v>885869830.97000003</v>
      </c>
    </row>
    <row r="18" spans="1:6" ht="15.6" thickTop="1" thickBot="1" x14ac:dyDescent="0.35">
      <c r="A18" s="98">
        <v>2</v>
      </c>
      <c r="B18" s="80" t="s">
        <v>332</v>
      </c>
      <c r="E18" s="80">
        <v>2</v>
      </c>
      <c r="F18" s="103"/>
    </row>
    <row r="19" spans="1:6" ht="15" thickTop="1" x14ac:dyDescent="0.3">
      <c r="A19" s="98">
        <v>3</v>
      </c>
      <c r="B19" s="80" t="s">
        <v>279</v>
      </c>
      <c r="E19" s="80">
        <v>3</v>
      </c>
      <c r="F19" s="104">
        <f>SUM(F17:F18)</f>
        <v>885869830.97000003</v>
      </c>
    </row>
    <row r="20" spans="1:6" x14ac:dyDescent="0.3">
      <c r="A20" s="98">
        <v>4</v>
      </c>
      <c r="B20" s="80" t="s">
        <v>280</v>
      </c>
      <c r="E20" s="80">
        <v>4</v>
      </c>
      <c r="F20" s="105"/>
    </row>
    <row r="21" spans="1:6" x14ac:dyDescent="0.3">
      <c r="A21" s="98" t="s">
        <v>281</v>
      </c>
      <c r="B21" s="80" t="s">
        <v>282</v>
      </c>
      <c r="E21" s="106" t="s">
        <v>283</v>
      </c>
      <c r="F21" s="107">
        <f>IF(AND(F19&gt;=1,F19&lt;20000),"ZERO", 0)</f>
        <v>0</v>
      </c>
    </row>
    <row r="22" spans="1:6" x14ac:dyDescent="0.3">
      <c r="A22" s="98" t="s">
        <v>284</v>
      </c>
      <c r="B22" s="80" t="s">
        <v>285</v>
      </c>
      <c r="C22" s="80" t="s">
        <v>286</v>
      </c>
      <c r="D22" s="108">
        <f>IF(AND(20000&lt;=F19,F19&lt;=50000),F19, 0)</f>
        <v>0</v>
      </c>
      <c r="E22" s="105" t="s">
        <v>287</v>
      </c>
      <c r="F22" s="109">
        <f>IF(D22&gt;1, (D22*0.001), 0)</f>
        <v>0</v>
      </c>
    </row>
    <row r="23" spans="1:6" x14ac:dyDescent="0.3">
      <c r="A23" s="98"/>
      <c r="B23" s="80" t="s">
        <v>288</v>
      </c>
    </row>
    <row r="24" spans="1:6" x14ac:dyDescent="0.3">
      <c r="A24" s="98" t="s">
        <v>289</v>
      </c>
      <c r="B24" s="80" t="s">
        <v>290</v>
      </c>
      <c r="C24" s="80" t="s">
        <v>291</v>
      </c>
      <c r="D24" s="109">
        <f>IF(F19&gt;50000, F19, 0)</f>
        <v>885869830.97000003</v>
      </c>
    </row>
    <row r="25" spans="1:6" x14ac:dyDescent="0.3">
      <c r="A25" s="98" t="s">
        <v>292</v>
      </c>
      <c r="B25" s="80" t="s">
        <v>293</v>
      </c>
      <c r="C25" s="80" t="s">
        <v>294</v>
      </c>
      <c r="D25" s="109">
        <f>IF(D24&gt;1, 50000, 0)</f>
        <v>50000</v>
      </c>
      <c r="E25" s="105" t="s">
        <v>287</v>
      </c>
      <c r="F25" s="109">
        <f t="shared" ref="F25" si="0">IF(D25&gt;1, (D25*0.001), 0)</f>
        <v>50</v>
      </c>
    </row>
    <row r="26" spans="1:6" x14ac:dyDescent="0.3">
      <c r="A26" s="98" t="s">
        <v>295</v>
      </c>
      <c r="B26" s="80" t="s">
        <v>296</v>
      </c>
      <c r="C26" s="80" t="s">
        <v>297</v>
      </c>
      <c r="D26" s="109">
        <f>+D24-D25</f>
        <v>885819830.97000003</v>
      </c>
      <c r="E26" s="105" t="s">
        <v>298</v>
      </c>
      <c r="F26" s="109">
        <f>IF(D26&gt;1, (D26*0.002), 0)</f>
        <v>1771639.66194</v>
      </c>
    </row>
    <row r="27" spans="1:6" x14ac:dyDescent="0.3">
      <c r="A27" s="98">
        <v>5</v>
      </c>
      <c r="B27" s="80" t="s">
        <v>299</v>
      </c>
      <c r="E27" s="80">
        <v>5</v>
      </c>
      <c r="F27" s="109">
        <f>SUM(F25:F26)</f>
        <v>1771689.66194</v>
      </c>
    </row>
    <row r="28" spans="1:6" x14ac:dyDescent="0.3">
      <c r="A28" s="98"/>
      <c r="E28" s="110" t="s">
        <v>300</v>
      </c>
      <c r="F28" s="111" t="s">
        <v>301</v>
      </c>
    </row>
    <row r="29" spans="1:6" x14ac:dyDescent="0.3">
      <c r="A29" s="98"/>
      <c r="B29" s="102" t="s">
        <v>302</v>
      </c>
    </row>
    <row r="30" spans="1:6" x14ac:dyDescent="0.3">
      <c r="A30" s="98">
        <v>6</v>
      </c>
      <c r="B30" s="80" t="s">
        <v>303</v>
      </c>
      <c r="E30" s="80">
        <v>6</v>
      </c>
      <c r="F30" s="105"/>
    </row>
    <row r="31" spans="1:6" x14ac:dyDescent="0.3">
      <c r="A31" s="98" t="s">
        <v>304</v>
      </c>
      <c r="B31" s="80" t="s">
        <v>305</v>
      </c>
      <c r="C31" s="80" t="s">
        <v>306</v>
      </c>
      <c r="D31" s="112">
        <v>0</v>
      </c>
      <c r="E31" s="105" t="s">
        <v>307</v>
      </c>
      <c r="F31" s="109">
        <f>IF(D31&gt;0, (D31*0.02), 0)</f>
        <v>0</v>
      </c>
    </row>
    <row r="32" spans="1:6" x14ac:dyDescent="0.3">
      <c r="A32" s="98">
        <v>7</v>
      </c>
      <c r="B32" s="80" t="s">
        <v>308</v>
      </c>
      <c r="E32" s="80">
        <v>7</v>
      </c>
      <c r="F32" s="105"/>
    </row>
    <row r="33" spans="1:8" x14ac:dyDescent="0.3">
      <c r="A33" s="98" t="s">
        <v>309</v>
      </c>
      <c r="B33" s="80" t="s">
        <v>310</v>
      </c>
      <c r="E33" s="106" t="s">
        <v>309</v>
      </c>
      <c r="F33" s="113"/>
    </row>
    <row r="34" spans="1:8" x14ac:dyDescent="0.3">
      <c r="A34" s="98" t="s">
        <v>311</v>
      </c>
      <c r="B34" s="80" t="s">
        <v>312</v>
      </c>
      <c r="E34" s="106" t="s">
        <v>311</v>
      </c>
      <c r="F34" s="109">
        <f>F27*F33*0.01</f>
        <v>0</v>
      </c>
    </row>
    <row r="35" spans="1:8" x14ac:dyDescent="0.3">
      <c r="A35" s="98">
        <v>8</v>
      </c>
      <c r="B35" s="80" t="s">
        <v>313</v>
      </c>
      <c r="E35" s="80">
        <v>8</v>
      </c>
      <c r="F35" s="109">
        <f>SUM(F34,F31)</f>
        <v>0</v>
      </c>
    </row>
    <row r="36" spans="1:8" x14ac:dyDescent="0.3">
      <c r="A36" s="98"/>
      <c r="E36" s="80" t="s">
        <v>300</v>
      </c>
      <c r="F36" s="111" t="s">
        <v>314</v>
      </c>
    </row>
    <row r="37" spans="1:8" x14ac:dyDescent="0.3">
      <c r="A37" s="98"/>
    </row>
    <row r="38" spans="1:8" x14ac:dyDescent="0.3">
      <c r="A38" s="98">
        <v>9</v>
      </c>
      <c r="B38" s="80" t="s">
        <v>333</v>
      </c>
      <c r="E38" s="80">
        <v>9</v>
      </c>
      <c r="F38" s="114">
        <f>IF((F21="ZERO"),"ZERO",SUM(F22,F27,F35))</f>
        <v>1771689.66194</v>
      </c>
    </row>
    <row r="39" spans="1:8" x14ac:dyDescent="0.3">
      <c r="A39" s="98"/>
    </row>
    <row r="40" spans="1:8" ht="100.8" x14ac:dyDescent="0.3">
      <c r="A40" s="98" t="s">
        <v>316</v>
      </c>
      <c r="B40" s="115" t="s">
        <v>334</v>
      </c>
    </row>
    <row r="41" spans="1:8" ht="28.8" x14ac:dyDescent="0.3">
      <c r="A41" s="98" t="s">
        <v>318</v>
      </c>
      <c r="B41" s="115" t="s">
        <v>319</v>
      </c>
    </row>
    <row r="43" spans="1:8" x14ac:dyDescent="0.3">
      <c r="G43" s="114"/>
      <c r="H43" s="114"/>
    </row>
    <row r="44" spans="1:8" x14ac:dyDescent="0.3">
      <c r="G44" s="114"/>
      <c r="H44" s="114"/>
    </row>
    <row r="45" spans="1:8" x14ac:dyDescent="0.3">
      <c r="G45" s="114"/>
      <c r="H45" s="114"/>
    </row>
    <row r="46" spans="1:8" x14ac:dyDescent="0.3">
      <c r="G46" s="114"/>
      <c r="H46" s="114"/>
    </row>
    <row r="47" spans="1:8" x14ac:dyDescent="0.3">
      <c r="G47" s="114"/>
      <c r="H47" s="114"/>
    </row>
    <row r="48" spans="1:8" x14ac:dyDescent="0.3">
      <c r="B48" s="114"/>
      <c r="C48" s="114"/>
      <c r="D48" s="114"/>
      <c r="E48" s="114"/>
      <c r="F48" s="114"/>
      <c r="G48" s="114"/>
      <c r="H48" s="114"/>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heetViews>
  <sheetFormatPr defaultRowHeight="12" x14ac:dyDescent="0.25"/>
  <cols>
    <col min="1" max="1" width="20.5703125" bestFit="1" customWidth="1"/>
    <col min="2" max="2" width="13.5703125" bestFit="1" customWidth="1"/>
    <col min="3" max="3" width="10.7109375" bestFit="1" customWidth="1"/>
    <col min="4" max="4" width="44" bestFit="1" customWidth="1"/>
    <col min="5" max="5" width="18.85546875" bestFit="1" customWidth="1"/>
  </cols>
  <sheetData>
    <row r="1" spans="1:5" x14ac:dyDescent="0.25">
      <c r="A1" s="6" t="s">
        <v>0</v>
      </c>
      <c r="B1" s="6" t="s">
        <v>0</v>
      </c>
      <c r="C1" s="6" t="s">
        <v>0</v>
      </c>
      <c r="D1" s="6" t="s">
        <v>0</v>
      </c>
      <c r="E1" s="7" t="s">
        <v>1</v>
      </c>
    </row>
    <row r="2" spans="1:5" x14ac:dyDescent="0.25">
      <c r="A2" s="6" t="s">
        <v>2</v>
      </c>
      <c r="B2" s="2"/>
      <c r="C2" s="6" t="s">
        <v>3</v>
      </c>
      <c r="D2" s="6" t="s">
        <v>0</v>
      </c>
      <c r="E2" s="8" t="s">
        <v>4</v>
      </c>
    </row>
    <row r="3" spans="1:5" x14ac:dyDescent="0.25">
      <c r="A3" s="7" t="s">
        <v>5</v>
      </c>
      <c r="B3" s="9" t="s">
        <v>6</v>
      </c>
      <c r="C3" s="9" t="s">
        <v>7</v>
      </c>
      <c r="D3" s="7" t="s">
        <v>8</v>
      </c>
      <c r="E3" s="4">
        <v>1600810.93</v>
      </c>
    </row>
    <row r="4" spans="1:5" x14ac:dyDescent="0.25">
      <c r="A4" s="3"/>
      <c r="B4" s="1"/>
      <c r="C4" s="9" t="s">
        <v>9</v>
      </c>
      <c r="D4" s="7" t="s">
        <v>10</v>
      </c>
      <c r="E4" s="4">
        <v>-155935.73000000001</v>
      </c>
    </row>
    <row r="5" spans="1:5" x14ac:dyDescent="0.25">
      <c r="A5" s="3"/>
      <c r="B5" s="1"/>
      <c r="C5" s="9" t="s">
        <v>11</v>
      </c>
      <c r="D5" s="7" t="s">
        <v>12</v>
      </c>
      <c r="E5" s="4">
        <v>-215324.35</v>
      </c>
    </row>
    <row r="6" spans="1:5" x14ac:dyDescent="0.25">
      <c r="A6" s="3"/>
      <c r="B6" s="1"/>
      <c r="C6" s="9" t="s">
        <v>13</v>
      </c>
      <c r="D6" s="7" t="s">
        <v>14</v>
      </c>
      <c r="E6" s="4">
        <v>-232759986.36000001</v>
      </c>
    </row>
    <row r="7" spans="1:5" x14ac:dyDescent="0.25">
      <c r="A7" s="3"/>
      <c r="B7" s="1"/>
      <c r="C7" s="9" t="s">
        <v>15</v>
      </c>
      <c r="D7" s="7" t="s">
        <v>16</v>
      </c>
      <c r="E7" s="4">
        <v>128490835.12</v>
      </c>
    </row>
    <row r="8" spans="1:5" x14ac:dyDescent="0.25">
      <c r="A8" s="3"/>
      <c r="B8" s="1"/>
      <c r="C8" s="9" t="s">
        <v>17</v>
      </c>
      <c r="D8" s="7" t="s">
        <v>18</v>
      </c>
      <c r="E8" s="4">
        <v>-80465.7</v>
      </c>
    </row>
    <row r="9" spans="1:5" x14ac:dyDescent="0.25">
      <c r="A9" s="3"/>
      <c r="B9" s="1"/>
      <c r="C9" s="9" t="s">
        <v>19</v>
      </c>
      <c r="D9" s="7" t="s">
        <v>20</v>
      </c>
      <c r="E9" s="4">
        <v>-1026108</v>
      </c>
    </row>
    <row r="10" spans="1:5" x14ac:dyDescent="0.25">
      <c r="A10" s="3"/>
      <c r="B10" s="1"/>
      <c r="C10" s="9" t="s">
        <v>21</v>
      </c>
      <c r="D10" s="7" t="s">
        <v>22</v>
      </c>
      <c r="E10" s="4">
        <v>-1207204.04</v>
      </c>
    </row>
    <row r="11" spans="1:5" x14ac:dyDescent="0.25">
      <c r="A11" s="3"/>
      <c r="B11" s="1"/>
      <c r="C11" s="9" t="s">
        <v>23</v>
      </c>
      <c r="D11" s="7" t="s">
        <v>24</v>
      </c>
      <c r="E11" s="4">
        <v>-3047472.46</v>
      </c>
    </row>
    <row r="12" spans="1:5" x14ac:dyDescent="0.25">
      <c r="A12" s="3"/>
      <c r="B12" s="1"/>
      <c r="C12" s="9" t="s">
        <v>25</v>
      </c>
      <c r="D12" s="7" t="s">
        <v>26</v>
      </c>
      <c r="E12" s="4">
        <v>-1505917.79</v>
      </c>
    </row>
    <row r="13" spans="1:5" x14ac:dyDescent="0.25">
      <c r="A13" s="3"/>
      <c r="B13" s="1"/>
      <c r="C13" s="9" t="s">
        <v>27</v>
      </c>
      <c r="D13" s="7" t="s">
        <v>28</v>
      </c>
      <c r="E13" s="4">
        <v>23999.63</v>
      </c>
    </row>
    <row r="14" spans="1:5" x14ac:dyDescent="0.25">
      <c r="A14" s="3"/>
      <c r="B14" s="1"/>
      <c r="C14" s="9" t="s">
        <v>29</v>
      </c>
      <c r="D14" s="7" t="s">
        <v>30</v>
      </c>
      <c r="E14" s="4">
        <v>-1595291.66</v>
      </c>
    </row>
    <row r="15" spans="1:5" x14ac:dyDescent="0.25">
      <c r="A15" s="3"/>
      <c r="B15" s="1"/>
      <c r="C15" s="9" t="s">
        <v>31</v>
      </c>
      <c r="D15" s="7" t="s">
        <v>32</v>
      </c>
      <c r="E15" s="4">
        <v>-2469043.31</v>
      </c>
    </row>
    <row r="16" spans="1:5" x14ac:dyDescent="0.25">
      <c r="A16" s="3"/>
      <c r="B16" s="1"/>
      <c r="C16" s="9" t="s">
        <v>33</v>
      </c>
      <c r="D16" s="7" t="s">
        <v>34</v>
      </c>
      <c r="E16" s="4">
        <v>1832546.26</v>
      </c>
    </row>
    <row r="17" spans="1:5" x14ac:dyDescent="0.25">
      <c r="A17" s="3"/>
      <c r="B17" s="1"/>
      <c r="C17" s="9" t="s">
        <v>35</v>
      </c>
      <c r="D17" s="7" t="s">
        <v>36</v>
      </c>
      <c r="E17" s="4">
        <v>67522.98</v>
      </c>
    </row>
    <row r="18" spans="1:5" x14ac:dyDescent="0.25">
      <c r="A18" s="3"/>
      <c r="B18" s="1"/>
      <c r="C18" s="9" t="s">
        <v>37</v>
      </c>
      <c r="D18" s="7" t="s">
        <v>38</v>
      </c>
      <c r="E18" s="4">
        <v>-242012.49</v>
      </c>
    </row>
    <row r="19" spans="1:5" x14ac:dyDescent="0.25">
      <c r="A19" s="3"/>
      <c r="B19" s="1"/>
      <c r="C19" s="9" t="s">
        <v>39</v>
      </c>
      <c r="D19" s="7" t="s">
        <v>40</v>
      </c>
      <c r="E19" s="4">
        <v>-1042742.58</v>
      </c>
    </row>
    <row r="20" spans="1:5" x14ac:dyDescent="0.25">
      <c r="A20" s="3"/>
      <c r="B20" s="1"/>
      <c r="C20" s="9" t="s">
        <v>41</v>
      </c>
      <c r="D20" s="7" t="s">
        <v>42</v>
      </c>
      <c r="E20" s="4">
        <v>4534890.3099999996</v>
      </c>
    </row>
    <row r="21" spans="1:5" x14ac:dyDescent="0.25">
      <c r="A21" s="3"/>
      <c r="B21" s="1"/>
      <c r="C21" s="9" t="s">
        <v>43</v>
      </c>
      <c r="D21" s="7" t="s">
        <v>44</v>
      </c>
      <c r="E21" s="4">
        <v>2407061.4900000002</v>
      </c>
    </row>
    <row r="22" spans="1:5" x14ac:dyDescent="0.25">
      <c r="A22" s="3"/>
      <c r="B22" s="1"/>
      <c r="C22" s="9" t="s">
        <v>45</v>
      </c>
      <c r="D22" s="7" t="s">
        <v>46</v>
      </c>
      <c r="E22" s="4">
        <v>819014.1</v>
      </c>
    </row>
    <row r="23" spans="1:5" x14ac:dyDescent="0.25">
      <c r="A23" s="3"/>
      <c r="B23" s="1"/>
      <c r="C23" s="9" t="s">
        <v>47</v>
      </c>
      <c r="D23" s="7" t="s">
        <v>48</v>
      </c>
      <c r="E23" s="4">
        <v>-1406885.31</v>
      </c>
    </row>
    <row r="24" spans="1:5" x14ac:dyDescent="0.25">
      <c r="A24" s="3"/>
      <c r="B24" s="1"/>
      <c r="C24" s="9" t="s">
        <v>49</v>
      </c>
      <c r="D24" s="7" t="s">
        <v>50</v>
      </c>
      <c r="E24" s="4">
        <v>1373464.31</v>
      </c>
    </row>
    <row r="25" spans="1:5" x14ac:dyDescent="0.25">
      <c r="A25" s="3"/>
      <c r="B25" s="1"/>
      <c r="C25" s="9" t="s">
        <v>51</v>
      </c>
      <c r="D25" s="7" t="s">
        <v>52</v>
      </c>
      <c r="E25" s="4">
        <v>-2317621.7599999998</v>
      </c>
    </row>
    <row r="26" spans="1:5" x14ac:dyDescent="0.25">
      <c r="A26" s="3"/>
      <c r="B26" s="1"/>
      <c r="C26" s="9" t="s">
        <v>53</v>
      </c>
      <c r="D26" s="7" t="s">
        <v>54</v>
      </c>
      <c r="E26" s="4">
        <v>762026.51</v>
      </c>
    </row>
    <row r="27" spans="1:5" x14ac:dyDescent="0.25">
      <c r="A27" s="3"/>
      <c r="B27" s="1"/>
      <c r="C27" s="9" t="s">
        <v>55</v>
      </c>
      <c r="D27" s="7" t="s">
        <v>56</v>
      </c>
      <c r="E27" s="4">
        <v>-102797.85</v>
      </c>
    </row>
    <row r="28" spans="1:5" x14ac:dyDescent="0.25">
      <c r="A28" s="3"/>
      <c r="B28" s="1"/>
      <c r="C28" s="9" t="s">
        <v>57</v>
      </c>
      <c r="D28" s="7" t="s">
        <v>58</v>
      </c>
      <c r="E28" s="4">
        <v>-232051.94</v>
      </c>
    </row>
    <row r="29" spans="1:5" x14ac:dyDescent="0.25">
      <c r="A29" s="3"/>
      <c r="B29" s="1"/>
      <c r="C29" s="9" t="s">
        <v>59</v>
      </c>
      <c r="D29" s="7" t="s">
        <v>60</v>
      </c>
      <c r="E29" s="4">
        <v>344682.22</v>
      </c>
    </row>
    <row r="30" spans="1:5" x14ac:dyDescent="0.25">
      <c r="A30" s="3"/>
      <c r="B30" s="1"/>
      <c r="C30" s="9" t="s">
        <v>61</v>
      </c>
      <c r="D30" s="7" t="s">
        <v>62</v>
      </c>
      <c r="E30" s="4">
        <v>2831.98</v>
      </c>
    </row>
    <row r="31" spans="1:5" x14ac:dyDescent="0.25">
      <c r="A31" s="3"/>
      <c r="B31" s="1"/>
      <c r="C31" s="9" t="s">
        <v>63</v>
      </c>
      <c r="D31" s="7" t="s">
        <v>64</v>
      </c>
      <c r="E31" s="4">
        <v>-835357.9</v>
      </c>
    </row>
    <row r="32" spans="1:5" x14ac:dyDescent="0.25">
      <c r="A32" s="3"/>
      <c r="B32" s="1"/>
      <c r="C32" s="9" t="s">
        <v>65</v>
      </c>
      <c r="D32" s="7" t="s">
        <v>66</v>
      </c>
      <c r="E32" s="4">
        <v>-2429418</v>
      </c>
    </row>
    <row r="33" spans="1:5" x14ac:dyDescent="0.25">
      <c r="A33" s="3"/>
      <c r="B33" s="1"/>
      <c r="C33" s="9" t="s">
        <v>67</v>
      </c>
      <c r="D33" s="7" t="s">
        <v>68</v>
      </c>
      <c r="E33" s="4">
        <v>-3897.35</v>
      </c>
    </row>
    <row r="34" spans="1:5" x14ac:dyDescent="0.25">
      <c r="A34" s="3"/>
      <c r="B34" s="1"/>
      <c r="C34" s="9" t="s">
        <v>69</v>
      </c>
      <c r="D34" s="7" t="s">
        <v>70</v>
      </c>
      <c r="E34" s="4">
        <v>9840</v>
      </c>
    </row>
    <row r="35" spans="1:5" x14ac:dyDescent="0.25">
      <c r="A35" s="3"/>
      <c r="B35" s="1"/>
      <c r="C35" s="9" t="s">
        <v>71</v>
      </c>
      <c r="D35" s="7" t="s">
        <v>72</v>
      </c>
      <c r="E35" s="4">
        <v>-4192663.6</v>
      </c>
    </row>
    <row r="36" spans="1:5" x14ac:dyDescent="0.25">
      <c r="A36" s="3"/>
      <c r="B36" s="1"/>
      <c r="C36" s="9" t="s">
        <v>73</v>
      </c>
      <c r="D36" s="7" t="s">
        <v>74</v>
      </c>
      <c r="E36" s="4">
        <v>-815995.01</v>
      </c>
    </row>
    <row r="37" spans="1:5" x14ac:dyDescent="0.25">
      <c r="A37" s="3"/>
      <c r="B37" s="1"/>
      <c r="C37" s="9" t="s">
        <v>75</v>
      </c>
      <c r="D37" s="7" t="s">
        <v>76</v>
      </c>
      <c r="E37" s="4">
        <v>-2686400.15</v>
      </c>
    </row>
    <row r="38" spans="1:5" x14ac:dyDescent="0.25">
      <c r="A38" s="3"/>
      <c r="B38" s="1"/>
      <c r="C38" s="9" t="s">
        <v>77</v>
      </c>
      <c r="D38" s="7" t="s">
        <v>78</v>
      </c>
      <c r="E38" s="4">
        <v>-305.69</v>
      </c>
    </row>
    <row r="39" spans="1:5" x14ac:dyDescent="0.25">
      <c r="A39" s="3"/>
      <c r="B39" s="1"/>
      <c r="C39" s="9" t="s">
        <v>79</v>
      </c>
      <c r="D39" s="7" t="s">
        <v>80</v>
      </c>
      <c r="E39" s="4">
        <v>-1457807.46</v>
      </c>
    </row>
    <row r="40" spans="1:5" x14ac:dyDescent="0.25">
      <c r="A40" s="3"/>
      <c r="B40" s="1"/>
      <c r="C40" s="9" t="s">
        <v>81</v>
      </c>
      <c r="D40" s="7" t="s">
        <v>82</v>
      </c>
      <c r="E40" s="4">
        <v>910042.44</v>
      </c>
    </row>
    <row r="41" spans="1:5" x14ac:dyDescent="0.25">
      <c r="A41" s="3"/>
      <c r="B41" s="1"/>
      <c r="C41" s="9" t="s">
        <v>83</v>
      </c>
      <c r="D41" s="7" t="s">
        <v>84</v>
      </c>
      <c r="E41" s="4">
        <v>165400.35999999999</v>
      </c>
    </row>
    <row r="42" spans="1:5" x14ac:dyDescent="0.25">
      <c r="A42" s="3"/>
      <c r="B42" s="1"/>
      <c r="C42" s="9" t="s">
        <v>85</v>
      </c>
      <c r="D42" s="7" t="s">
        <v>86</v>
      </c>
      <c r="E42" s="4">
        <v>-177742.52</v>
      </c>
    </row>
    <row r="43" spans="1:5" x14ac:dyDescent="0.25">
      <c r="A43" s="3"/>
      <c r="B43" s="1"/>
      <c r="C43" s="9" t="s">
        <v>87</v>
      </c>
      <c r="D43" s="7" t="s">
        <v>88</v>
      </c>
      <c r="E43" s="4">
        <v>-443958.12</v>
      </c>
    </row>
    <row r="44" spans="1:5" x14ac:dyDescent="0.25">
      <c r="A44" s="3"/>
      <c r="B44" s="1"/>
      <c r="C44" s="9" t="s">
        <v>89</v>
      </c>
      <c r="D44" s="7" t="s">
        <v>90</v>
      </c>
      <c r="E44" s="4">
        <v>2273788.96</v>
      </c>
    </row>
    <row r="45" spans="1:5" x14ac:dyDescent="0.25">
      <c r="A45" s="3"/>
      <c r="B45" s="1"/>
      <c r="C45" s="9" t="s">
        <v>91</v>
      </c>
      <c r="D45" s="7" t="s">
        <v>92</v>
      </c>
      <c r="E45" s="4">
        <v>1635549.98</v>
      </c>
    </row>
    <row r="46" spans="1:5" x14ac:dyDescent="0.25">
      <c r="A46" s="3"/>
      <c r="B46" s="1"/>
      <c r="C46" s="9" t="s">
        <v>93</v>
      </c>
      <c r="D46" s="7" t="s">
        <v>94</v>
      </c>
      <c r="E46" s="4">
        <v>-1832288.72</v>
      </c>
    </row>
    <row r="47" spans="1:5" x14ac:dyDescent="0.25">
      <c r="A47" s="3"/>
      <c r="B47" s="1"/>
      <c r="C47" s="9" t="s">
        <v>95</v>
      </c>
      <c r="D47" s="7" t="s">
        <v>96</v>
      </c>
      <c r="E47" s="4">
        <v>-1186.8499999999999</v>
      </c>
    </row>
    <row r="48" spans="1:5" x14ac:dyDescent="0.25">
      <c r="A48" s="3"/>
      <c r="B48" s="1"/>
      <c r="C48" s="9" t="s">
        <v>97</v>
      </c>
      <c r="D48" s="7" t="s">
        <v>98</v>
      </c>
      <c r="E48" s="4">
        <v>-12608.82</v>
      </c>
    </row>
    <row r="49" spans="1:5" x14ac:dyDescent="0.25">
      <c r="A49" s="3"/>
      <c r="B49" s="3"/>
      <c r="C49" s="39" t="s">
        <v>229</v>
      </c>
      <c r="D49" s="36"/>
      <c r="E49" s="35">
        <v>-117042183.94</v>
      </c>
    </row>
  </sheetData>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2.6.303.84659</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B5C7E7D61FC92429EE0C796A4E4EC6C" ma:contentTypeVersion="52" ma:contentTypeDescription="" ma:contentTypeScope="" ma:versionID="e536c44d1f6f487064718244da67e85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2020-03-31T07:00:00+00:00</OpenedDate>
    <SignificantOrder xmlns="dc463f71-b30c-4ab2-9473-d307f9d35888">false</SignificantOrder>
    <Date1 xmlns="dc463f71-b30c-4ab2-9473-d307f9d35888">2020-03-31T07:00:00+00:00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200294</DocketNumber>
    <DelegatedOrder xmlns="dc463f71-b30c-4ab2-9473-d307f9d35888">false</DelegatedOrder>
  </documentManagement>
</p:properties>
</file>

<file path=customXml/itemProps1.xml><?xml version="1.0" encoding="utf-8"?>
<ds:datastoreItem xmlns:ds="http://schemas.openxmlformats.org/officeDocument/2006/customXml" ds:itemID="{078A4F05-3911-487F-B705-ECB2E74D126F}">
  <ds:schemaRefs>
    <ds:schemaRef ds:uri="http://www.sap.com/cof/excel/application"/>
  </ds:schemaRefs>
</ds:datastoreItem>
</file>

<file path=customXml/itemProps2.xml><?xml version="1.0" encoding="utf-8"?>
<ds:datastoreItem xmlns:ds="http://schemas.openxmlformats.org/officeDocument/2006/customXml" ds:itemID="{1DF09672-5002-47DF-A63C-83027037EEBA}"/>
</file>

<file path=customXml/itemProps3.xml><?xml version="1.0" encoding="utf-8"?>
<ds:datastoreItem xmlns:ds="http://schemas.openxmlformats.org/officeDocument/2006/customXml" ds:itemID="{93DFD92D-48F6-47C5-9630-F2A71EC4CB89}"/>
</file>

<file path=customXml/itemProps4.xml><?xml version="1.0" encoding="utf-8"?>
<ds:datastoreItem xmlns:ds="http://schemas.openxmlformats.org/officeDocument/2006/customXml" ds:itemID="{19F1F67A-CA1C-4465-8D05-976339511DDA}"/>
</file>

<file path=customXml/itemProps5.xml><?xml version="1.0" encoding="utf-8"?>
<ds:datastoreItem xmlns:ds="http://schemas.openxmlformats.org/officeDocument/2006/customXml" ds:itemID="{E8DF1B42-A24E-4D6B-BF0C-E6E2D2253A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Marvelous Marina</cp:lastModifiedBy>
  <dcterms:created xsi:type="dcterms:W3CDTF">2020-01-30T21:49:52Z</dcterms:created>
  <dcterms:modified xsi:type="dcterms:W3CDTF">2020-03-23T22:22:24Z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0x0101006E56B4D1795A2E4DB2F0B01679ED314A001B5C7E7D61FC92429EE0C796A4E4EC6C</vt:lpwstr>
  </property>
  <property fmtid="{D5CDD505-2E9C-101B-9397-08002B2CF9AE}" pid="3" name="_docset_NoMedatataSyncRequired">
    <vt:lpwstr>False</vt:lpwstr>
  </property>
  <property fmtid="{D5CDD505-2E9C-101B-9397-08002B2CF9AE}" pid="4" name="IsEFSEC">
    <vt:bool>false</vt:bool>
  </property>
</Properties>
</file>