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1835" tabRatio="967" activeTab="3"/>
  </bookViews>
  <sheets>
    <sheet name="Single Family" sheetId="5" r:id="rId1"/>
    <sheet name="Multi-Family" sheetId="6" r:id="rId2"/>
    <sheet name="Company Surcharge Calculation" sheetId="1" r:id="rId3"/>
    <sheet name="New Calculation" sheetId="11" r:id="rId4"/>
    <sheet name="Staff Calculation" sheetId="10" r:id="rId5"/>
    <sheet name="Current MRF Income Statement" sheetId="13" r:id="rId6"/>
    <sheet name="MRF Income Statmnt" sheetId="4" r:id="rId7"/>
    <sheet name="Staff Q1 INC STAT Compare" sheetId="8" r:id="rId8"/>
    <sheet name="2018 Oct Actual" sheetId="12" r:id="rId9"/>
    <sheet name="2018 Q1 Actual" sheetId="7" r:id="rId10"/>
    <sheet name="Staff Q1 2017 and 2018 compare" sheetId="9" r:id="rId11"/>
  </sheets>
  <definedNames>
    <definedName name="_xlnm.Print_Area" localSheetId="4">'Staff Calculation'!$A$5:$J$37</definedName>
  </definedNames>
  <calcPr calcId="145621"/>
</workbook>
</file>

<file path=xl/calcChain.xml><?xml version="1.0" encoding="utf-8"?>
<calcChain xmlns="http://schemas.openxmlformats.org/spreadsheetml/2006/main">
  <c r="I35" i="11" l="1"/>
  <c r="I36" i="11"/>
  <c r="I37" i="11"/>
  <c r="I38" i="11"/>
  <c r="I39" i="11"/>
  <c r="I34" i="11"/>
  <c r="H35" i="11"/>
  <c r="H36" i="11"/>
  <c r="H37" i="11"/>
  <c r="H38" i="11"/>
  <c r="H39" i="11"/>
  <c r="H34" i="11"/>
  <c r="I23" i="11"/>
  <c r="I24" i="11"/>
  <c r="I25" i="11"/>
  <c r="I26" i="11"/>
  <c r="I27" i="11"/>
  <c r="I22" i="11"/>
  <c r="H23" i="11"/>
  <c r="H24" i="11"/>
  <c r="H25" i="11"/>
  <c r="H26" i="11"/>
  <c r="H27" i="11"/>
  <c r="H22" i="11"/>
  <c r="G35" i="11"/>
  <c r="G36" i="11"/>
  <c r="G37" i="11"/>
  <c r="G38" i="11"/>
  <c r="G39" i="11"/>
  <c r="G34" i="11"/>
  <c r="F35" i="11"/>
  <c r="F36" i="11"/>
  <c r="F37" i="11"/>
  <c r="F38" i="11"/>
  <c r="F39" i="11"/>
  <c r="F34" i="11"/>
  <c r="G23" i="11"/>
  <c r="G28" i="11" s="1"/>
  <c r="G24" i="11"/>
  <c r="G25" i="11"/>
  <c r="G26" i="11"/>
  <c r="G27" i="11"/>
  <c r="G22" i="11"/>
  <c r="F23" i="11"/>
  <c r="F24" i="11"/>
  <c r="F25" i="11"/>
  <c r="F26" i="11"/>
  <c r="F27" i="11"/>
  <c r="F22" i="11"/>
  <c r="E35" i="11"/>
  <c r="E36" i="11"/>
  <c r="E37" i="11"/>
  <c r="E38" i="11"/>
  <c r="E39" i="11"/>
  <c r="E34" i="11"/>
  <c r="D35" i="11"/>
  <c r="D36" i="11"/>
  <c r="D37" i="11"/>
  <c r="D38" i="11"/>
  <c r="D39" i="11"/>
  <c r="D34" i="11"/>
  <c r="E23" i="11"/>
  <c r="E28" i="11" s="1"/>
  <c r="E24" i="11"/>
  <c r="E25" i="11"/>
  <c r="E26" i="11"/>
  <c r="E27" i="11"/>
  <c r="E22" i="11"/>
  <c r="D23" i="11"/>
  <c r="D24" i="11"/>
  <c r="D25" i="11"/>
  <c r="D26" i="11"/>
  <c r="D27" i="11"/>
  <c r="D22" i="11"/>
  <c r="C35" i="11"/>
  <c r="C36" i="11"/>
  <c r="C37" i="11"/>
  <c r="C38" i="11"/>
  <c r="C39" i="11"/>
  <c r="C34" i="11"/>
  <c r="B35" i="11"/>
  <c r="B36" i="11"/>
  <c r="B37" i="11"/>
  <c r="B38" i="11"/>
  <c r="B39" i="11"/>
  <c r="B34" i="11"/>
  <c r="C23" i="11"/>
  <c r="C24" i="11"/>
  <c r="C25" i="11"/>
  <c r="C26" i="11"/>
  <c r="C27" i="11"/>
  <c r="C22" i="11"/>
  <c r="B23" i="11"/>
  <c r="B24" i="11"/>
  <c r="B25" i="11"/>
  <c r="B26" i="11"/>
  <c r="B27" i="11"/>
  <c r="B22" i="11"/>
  <c r="C28" i="11" l="1"/>
  <c r="B40" i="11"/>
  <c r="D28" i="11"/>
  <c r="F28" i="11"/>
  <c r="F40" i="11"/>
  <c r="I28" i="11"/>
  <c r="D40" i="11"/>
  <c r="H28" i="11"/>
  <c r="H40" i="11"/>
  <c r="C40" i="11"/>
  <c r="E40" i="11"/>
  <c r="G40" i="11"/>
  <c r="I40" i="11"/>
  <c r="B28" i="11"/>
  <c r="E68" i="6"/>
  <c r="D68" i="6"/>
  <c r="B68" i="6"/>
  <c r="F67" i="6"/>
  <c r="C67" i="6"/>
  <c r="C66" i="6"/>
  <c r="F66" i="6" s="1"/>
  <c r="F65" i="6"/>
  <c r="C65" i="6"/>
  <c r="C64" i="6"/>
  <c r="F64" i="6" s="1"/>
  <c r="F63" i="6"/>
  <c r="C63" i="6"/>
  <c r="C62" i="6"/>
  <c r="F62" i="6" s="1"/>
  <c r="F61" i="6"/>
  <c r="C61" i="6"/>
  <c r="C60" i="6"/>
  <c r="F60" i="6" s="1"/>
  <c r="F59" i="6"/>
  <c r="C59" i="6"/>
  <c r="C58" i="6"/>
  <c r="F58" i="6" s="1"/>
  <c r="F57" i="6"/>
  <c r="C57" i="6"/>
  <c r="C56" i="6"/>
  <c r="F56" i="6" s="1"/>
  <c r="F68" i="6" l="1"/>
  <c r="E66" i="5" l="1"/>
  <c r="D66" i="5"/>
  <c r="B66" i="5"/>
  <c r="F65" i="5"/>
  <c r="C65" i="5"/>
  <c r="C64" i="5"/>
  <c r="F64" i="5" s="1"/>
  <c r="F63" i="5"/>
  <c r="C63" i="5"/>
  <c r="C62" i="5"/>
  <c r="F62" i="5" s="1"/>
  <c r="F61" i="5"/>
  <c r="C61" i="5"/>
  <c r="C60" i="5"/>
  <c r="F60" i="5" s="1"/>
  <c r="F59" i="5"/>
  <c r="C59" i="5"/>
  <c r="C58" i="5"/>
  <c r="F58" i="5" s="1"/>
  <c r="F57" i="5"/>
  <c r="C57" i="5"/>
  <c r="C56" i="5"/>
  <c r="F56" i="5" s="1"/>
  <c r="F55" i="5"/>
  <c r="C55" i="5"/>
  <c r="C54" i="5"/>
  <c r="F54" i="5" s="1"/>
  <c r="F66" i="5" s="1"/>
  <c r="M13" i="11" l="1"/>
  <c r="O13" i="11" s="1"/>
  <c r="M14" i="11"/>
  <c r="O14" i="11" s="1"/>
  <c r="M12" i="11"/>
  <c r="O12" i="11" s="1"/>
  <c r="L14" i="11"/>
  <c r="N14" i="11" s="1"/>
  <c r="L13" i="11"/>
  <c r="N13" i="11" s="1"/>
  <c r="L12" i="11"/>
  <c r="N12" i="11" s="1"/>
  <c r="M10" i="11"/>
  <c r="O10" i="11" s="1"/>
  <c r="L10" i="11"/>
  <c r="N10" i="11" s="1"/>
  <c r="H54" i="12"/>
  <c r="G54" i="12"/>
  <c r="F54" i="12"/>
  <c r="E54" i="12"/>
  <c r="D54" i="12"/>
  <c r="B54" i="12"/>
  <c r="U53" i="12"/>
  <c r="U54" i="12" s="1"/>
  <c r="V8" i="12" s="1"/>
  <c r="I53" i="12"/>
  <c r="C52" i="12"/>
  <c r="K46" i="12"/>
  <c r="K43" i="12"/>
  <c r="K44" i="12" s="1"/>
  <c r="Q37" i="12"/>
  <c r="H37" i="12"/>
  <c r="R37" i="12" s="1"/>
  <c r="F37" i="12"/>
  <c r="B37" i="12"/>
  <c r="G34" i="12"/>
  <c r="G35" i="12" s="1"/>
  <c r="G39" i="12" s="1"/>
  <c r="Q33" i="12"/>
  <c r="P33" i="12"/>
  <c r="F33" i="12"/>
  <c r="E33" i="12"/>
  <c r="O33" i="12" s="1"/>
  <c r="B33" i="12"/>
  <c r="Q32" i="12"/>
  <c r="H32" i="12" s="1"/>
  <c r="R32" i="12" s="1"/>
  <c r="P32" i="12"/>
  <c r="L32" i="12"/>
  <c r="F32" i="12"/>
  <c r="D32" i="12"/>
  <c r="B32" i="12"/>
  <c r="Q31" i="12"/>
  <c r="P31" i="12"/>
  <c r="L31" i="12"/>
  <c r="H31" i="12"/>
  <c r="R31" i="12" s="1"/>
  <c r="F31" i="12"/>
  <c r="B31" i="12"/>
  <c r="Q30" i="12"/>
  <c r="H30" i="12" s="1"/>
  <c r="R30" i="12" s="1"/>
  <c r="F30" i="12"/>
  <c r="P30" i="12" s="1"/>
  <c r="B30" i="12"/>
  <c r="Q29" i="12"/>
  <c r="H29" i="12" s="1"/>
  <c r="R29" i="12" s="1"/>
  <c r="F29" i="12"/>
  <c r="P29" i="12" s="1"/>
  <c r="E29" i="12"/>
  <c r="O29" i="12" s="1"/>
  <c r="B29" i="12"/>
  <c r="Q28" i="12"/>
  <c r="P28" i="12"/>
  <c r="L28" i="12"/>
  <c r="F28" i="12"/>
  <c r="E28" i="12"/>
  <c r="D28" i="12"/>
  <c r="B28" i="12"/>
  <c r="X23" i="12"/>
  <c r="U23" i="12"/>
  <c r="R23" i="12"/>
  <c r="Q23" i="12"/>
  <c r="P23" i="12"/>
  <c r="O23" i="12"/>
  <c r="N23" i="12"/>
  <c r="L23" i="12"/>
  <c r="I23" i="12"/>
  <c r="X21" i="12"/>
  <c r="U21" i="12"/>
  <c r="V21" i="12" s="1"/>
  <c r="Q21" i="12"/>
  <c r="P21" i="12"/>
  <c r="O21" i="12"/>
  <c r="L21" i="12"/>
  <c r="I21" i="12"/>
  <c r="G20" i="12"/>
  <c r="B20" i="12"/>
  <c r="Q19" i="12"/>
  <c r="H16" i="12"/>
  <c r="X14" i="12"/>
  <c r="O14" i="12"/>
  <c r="N14" i="12"/>
  <c r="H14" i="12"/>
  <c r="R14" i="12" s="1"/>
  <c r="G14" i="12"/>
  <c r="F14" i="12"/>
  <c r="E14" i="12"/>
  <c r="D14" i="12"/>
  <c r="U14" i="12" s="1"/>
  <c r="C14" i="12"/>
  <c r="B14" i="12"/>
  <c r="X13" i="12"/>
  <c r="U13" i="12"/>
  <c r="R13" i="12"/>
  <c r="Q13" i="12"/>
  <c r="P13" i="12"/>
  <c r="O13" i="12"/>
  <c r="N13" i="12"/>
  <c r="L13" i="12"/>
  <c r="I13" i="12"/>
  <c r="X12" i="12"/>
  <c r="U12" i="12"/>
  <c r="Q12" i="12"/>
  <c r="P12" i="12"/>
  <c r="O12" i="12"/>
  <c r="L12" i="12"/>
  <c r="I12" i="12"/>
  <c r="I14" i="12" s="1"/>
  <c r="H10" i="12"/>
  <c r="G10" i="12"/>
  <c r="B10" i="12"/>
  <c r="U9" i="12"/>
  <c r="V9" i="12" s="1"/>
  <c r="R9" i="12"/>
  <c r="Q9" i="12"/>
  <c r="P9" i="12"/>
  <c r="O9" i="12"/>
  <c r="N9" i="12"/>
  <c r="L9" i="12"/>
  <c r="I9" i="12"/>
  <c r="C9" i="12"/>
  <c r="X9" i="12" s="1"/>
  <c r="U8" i="12"/>
  <c r="R8" i="12"/>
  <c r="Q8" i="12"/>
  <c r="P8" i="12"/>
  <c r="O8" i="12"/>
  <c r="N8" i="12"/>
  <c r="L8" i="12"/>
  <c r="C8" i="12"/>
  <c r="R7" i="12"/>
  <c r="Q7" i="12"/>
  <c r="L7" i="12"/>
  <c r="G7" i="12"/>
  <c r="E7" i="12"/>
  <c r="E10" i="12" s="1"/>
  <c r="D7" i="12"/>
  <c r="D10" i="12" s="1"/>
  <c r="B7" i="12"/>
  <c r="B34" i="12" s="1"/>
  <c r="H17" i="11"/>
  <c r="G17" i="11"/>
  <c r="H16" i="11"/>
  <c r="G16" i="11"/>
  <c r="H15" i="11"/>
  <c r="G15" i="11"/>
  <c r="H14" i="11"/>
  <c r="J14" i="11" s="1"/>
  <c r="G14" i="11"/>
  <c r="H13" i="11"/>
  <c r="J13" i="11" s="1"/>
  <c r="G13" i="11"/>
  <c r="H12" i="11"/>
  <c r="J12" i="11" s="1"/>
  <c r="G12" i="11"/>
  <c r="H11" i="11"/>
  <c r="G11" i="11"/>
  <c r="H10" i="11"/>
  <c r="J10" i="11" s="1"/>
  <c r="G10" i="11"/>
  <c r="O17" i="11" l="1"/>
  <c r="G29" i="11" s="1"/>
  <c r="G30" i="11" s="1"/>
  <c r="G42" i="11" s="1"/>
  <c r="J17" i="11"/>
  <c r="E16" i="12"/>
  <c r="L34" i="12"/>
  <c r="X8" i="12"/>
  <c r="L33" i="12"/>
  <c r="I8" i="12"/>
  <c r="V13" i="12"/>
  <c r="G16" i="12"/>
  <c r="V23" i="12"/>
  <c r="N28" i="12"/>
  <c r="N32" i="12"/>
  <c r="U32" i="12"/>
  <c r="V32" i="12" s="1"/>
  <c r="B39" i="12"/>
  <c r="L37" i="12"/>
  <c r="N7" i="12"/>
  <c r="R10" i="12"/>
  <c r="R16" i="12" s="1"/>
  <c r="V12" i="12"/>
  <c r="V14" i="12"/>
  <c r="D16" i="12"/>
  <c r="O28" i="12"/>
  <c r="U28" i="12"/>
  <c r="Q34" i="12"/>
  <c r="D33" i="12"/>
  <c r="D37" i="12"/>
  <c r="D30" i="12"/>
  <c r="D31" i="12"/>
  <c r="D29" i="12"/>
  <c r="N21" i="12"/>
  <c r="N12" i="12"/>
  <c r="D20" i="12"/>
  <c r="H28" i="12"/>
  <c r="R21" i="12"/>
  <c r="R12" i="12"/>
  <c r="H20" i="12"/>
  <c r="R19" i="12"/>
  <c r="L10" i="12"/>
  <c r="B16" i="12"/>
  <c r="L20" i="12"/>
  <c r="B35" i="12"/>
  <c r="Q35" i="12"/>
  <c r="Q39" i="12" s="1"/>
  <c r="L29" i="12"/>
  <c r="L35" i="12" s="1"/>
  <c r="Q10" i="12"/>
  <c r="O7" i="12"/>
  <c r="Q20" i="12"/>
  <c r="E37" i="12"/>
  <c r="E30" i="12"/>
  <c r="O30" i="12" s="1"/>
  <c r="E31" i="12"/>
  <c r="O31" i="12" s="1"/>
  <c r="E20" i="12"/>
  <c r="E32" i="12"/>
  <c r="O32" i="12" s="1"/>
  <c r="L14" i="12"/>
  <c r="L16" i="12" s="1"/>
  <c r="P14" i="12"/>
  <c r="H33" i="12"/>
  <c r="R33" i="12" s="1"/>
  <c r="M14" i="12"/>
  <c r="Q14" i="12"/>
  <c r="Q16" i="12" s="1"/>
  <c r="L30" i="12"/>
  <c r="P37" i="12"/>
  <c r="C54" i="12"/>
  <c r="M8" i="12" s="1"/>
  <c r="I52" i="12"/>
  <c r="I54" i="12" s="1"/>
  <c r="C29" i="11" l="1"/>
  <c r="C30" i="11" s="1"/>
  <c r="C42" i="11" s="1"/>
  <c r="I29" i="11"/>
  <c r="I30" i="11" s="1"/>
  <c r="I42" i="11" s="1"/>
  <c r="B29" i="11"/>
  <c r="B30" i="11" s="1"/>
  <c r="B42" i="11" s="1"/>
  <c r="D29" i="11"/>
  <c r="D30" i="11" s="1"/>
  <c r="D42" i="11" s="1"/>
  <c r="O19" i="11"/>
  <c r="F29" i="11"/>
  <c r="F30" i="11" s="1"/>
  <c r="F42" i="11" s="1"/>
  <c r="H29" i="11"/>
  <c r="H30" i="11" s="1"/>
  <c r="H42" i="11" s="1"/>
  <c r="E29" i="11"/>
  <c r="E30" i="11" s="1"/>
  <c r="E42" i="11" s="1"/>
  <c r="G46" i="12"/>
  <c r="Q46" i="12" s="1"/>
  <c r="C46" i="12"/>
  <c r="M46" i="12" s="1"/>
  <c r="G45" i="12"/>
  <c r="Q45" i="12" s="1"/>
  <c r="C45" i="12"/>
  <c r="M45" i="12" s="1"/>
  <c r="H44" i="12"/>
  <c r="R44" i="12" s="1"/>
  <c r="D44" i="12"/>
  <c r="E43" i="12"/>
  <c r="F46" i="12"/>
  <c r="P46" i="12" s="1"/>
  <c r="B46" i="12"/>
  <c r="F45" i="12"/>
  <c r="P45" i="12" s="1"/>
  <c r="B45" i="12"/>
  <c r="G44" i="12"/>
  <c r="Q44" i="12" s="1"/>
  <c r="C44" i="12"/>
  <c r="M44" i="12" s="1"/>
  <c r="H43" i="12"/>
  <c r="D43" i="12"/>
  <c r="D46" i="12"/>
  <c r="H45" i="12"/>
  <c r="R45" i="12" s="1"/>
  <c r="E44" i="12"/>
  <c r="O44" i="12" s="1"/>
  <c r="B43" i="12"/>
  <c r="H22" i="12"/>
  <c r="R22" i="12" s="1"/>
  <c r="D22" i="12"/>
  <c r="E45" i="12"/>
  <c r="O45" i="12" s="1"/>
  <c r="B44" i="12"/>
  <c r="G43" i="12"/>
  <c r="G22" i="12"/>
  <c r="C22" i="12"/>
  <c r="M22" i="12" s="1"/>
  <c r="E46" i="12"/>
  <c r="O46" i="12" s="1"/>
  <c r="F43" i="12"/>
  <c r="B22" i="12"/>
  <c r="S21" i="12"/>
  <c r="F22" i="12"/>
  <c r="P22" i="12" s="1"/>
  <c r="S23" i="12"/>
  <c r="E22" i="12"/>
  <c r="O22" i="12" s="1"/>
  <c r="D45" i="12"/>
  <c r="C43" i="12"/>
  <c r="F44" i="12"/>
  <c r="P44" i="12" s="1"/>
  <c r="S12" i="12"/>
  <c r="H46" i="12"/>
  <c r="R46" i="12" s="1"/>
  <c r="S13" i="12"/>
  <c r="O37" i="12"/>
  <c r="R24" i="12"/>
  <c r="R26" i="12" s="1"/>
  <c r="N33" i="12"/>
  <c r="U33" i="12"/>
  <c r="V33" i="12" s="1"/>
  <c r="D34" i="12"/>
  <c r="N20" i="12"/>
  <c r="S8" i="12"/>
  <c r="U30" i="12"/>
  <c r="V30" i="12" s="1"/>
  <c r="N30" i="12"/>
  <c r="V28" i="12"/>
  <c r="O10" i="12"/>
  <c r="O16" i="12" s="1"/>
  <c r="H35" i="12"/>
  <c r="H39" i="12" s="1"/>
  <c r="R28" i="12"/>
  <c r="U29" i="12"/>
  <c r="V29" i="12" s="1"/>
  <c r="N29" i="12"/>
  <c r="E35" i="12"/>
  <c r="E39" i="12" s="1"/>
  <c r="N10" i="12"/>
  <c r="N16" i="12" s="1"/>
  <c r="C32" i="12"/>
  <c r="C33" i="12"/>
  <c r="C28" i="12"/>
  <c r="M23" i="12"/>
  <c r="C19" i="12"/>
  <c r="M13" i="12"/>
  <c r="X53" i="12"/>
  <c r="X54" i="12" s="1"/>
  <c r="C37" i="12"/>
  <c r="C31" i="12"/>
  <c r="C29" i="12"/>
  <c r="M21" i="12"/>
  <c r="F19" i="12"/>
  <c r="B19" i="12"/>
  <c r="M12" i="12"/>
  <c r="M9" i="12"/>
  <c r="C7" i="12"/>
  <c r="C30" i="12"/>
  <c r="C20" i="12"/>
  <c r="E19" i="12"/>
  <c r="D19" i="12"/>
  <c r="E34" i="12"/>
  <c r="O34" i="12" s="1"/>
  <c r="O35" i="12" s="1"/>
  <c r="O20" i="12"/>
  <c r="H34" i="12"/>
  <c r="R34" i="12" s="1"/>
  <c r="R20" i="12"/>
  <c r="H24" i="12"/>
  <c r="H26" i="12" s="1"/>
  <c r="H41" i="12" s="1"/>
  <c r="U31" i="12"/>
  <c r="V31" i="12" s="1"/>
  <c r="N31" i="12"/>
  <c r="U37" i="12"/>
  <c r="N37" i="12"/>
  <c r="R58" i="12"/>
  <c r="L39" i="12"/>
  <c r="Y8" i="12"/>
  <c r="S14" i="12"/>
  <c r="S9" i="12"/>
  <c r="N35" i="12" l="1"/>
  <c r="N39" i="12" s="1"/>
  <c r="C34" i="12"/>
  <c r="C35" i="12" s="1"/>
  <c r="C39" i="12" s="1"/>
  <c r="M20" i="12"/>
  <c r="X20" i="12"/>
  <c r="Y20" i="12" s="1"/>
  <c r="N34" i="12"/>
  <c r="M43" i="12"/>
  <c r="M47" i="12" s="1"/>
  <c r="C47" i="12"/>
  <c r="B47" i="12"/>
  <c r="X43" i="12"/>
  <c r="I43" i="12"/>
  <c r="L43" i="12"/>
  <c r="L45" i="12"/>
  <c r="I45" i="12"/>
  <c r="S45" i="12" s="1"/>
  <c r="X45" i="12"/>
  <c r="Y45" i="12" s="1"/>
  <c r="E47" i="12"/>
  <c r="O43" i="12"/>
  <c r="O47" i="12" s="1"/>
  <c r="I19" i="12"/>
  <c r="B24" i="12"/>
  <c r="B26" i="12" s="1"/>
  <c r="B41" i="12" s="1"/>
  <c r="X19" i="12"/>
  <c r="L19" i="12"/>
  <c r="C24" i="12"/>
  <c r="M19" i="12"/>
  <c r="M24" i="12" s="1"/>
  <c r="V37" i="12"/>
  <c r="N19" i="12"/>
  <c r="U19" i="12"/>
  <c r="D24" i="12"/>
  <c r="D26" i="12" s="1"/>
  <c r="C10" i="12"/>
  <c r="C16" i="12" s="1"/>
  <c r="C26" i="12" s="1"/>
  <c r="M7" i="12"/>
  <c r="I7" i="12"/>
  <c r="F7" i="12"/>
  <c r="X7" i="12"/>
  <c r="P19" i="12"/>
  <c r="M37" i="12"/>
  <c r="X37" i="12"/>
  <c r="I37" i="12"/>
  <c r="X22" i="12"/>
  <c r="Y22" i="12" s="1"/>
  <c r="L22" i="12"/>
  <c r="I22" i="12"/>
  <c r="S22" i="12" s="1"/>
  <c r="Q22" i="12"/>
  <c r="G24" i="12"/>
  <c r="G26" i="12" s="1"/>
  <c r="G41" i="12" s="1"/>
  <c r="N22" i="12"/>
  <c r="U22" i="12"/>
  <c r="V22" i="12" s="1"/>
  <c r="L46" i="12"/>
  <c r="I46" i="12"/>
  <c r="S46" i="12" s="1"/>
  <c r="X46" i="12"/>
  <c r="Y46" i="12" s="1"/>
  <c r="F20" i="12"/>
  <c r="O19" i="12"/>
  <c r="E24" i="12"/>
  <c r="E26" i="12" s="1"/>
  <c r="E41" i="12" s="1"/>
  <c r="Y23" i="12"/>
  <c r="Y13" i="12"/>
  <c r="Y21" i="12"/>
  <c r="Y12" i="12"/>
  <c r="Y9" i="12"/>
  <c r="Y14" i="12"/>
  <c r="M28" i="12"/>
  <c r="I28" i="12"/>
  <c r="X28" i="12"/>
  <c r="R35" i="12"/>
  <c r="R39" i="12" s="1"/>
  <c r="R56" i="12" s="1"/>
  <c r="F47" i="12"/>
  <c r="P43" i="12"/>
  <c r="P47" i="12" s="1"/>
  <c r="Q43" i="12"/>
  <c r="Q47" i="12" s="1"/>
  <c r="Q56" i="12" s="1"/>
  <c r="G47" i="12"/>
  <c r="U46" i="12"/>
  <c r="V46" i="12" s="1"/>
  <c r="N46" i="12"/>
  <c r="M29" i="12"/>
  <c r="I29" i="12"/>
  <c r="S29" i="12" s="1"/>
  <c r="X29" i="12"/>
  <c r="Y29" i="12" s="1"/>
  <c r="M33" i="12"/>
  <c r="I33" i="12"/>
  <c r="S33" i="12" s="1"/>
  <c r="X33" i="12"/>
  <c r="Y33" i="12" s="1"/>
  <c r="L44" i="12"/>
  <c r="X44" i="12"/>
  <c r="Y44" i="12" s="1"/>
  <c r="I44" i="12"/>
  <c r="S44" i="12" s="1"/>
  <c r="N43" i="12"/>
  <c r="D47" i="12"/>
  <c r="U43" i="12"/>
  <c r="M30" i="12"/>
  <c r="X30" i="12"/>
  <c r="Y30" i="12" s="1"/>
  <c r="I30" i="12"/>
  <c r="S30" i="12" s="1"/>
  <c r="M31" i="12"/>
  <c r="X31" i="12"/>
  <c r="Y31" i="12" s="1"/>
  <c r="I31" i="12"/>
  <c r="S31" i="12" s="1"/>
  <c r="M32" i="12"/>
  <c r="I32" i="12"/>
  <c r="S32" i="12" s="1"/>
  <c r="X32" i="12"/>
  <c r="Y32" i="12" s="1"/>
  <c r="O39" i="12"/>
  <c r="U45" i="12"/>
  <c r="V45" i="12" s="1"/>
  <c r="N45" i="12"/>
  <c r="R43" i="12"/>
  <c r="R47" i="12" s="1"/>
  <c r="H47" i="12"/>
  <c r="H49" i="12" s="1"/>
  <c r="U44" i="12"/>
  <c r="V44" i="12" s="1"/>
  <c r="N44" i="12"/>
  <c r="D35" i="12"/>
  <c r="D39" i="12" s="1"/>
  <c r="E25" i="1"/>
  <c r="C43" i="10"/>
  <c r="D43" i="10"/>
  <c r="E43" i="10"/>
  <c r="F43" i="10"/>
  <c r="G43" i="10"/>
  <c r="H43" i="10"/>
  <c r="I43" i="10"/>
  <c r="B43" i="10"/>
  <c r="E49" i="12" l="1"/>
  <c r="G49" i="12"/>
  <c r="Y7" i="12"/>
  <c r="X10" i="12"/>
  <c r="X16" i="12" s="1"/>
  <c r="X26" i="12" s="1"/>
  <c r="C41" i="12"/>
  <c r="C49" i="12" s="1"/>
  <c r="S19" i="12"/>
  <c r="I47" i="12"/>
  <c r="S43" i="12"/>
  <c r="S47" i="12" s="1"/>
  <c r="Y28" i="12"/>
  <c r="Y35" i="12" s="1"/>
  <c r="F34" i="12"/>
  <c r="P20" i="12"/>
  <c r="U20" i="12"/>
  <c r="V20" i="12" s="1"/>
  <c r="S37" i="12"/>
  <c r="P24" i="12"/>
  <c r="I10" i="12"/>
  <c r="I16" i="12" s="1"/>
  <c r="S7" i="12"/>
  <c r="V19" i="12"/>
  <c r="Y19" i="12"/>
  <c r="Y24" i="12" s="1"/>
  <c r="X24" i="12"/>
  <c r="M34" i="12"/>
  <c r="M35" i="12" s="1"/>
  <c r="M39" i="12" s="1"/>
  <c r="M56" i="12" s="1"/>
  <c r="X34" i="12"/>
  <c r="Y34" i="12" s="1"/>
  <c r="I34" i="12"/>
  <c r="S34" i="12" s="1"/>
  <c r="O56" i="12"/>
  <c r="N47" i="12"/>
  <c r="N56" i="12" s="1"/>
  <c r="S28" i="12"/>
  <c r="S35" i="12" s="1"/>
  <c r="Y37" i="12"/>
  <c r="F24" i="12"/>
  <c r="M58" i="12"/>
  <c r="M10" i="12"/>
  <c r="M16" i="12" s="1"/>
  <c r="M26" i="12" s="1"/>
  <c r="N24" i="12"/>
  <c r="N26" i="12" s="1"/>
  <c r="N41" i="12" s="1"/>
  <c r="N49" i="12" s="1"/>
  <c r="N50" i="12" s="1"/>
  <c r="N58" i="12"/>
  <c r="B49" i="12"/>
  <c r="L47" i="12"/>
  <c r="L56" i="12" s="1"/>
  <c r="I20" i="12"/>
  <c r="S20" i="12" s="1"/>
  <c r="U47" i="12"/>
  <c r="V43" i="12"/>
  <c r="V47" i="12" s="1"/>
  <c r="O24" i="12"/>
  <c r="O26" i="12" s="1"/>
  <c r="O41" i="12" s="1"/>
  <c r="O49" i="12" s="1"/>
  <c r="O50" i="12" s="1"/>
  <c r="O58" i="12"/>
  <c r="Q58" i="12"/>
  <c r="Q24" i="12"/>
  <c r="Q26" i="12" s="1"/>
  <c r="Q41" i="12" s="1"/>
  <c r="Q49" i="12" s="1"/>
  <c r="Q50" i="12" s="1"/>
  <c r="U7" i="12"/>
  <c r="P7" i="12"/>
  <c r="F10" i="12"/>
  <c r="F16" i="12" s="1"/>
  <c r="F26" i="12" s="1"/>
  <c r="D41" i="12"/>
  <c r="D49" i="12" s="1"/>
  <c r="L24" i="12"/>
  <c r="L26" i="12" s="1"/>
  <c r="L41" i="12" s="1"/>
  <c r="L49" i="12" s="1"/>
  <c r="L50" i="12" s="1"/>
  <c r="L58" i="12"/>
  <c r="X47" i="12"/>
  <c r="Y43" i="12"/>
  <c r="Y47" i="12" s="1"/>
  <c r="R41" i="12"/>
  <c r="R49" i="12" s="1"/>
  <c r="R50" i="12" s="1"/>
  <c r="F45" i="1"/>
  <c r="E45" i="1"/>
  <c r="D45" i="1"/>
  <c r="C45" i="1"/>
  <c r="F44" i="1"/>
  <c r="E44" i="1"/>
  <c r="D44" i="1"/>
  <c r="C44" i="1"/>
  <c r="I41" i="10"/>
  <c r="G41" i="10"/>
  <c r="E41" i="10"/>
  <c r="C41" i="10"/>
  <c r="H40" i="10"/>
  <c r="F40" i="10"/>
  <c r="D40" i="10"/>
  <c r="B40" i="10"/>
  <c r="D42" i="1"/>
  <c r="E42" i="1"/>
  <c r="F42" i="1"/>
  <c r="C42" i="1"/>
  <c r="D41" i="1"/>
  <c r="E41" i="1"/>
  <c r="F41" i="1"/>
  <c r="C41" i="1"/>
  <c r="V7" i="12" l="1"/>
  <c r="U10" i="12"/>
  <c r="U16" i="12" s="1"/>
  <c r="U26" i="12" s="1"/>
  <c r="Y39" i="12"/>
  <c r="Y56" i="12" s="1"/>
  <c r="U24" i="12"/>
  <c r="S39" i="12"/>
  <c r="S56" i="12" s="1"/>
  <c r="P34" i="12"/>
  <c r="P35" i="12" s="1"/>
  <c r="P39" i="12" s="1"/>
  <c r="P56" i="12" s="1"/>
  <c r="F35" i="12"/>
  <c r="F39" i="12" s="1"/>
  <c r="F41" i="12" s="1"/>
  <c r="F49" i="12" s="1"/>
  <c r="U34" i="12"/>
  <c r="M41" i="12"/>
  <c r="M49" i="12" s="1"/>
  <c r="M50" i="12" s="1"/>
  <c r="S58" i="12"/>
  <c r="S10" i="12"/>
  <c r="S16" i="12" s="1"/>
  <c r="S26" i="12" s="1"/>
  <c r="S41" i="12" s="1"/>
  <c r="S49" i="12" s="1"/>
  <c r="S50" i="12" s="1"/>
  <c r="I24" i="12"/>
  <c r="I26" i="12" s="1"/>
  <c r="I41" i="12" s="1"/>
  <c r="I49" i="12" s="1"/>
  <c r="P58" i="12"/>
  <c r="P10" i="12"/>
  <c r="P16" i="12" s="1"/>
  <c r="P26" i="12" s="1"/>
  <c r="I35" i="12"/>
  <c r="I39" i="12" s="1"/>
  <c r="K39" i="12" s="1"/>
  <c r="V24" i="12"/>
  <c r="X35" i="12"/>
  <c r="X39" i="12" s="1"/>
  <c r="X41" i="12" s="1"/>
  <c r="X49" i="12" s="1"/>
  <c r="S24" i="12"/>
  <c r="Y58" i="12"/>
  <c r="Y10" i="12"/>
  <c r="Y16" i="12" s="1"/>
  <c r="Y26" i="12" s="1"/>
  <c r="Y41" i="12" s="1"/>
  <c r="Y49" i="12" s="1"/>
  <c r="Y50" i="12" s="1"/>
  <c r="C27" i="10"/>
  <c r="D27" i="10"/>
  <c r="E27" i="10"/>
  <c r="F27" i="10"/>
  <c r="G27" i="10"/>
  <c r="H27" i="10"/>
  <c r="I27" i="10"/>
  <c r="B27" i="10"/>
  <c r="J17" i="10"/>
  <c r="V10" i="12" l="1"/>
  <c r="V16" i="12" s="1"/>
  <c r="V26" i="12" s="1"/>
  <c r="U41" i="12"/>
  <c r="U49" i="12" s="1"/>
  <c r="P41" i="12"/>
  <c r="P49" i="12" s="1"/>
  <c r="P50" i="12" s="1"/>
  <c r="V34" i="12"/>
  <c r="V35" i="12" s="1"/>
  <c r="V39" i="12" s="1"/>
  <c r="V56" i="12" s="1"/>
  <c r="U35" i="12"/>
  <c r="U39" i="12" s="1"/>
  <c r="I28" i="10"/>
  <c r="I37" i="10" s="1"/>
  <c r="C28" i="10"/>
  <c r="C37" i="10" s="1"/>
  <c r="D28" i="10"/>
  <c r="D37" i="10" s="1"/>
  <c r="E28" i="10"/>
  <c r="E37" i="10" s="1"/>
  <c r="F28" i="10"/>
  <c r="F37" i="10" s="1"/>
  <c r="G28" i="10"/>
  <c r="G37" i="10" s="1"/>
  <c r="H28" i="10"/>
  <c r="H37" i="10" s="1"/>
  <c r="B28" i="10"/>
  <c r="B37" i="10" s="1"/>
  <c r="C35" i="10"/>
  <c r="D35" i="10"/>
  <c r="E35" i="10"/>
  <c r="F35" i="10"/>
  <c r="G35" i="10"/>
  <c r="H35" i="10"/>
  <c r="I35" i="10"/>
  <c r="B35" i="10"/>
  <c r="C26" i="10"/>
  <c r="D26" i="10"/>
  <c r="E26" i="10"/>
  <c r="F26" i="10"/>
  <c r="G26" i="10"/>
  <c r="H26" i="10"/>
  <c r="I26" i="10"/>
  <c r="B26" i="10"/>
  <c r="V41" i="12" l="1"/>
  <c r="V49" i="12" s="1"/>
  <c r="V50" i="12" s="1"/>
  <c r="V58" i="12"/>
  <c r="J14" i="10"/>
  <c r="J13" i="10"/>
  <c r="J12" i="10"/>
  <c r="J10" i="10"/>
  <c r="H11" i="10"/>
  <c r="H12" i="10"/>
  <c r="H13" i="10"/>
  <c r="H14" i="10"/>
  <c r="H10" i="10"/>
  <c r="H17" i="10"/>
  <c r="G17" i="10"/>
  <c r="H16" i="10"/>
  <c r="G16" i="10"/>
  <c r="H15" i="10"/>
  <c r="G15" i="10"/>
  <c r="G14" i="10"/>
  <c r="G13" i="10"/>
  <c r="G12" i="10"/>
  <c r="G11" i="10"/>
  <c r="G10" i="10"/>
  <c r="C11" i="1" l="1"/>
  <c r="N55" i="7"/>
  <c r="N13" i="7"/>
  <c r="H33" i="9"/>
  <c r="H34" i="9"/>
  <c r="H35" i="9"/>
  <c r="H36" i="9"/>
  <c r="H17" i="9"/>
  <c r="H18" i="9"/>
  <c r="H19" i="9"/>
  <c r="H20" i="9"/>
  <c r="H21" i="9"/>
  <c r="H22" i="9"/>
  <c r="H23" i="9"/>
  <c r="H24" i="9"/>
  <c r="H45" i="9"/>
  <c r="H39" i="9"/>
  <c r="H38" i="9"/>
  <c r="H32" i="9"/>
  <c r="H30" i="9"/>
  <c r="H28" i="9"/>
  <c r="H26" i="9"/>
  <c r="H15" i="9"/>
  <c r="H13" i="9"/>
  <c r="G33" i="9"/>
  <c r="G34" i="9"/>
  <c r="G35" i="9"/>
  <c r="G36" i="9"/>
  <c r="G18" i="9"/>
  <c r="G19" i="9"/>
  <c r="G20" i="9"/>
  <c r="G21" i="9"/>
  <c r="G22" i="9"/>
  <c r="G23" i="9"/>
  <c r="G24" i="9"/>
  <c r="G42" i="9"/>
  <c r="G43" i="9"/>
  <c r="G41" i="9"/>
  <c r="G38" i="9"/>
  <c r="G32" i="9"/>
  <c r="G30" i="9"/>
  <c r="G28" i="9"/>
  <c r="G26" i="9"/>
  <c r="G17" i="9"/>
  <c r="G15" i="9"/>
  <c r="G13" i="9"/>
  <c r="H11" i="9"/>
  <c r="G11" i="9"/>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51" i="8"/>
  <c r="E34" i="8"/>
  <c r="E35" i="8"/>
  <c r="E36" i="8"/>
  <c r="E37" i="8"/>
  <c r="E38" i="8"/>
  <c r="E39" i="8"/>
  <c r="E40" i="8"/>
  <c r="E41" i="8"/>
  <c r="E42" i="8"/>
  <c r="E43" i="8"/>
  <c r="E44" i="8"/>
  <c r="E45" i="8"/>
  <c r="E46" i="8"/>
  <c r="E47" i="8"/>
  <c r="E48" i="8"/>
  <c r="E49" i="8"/>
  <c r="E50" i="8"/>
  <c r="E10" i="8"/>
  <c r="E11" i="8"/>
  <c r="E12" i="8"/>
  <c r="E13" i="8"/>
  <c r="E14" i="8"/>
  <c r="E15" i="8"/>
  <c r="E16" i="8"/>
  <c r="E17" i="8"/>
  <c r="E18" i="8"/>
  <c r="E19" i="8"/>
  <c r="E20" i="8"/>
  <c r="E21" i="8"/>
  <c r="E22" i="8"/>
  <c r="E23" i="8"/>
  <c r="E24" i="8"/>
  <c r="E25" i="8"/>
  <c r="E26" i="8"/>
  <c r="E27" i="8"/>
  <c r="E28" i="8"/>
  <c r="E29" i="8"/>
  <c r="E30" i="8"/>
  <c r="E31" i="8"/>
  <c r="E32" i="8"/>
  <c r="E33" i="8"/>
  <c r="E9" i="8"/>
  <c r="N27" i="7" l="1"/>
  <c r="G7" i="7" l="1"/>
  <c r="H7" i="7"/>
  <c r="R7" i="7"/>
  <c r="E8" i="7"/>
  <c r="G8" i="7"/>
  <c r="I8" i="7"/>
  <c r="U8" i="7"/>
  <c r="X8" i="7"/>
  <c r="G9" i="7"/>
  <c r="F11" i="7"/>
  <c r="I11" i="7" s="1"/>
  <c r="G11" i="7"/>
  <c r="M11" i="7"/>
  <c r="Q11" i="7"/>
  <c r="U11" i="7"/>
  <c r="X11" i="7"/>
  <c r="G13" i="7"/>
  <c r="I16" i="7"/>
  <c r="O16" i="7"/>
  <c r="U16" i="7"/>
  <c r="X16" i="7"/>
  <c r="B18" i="7"/>
  <c r="E18" i="7"/>
  <c r="G18" i="7"/>
  <c r="H18" i="7"/>
  <c r="M18" i="7"/>
  <c r="U18" i="7"/>
  <c r="X18" i="7"/>
  <c r="I19" i="7"/>
  <c r="U19" i="7"/>
  <c r="X19" i="7"/>
  <c r="I21" i="7"/>
  <c r="U21" i="7"/>
  <c r="X21" i="7"/>
  <c r="D27" i="7"/>
  <c r="G27" i="7"/>
  <c r="E29" i="7"/>
  <c r="O29" i="7" s="1"/>
  <c r="G29" i="7"/>
  <c r="G30" i="7"/>
  <c r="G31" i="7"/>
  <c r="C32" i="7"/>
  <c r="M32" i="7" s="1"/>
  <c r="G32" i="7"/>
  <c r="Q32" i="7"/>
  <c r="G33" i="7"/>
  <c r="Q33" i="7"/>
  <c r="G34" i="7"/>
  <c r="G38" i="7" s="1"/>
  <c r="C36" i="7"/>
  <c r="M36" i="7"/>
  <c r="Q36" i="7"/>
  <c r="H36" i="7" s="1"/>
  <c r="R36" i="7"/>
  <c r="K42" i="7"/>
  <c r="K43" i="7"/>
  <c r="K45" i="7"/>
  <c r="I51" i="7"/>
  <c r="I53" i="7" s="1"/>
  <c r="I52" i="7"/>
  <c r="U52" i="7"/>
  <c r="B53" i="7"/>
  <c r="L11" i="7" s="1"/>
  <c r="C53" i="7"/>
  <c r="D53" i="7"/>
  <c r="E53" i="7"/>
  <c r="E36" i="7" s="1"/>
  <c r="F53" i="7"/>
  <c r="G53" i="7"/>
  <c r="H53" i="7"/>
  <c r="U53" i="7"/>
  <c r="V11" i="7" s="1"/>
  <c r="O36" i="7" l="1"/>
  <c r="S21" i="7"/>
  <c r="C20" i="7"/>
  <c r="M20" i="7" s="1"/>
  <c r="G20" i="7"/>
  <c r="Q20" i="7" s="1"/>
  <c r="D20" i="7"/>
  <c r="H20" i="7"/>
  <c r="E20" i="7"/>
  <c r="O20" i="7" s="1"/>
  <c r="D42" i="7"/>
  <c r="H42" i="7"/>
  <c r="C43" i="7"/>
  <c r="M43" i="7" s="1"/>
  <c r="G43" i="7"/>
  <c r="Q43" i="7" s="1"/>
  <c r="B44" i="7"/>
  <c r="F44" i="7"/>
  <c r="P44" i="7" s="1"/>
  <c r="B45" i="7"/>
  <c r="F45" i="7"/>
  <c r="P45" i="7" s="1"/>
  <c r="F20" i="7"/>
  <c r="P20" i="7" s="1"/>
  <c r="F42" i="7"/>
  <c r="F43" i="7"/>
  <c r="P43" i="7" s="1"/>
  <c r="G44" i="7"/>
  <c r="Q44" i="7" s="1"/>
  <c r="C45" i="7"/>
  <c r="M45" i="7" s="1"/>
  <c r="H45" i="7"/>
  <c r="R45" i="7" s="1"/>
  <c r="G42" i="7"/>
  <c r="H43" i="7"/>
  <c r="R43" i="7" s="1"/>
  <c r="H44" i="7"/>
  <c r="R44" i="7" s="1"/>
  <c r="B20" i="7"/>
  <c r="C42" i="7"/>
  <c r="S8" i="7"/>
  <c r="E42" i="7"/>
  <c r="G45" i="7"/>
  <c r="Q45" i="7" s="1"/>
  <c r="S16" i="7"/>
  <c r="B42" i="7"/>
  <c r="B43" i="7"/>
  <c r="C44" i="7"/>
  <c r="M44" i="7" s="1"/>
  <c r="D45" i="7"/>
  <c r="S19" i="7"/>
  <c r="D43" i="7"/>
  <c r="D44" i="7"/>
  <c r="E45" i="7"/>
  <c r="O45" i="7" s="1"/>
  <c r="E43" i="7"/>
  <c r="O43" i="7" s="1"/>
  <c r="E44" i="7"/>
  <c r="O44" i="7" s="1"/>
  <c r="F7" i="7"/>
  <c r="P21" i="7"/>
  <c r="F27" i="7"/>
  <c r="F28" i="7"/>
  <c r="P28" i="7" s="1"/>
  <c r="P8" i="7"/>
  <c r="P11" i="7"/>
  <c r="F32" i="7"/>
  <c r="P32" i="7" s="1"/>
  <c r="F29" i="7"/>
  <c r="P29" i="7" s="1"/>
  <c r="X52" i="7"/>
  <c r="X53" i="7" s="1"/>
  <c r="R9" i="7"/>
  <c r="R11" i="7"/>
  <c r="R13" i="7" s="1"/>
  <c r="R18" i="7"/>
  <c r="R8" i="7"/>
  <c r="R16" i="7"/>
  <c r="R19" i="7"/>
  <c r="R21" i="7"/>
  <c r="N11" i="7"/>
  <c r="N18" i="7"/>
  <c r="N8" i="7"/>
  <c r="N16" i="7"/>
  <c r="D17" i="7"/>
  <c r="N19" i="7"/>
  <c r="D29" i="7"/>
  <c r="D30" i="7"/>
  <c r="D31" i="7"/>
  <c r="D32" i="7"/>
  <c r="D28" i="7"/>
  <c r="D36" i="7"/>
  <c r="H32" i="7"/>
  <c r="R32" i="7" s="1"/>
  <c r="P19" i="7"/>
  <c r="V18" i="7"/>
  <c r="B17" i="7"/>
  <c r="H9" i="7"/>
  <c r="H13" i="7" s="1"/>
  <c r="H33" i="7"/>
  <c r="R33" i="7" s="1"/>
  <c r="B7" i="7"/>
  <c r="L21" i="7"/>
  <c r="B27" i="7"/>
  <c r="B28" i="7"/>
  <c r="L16" i="7"/>
  <c r="L18" i="7"/>
  <c r="L19" i="7"/>
  <c r="B30" i="7"/>
  <c r="L8" i="7"/>
  <c r="B31" i="7"/>
  <c r="B36" i="7"/>
  <c r="B32" i="7"/>
  <c r="Y21" i="7"/>
  <c r="P18" i="7"/>
  <c r="I18" i="7"/>
  <c r="S18" i="7" s="1"/>
  <c r="O18" i="7"/>
  <c r="O11" i="7"/>
  <c r="E17" i="7"/>
  <c r="E31" i="7"/>
  <c r="O31" i="7" s="1"/>
  <c r="O21" i="7"/>
  <c r="E27" i="7"/>
  <c r="E28" i="7"/>
  <c r="O28" i="7" s="1"/>
  <c r="E30" i="7"/>
  <c r="O30" i="7" s="1"/>
  <c r="E32" i="7"/>
  <c r="O32" i="7" s="1"/>
  <c r="E7" i="7"/>
  <c r="O8" i="7"/>
  <c r="F36" i="7"/>
  <c r="F30" i="7"/>
  <c r="P30" i="7" s="1"/>
  <c r="B29" i="7"/>
  <c r="V21" i="7"/>
  <c r="Y18" i="7"/>
  <c r="F31" i="7"/>
  <c r="P31" i="7" s="1"/>
  <c r="N21" i="7"/>
  <c r="O19" i="7"/>
  <c r="R17" i="7"/>
  <c r="P16" i="7"/>
  <c r="V8" i="7"/>
  <c r="Q8" i="7"/>
  <c r="Q16" i="7"/>
  <c r="Q19" i="7"/>
  <c r="Q28" i="7"/>
  <c r="H28" i="7" s="1"/>
  <c r="R28" i="7" s="1"/>
  <c r="Q29" i="7"/>
  <c r="H29" i="7" s="1"/>
  <c r="R29" i="7" s="1"/>
  <c r="Q30" i="7"/>
  <c r="H30" i="7" s="1"/>
  <c r="R30" i="7" s="1"/>
  <c r="Q7" i="7"/>
  <c r="Q21" i="7"/>
  <c r="Q27" i="7"/>
  <c r="Q17" i="7"/>
  <c r="Q31" i="7"/>
  <c r="H31" i="7" s="1"/>
  <c r="R31" i="7" s="1"/>
  <c r="M8" i="7"/>
  <c r="M16" i="7"/>
  <c r="C17" i="7"/>
  <c r="M19" i="7"/>
  <c r="C29" i="7"/>
  <c r="M29" i="7" s="1"/>
  <c r="C30" i="7"/>
  <c r="M30" i="7" s="1"/>
  <c r="C31" i="7"/>
  <c r="M31" i="7" s="1"/>
  <c r="C7" i="7"/>
  <c r="M21" i="7"/>
  <c r="C27" i="7"/>
  <c r="C28" i="7"/>
  <c r="M28" i="7" s="1"/>
  <c r="Q18" i="7"/>
  <c r="V19" i="7"/>
  <c r="V16" i="7"/>
  <c r="Y11" i="7"/>
  <c r="S11" i="7"/>
  <c r="C21" i="1"/>
  <c r="C23" i="1"/>
  <c r="C25" i="1" s="1"/>
  <c r="C22" i="7" l="1"/>
  <c r="C33" i="7"/>
  <c r="M33" i="7" s="1"/>
  <c r="M17" i="7"/>
  <c r="M22" i="7" s="1"/>
  <c r="Q22" i="7"/>
  <c r="X29" i="7"/>
  <c r="Y29" i="7" s="1"/>
  <c r="I29" i="7"/>
  <c r="S29" i="7" s="1"/>
  <c r="L29" i="7"/>
  <c r="O7" i="7"/>
  <c r="O9" i="7" s="1"/>
  <c r="E9" i="7"/>
  <c r="E13" i="7" s="1"/>
  <c r="O27" i="7"/>
  <c r="E34" i="7"/>
  <c r="E38" i="7" s="1"/>
  <c r="O13" i="7"/>
  <c r="X31" i="7"/>
  <c r="Y31" i="7" s="1"/>
  <c r="L31" i="7"/>
  <c r="I31" i="7"/>
  <c r="S31" i="7" s="1"/>
  <c r="B22" i="7"/>
  <c r="L17" i="7"/>
  <c r="X17" i="7"/>
  <c r="U36" i="7"/>
  <c r="N36" i="7"/>
  <c r="N30" i="7"/>
  <c r="U30" i="7"/>
  <c r="V30" i="7" s="1"/>
  <c r="U43" i="7"/>
  <c r="V43" i="7" s="1"/>
  <c r="N43" i="7"/>
  <c r="L43" i="7"/>
  <c r="X43" i="7"/>
  <c r="Y43" i="7" s="1"/>
  <c r="I43" i="7"/>
  <c r="S43" i="7" s="1"/>
  <c r="E46" i="7"/>
  <c r="O42" i="7"/>
  <c r="O46" i="7" s="1"/>
  <c r="L44" i="7"/>
  <c r="I44" i="7"/>
  <c r="S44" i="7" s="1"/>
  <c r="X44" i="7"/>
  <c r="Y44" i="7" s="1"/>
  <c r="U42" i="7"/>
  <c r="D46" i="7"/>
  <c r="N42" i="7"/>
  <c r="M27" i="7"/>
  <c r="M34" i="7" s="1"/>
  <c r="M38" i="7" s="1"/>
  <c r="C34" i="7"/>
  <c r="C38" i="7" s="1"/>
  <c r="H27" i="7"/>
  <c r="Q34" i="7"/>
  <c r="Q38" i="7" s="1"/>
  <c r="Q55" i="7" s="1"/>
  <c r="L7" i="7"/>
  <c r="L9" i="7" s="1"/>
  <c r="L13" i="7" s="1"/>
  <c r="B33" i="7"/>
  <c r="B9" i="7"/>
  <c r="B13" i="7" s="1"/>
  <c r="B24" i="7" s="1"/>
  <c r="N28" i="7"/>
  <c r="U28" i="7"/>
  <c r="V28" i="7" s="1"/>
  <c r="P27" i="7"/>
  <c r="G22" i="7"/>
  <c r="G24" i="7" s="1"/>
  <c r="G40" i="7" s="1"/>
  <c r="P36" i="7"/>
  <c r="X30" i="7"/>
  <c r="Y30" i="7" s="1"/>
  <c r="I30" i="7"/>
  <c r="S30" i="7" s="1"/>
  <c r="L30" i="7"/>
  <c r="X28" i="7"/>
  <c r="Y28" i="7" s="1"/>
  <c r="I28" i="7"/>
  <c r="S28" i="7" s="1"/>
  <c r="L28" i="7"/>
  <c r="N32" i="7"/>
  <c r="U32" i="7"/>
  <c r="V32" i="7" s="1"/>
  <c r="U45" i="7"/>
  <c r="V45" i="7" s="1"/>
  <c r="N45" i="7"/>
  <c r="M42" i="7"/>
  <c r="M46" i="7" s="1"/>
  <c r="C46" i="7"/>
  <c r="Q42" i="7"/>
  <c r="Q46" i="7" s="1"/>
  <c r="G46" i="7"/>
  <c r="I45" i="7"/>
  <c r="S45" i="7" s="1"/>
  <c r="X45" i="7"/>
  <c r="Y45" i="7" s="1"/>
  <c r="L45" i="7"/>
  <c r="R20" i="7"/>
  <c r="R22" i="7" s="1"/>
  <c r="R24" i="7" s="1"/>
  <c r="H22" i="7"/>
  <c r="X32" i="7"/>
  <c r="Y32" i="7" s="1"/>
  <c r="I32" i="7"/>
  <c r="S32" i="7" s="1"/>
  <c r="L32" i="7"/>
  <c r="N29" i="7"/>
  <c r="U29" i="7"/>
  <c r="V29" i="7" s="1"/>
  <c r="L42" i="7"/>
  <c r="L46" i="7" s="1"/>
  <c r="X42" i="7"/>
  <c r="I42" i="7"/>
  <c r="B46" i="7"/>
  <c r="C9" i="7"/>
  <c r="C13" i="7" s="1"/>
  <c r="C24" i="7" s="1"/>
  <c r="C40" i="7" s="1"/>
  <c r="C48" i="7" s="1"/>
  <c r="M7" i="7"/>
  <c r="M9" i="7" s="1"/>
  <c r="M13" i="7" s="1"/>
  <c r="D7" i="7"/>
  <c r="Q9" i="7"/>
  <c r="Q13" i="7" s="1"/>
  <c r="Q24" i="7" s="1"/>
  <c r="O17" i="7"/>
  <c r="O22" i="7" s="1"/>
  <c r="F17" i="7"/>
  <c r="E22" i="7"/>
  <c r="E33" i="7"/>
  <c r="O33" i="7" s="1"/>
  <c r="I36" i="7"/>
  <c r="X36" i="7"/>
  <c r="L36" i="7"/>
  <c r="L27" i="7"/>
  <c r="X27" i="7"/>
  <c r="I27" i="7"/>
  <c r="B34" i="7"/>
  <c r="B38" i="7" s="1"/>
  <c r="H24" i="7"/>
  <c r="N31" i="7"/>
  <c r="U31" i="7"/>
  <c r="V31" i="7" s="1"/>
  <c r="U17" i="7"/>
  <c r="D33" i="7"/>
  <c r="D34" i="7" s="1"/>
  <c r="D38" i="7" s="1"/>
  <c r="D22" i="7"/>
  <c r="N17" i="7"/>
  <c r="N22" i="7" s="1"/>
  <c r="Y8" i="7"/>
  <c r="Y16" i="7"/>
  <c r="Y19" i="7"/>
  <c r="U27" i="7"/>
  <c r="P7" i="7"/>
  <c r="P9" i="7" s="1"/>
  <c r="P13" i="7" s="1"/>
  <c r="F9" i="7"/>
  <c r="F13" i="7" s="1"/>
  <c r="U44" i="7"/>
  <c r="V44" i="7" s="1"/>
  <c r="N44" i="7"/>
  <c r="X20" i="7"/>
  <c r="Y20" i="7" s="1"/>
  <c r="L20" i="7"/>
  <c r="L22" i="7" s="1"/>
  <c r="I20" i="7"/>
  <c r="S20" i="7" s="1"/>
  <c r="F46" i="7"/>
  <c r="P42" i="7"/>
  <c r="P46" i="7" s="1"/>
  <c r="R42" i="7"/>
  <c r="R46" i="7" s="1"/>
  <c r="H46" i="7"/>
  <c r="N20" i="7"/>
  <c r="U20" i="7"/>
  <c r="V20" i="7" s="1"/>
  <c r="C4" i="6"/>
  <c r="F4" i="6" s="1"/>
  <c r="C5" i="6"/>
  <c r="F5" i="6" s="1"/>
  <c r="C6" i="6"/>
  <c r="F6" i="6" s="1"/>
  <c r="C7" i="6"/>
  <c r="F7" i="6"/>
  <c r="C8" i="6"/>
  <c r="F8" i="6" s="1"/>
  <c r="C9" i="6"/>
  <c r="F9" i="6" s="1"/>
  <c r="C10" i="6"/>
  <c r="F10" i="6" s="1"/>
  <c r="F11" i="6"/>
  <c r="C12" i="6"/>
  <c r="F12" i="6" s="1"/>
  <c r="C13" i="6"/>
  <c r="F13" i="6" s="1"/>
  <c r="C14" i="6"/>
  <c r="F14" i="6" s="1"/>
  <c r="C15" i="6"/>
  <c r="F15" i="6" s="1"/>
  <c r="B16" i="6"/>
  <c r="D16" i="6"/>
  <c r="E16" i="6"/>
  <c r="C21" i="6"/>
  <c r="F21" i="6" s="1"/>
  <c r="C22" i="6"/>
  <c r="F22" i="6" s="1"/>
  <c r="C23" i="6"/>
  <c r="F23" i="6" s="1"/>
  <c r="C24" i="6"/>
  <c r="F24" i="6"/>
  <c r="C25" i="6"/>
  <c r="F25" i="6" s="1"/>
  <c r="C26" i="6"/>
  <c r="F26" i="6" s="1"/>
  <c r="C27" i="6"/>
  <c r="F27" i="6" s="1"/>
  <c r="C28" i="6"/>
  <c r="F28" i="6" s="1"/>
  <c r="C29" i="6"/>
  <c r="F29" i="6" s="1"/>
  <c r="C30" i="6"/>
  <c r="F30" i="6" s="1"/>
  <c r="C31" i="6"/>
  <c r="F31" i="6" s="1"/>
  <c r="C32" i="6"/>
  <c r="F32" i="6" s="1"/>
  <c r="B33" i="6"/>
  <c r="D33" i="6"/>
  <c r="E33" i="6"/>
  <c r="C39" i="6"/>
  <c r="F39" i="6" s="1"/>
  <c r="C40" i="6"/>
  <c r="F40" i="6"/>
  <c r="C41" i="6"/>
  <c r="F41" i="6" s="1"/>
  <c r="C42" i="6"/>
  <c r="F42" i="6" s="1"/>
  <c r="C43" i="6"/>
  <c r="F43" i="6" s="1"/>
  <c r="C44" i="6"/>
  <c r="F44" i="6" s="1"/>
  <c r="C45" i="6"/>
  <c r="F45" i="6" s="1"/>
  <c r="C46" i="6"/>
  <c r="F46" i="6" s="1"/>
  <c r="C47" i="6"/>
  <c r="F47" i="6" s="1"/>
  <c r="C48" i="6"/>
  <c r="F48" i="6"/>
  <c r="C49" i="6"/>
  <c r="F49" i="6" s="1"/>
  <c r="C50" i="6"/>
  <c r="F50" i="6" s="1"/>
  <c r="B51" i="6"/>
  <c r="D51" i="6"/>
  <c r="E51" i="6"/>
  <c r="C4" i="5"/>
  <c r="F4" i="5" s="1"/>
  <c r="C5" i="5"/>
  <c r="F5" i="5" s="1"/>
  <c r="C6" i="5"/>
  <c r="F6" i="5" s="1"/>
  <c r="C7" i="5"/>
  <c r="F7" i="5" s="1"/>
  <c r="C8" i="5"/>
  <c r="F8" i="5" s="1"/>
  <c r="C9" i="5"/>
  <c r="F9" i="5" s="1"/>
  <c r="C10" i="5"/>
  <c r="F10" i="5" s="1"/>
  <c r="F11" i="5"/>
  <c r="C12" i="5"/>
  <c r="F12" i="5" s="1"/>
  <c r="C13" i="5"/>
  <c r="F13" i="5"/>
  <c r="C14" i="5"/>
  <c r="F14" i="5" s="1"/>
  <c r="C15" i="5"/>
  <c r="F15" i="5" s="1"/>
  <c r="B16" i="5"/>
  <c r="D16" i="5"/>
  <c r="E16" i="5"/>
  <c r="C21" i="5"/>
  <c r="F21" i="5" s="1"/>
  <c r="C22" i="5"/>
  <c r="F22" i="5"/>
  <c r="C23" i="5"/>
  <c r="F23" i="5" s="1"/>
  <c r="C24" i="5"/>
  <c r="F24" i="5" s="1"/>
  <c r="C25" i="5"/>
  <c r="F25" i="5" s="1"/>
  <c r="C26" i="5"/>
  <c r="F26" i="5" s="1"/>
  <c r="C27" i="5"/>
  <c r="F27" i="5" s="1"/>
  <c r="C28" i="5"/>
  <c r="F28" i="5" s="1"/>
  <c r="C29" i="5"/>
  <c r="F29" i="5" s="1"/>
  <c r="C30" i="5"/>
  <c r="F30" i="5" s="1"/>
  <c r="C31" i="5"/>
  <c r="F31" i="5" s="1"/>
  <c r="C32" i="5"/>
  <c r="F32" i="5" s="1"/>
  <c r="B33" i="5"/>
  <c r="D33" i="5"/>
  <c r="E33" i="5"/>
  <c r="C38" i="5"/>
  <c r="F38" i="5" s="1"/>
  <c r="C39" i="5"/>
  <c r="F39" i="5" s="1"/>
  <c r="C40" i="5"/>
  <c r="F40" i="5" s="1"/>
  <c r="C41" i="5"/>
  <c r="F41" i="5" s="1"/>
  <c r="C42" i="5"/>
  <c r="F42" i="5" s="1"/>
  <c r="C43" i="5"/>
  <c r="F43" i="5" s="1"/>
  <c r="C44" i="5"/>
  <c r="F44" i="5" s="1"/>
  <c r="C45" i="5"/>
  <c r="F45" i="5" s="1"/>
  <c r="C46" i="5"/>
  <c r="F46" i="5" s="1"/>
  <c r="C47" i="5"/>
  <c r="F47" i="5" s="1"/>
  <c r="C48" i="5"/>
  <c r="F48" i="5" s="1"/>
  <c r="C49" i="5"/>
  <c r="F49" i="5" s="1"/>
  <c r="B50" i="5"/>
  <c r="D50" i="5"/>
  <c r="E50" i="5"/>
  <c r="U7" i="7" l="1"/>
  <c r="D9" i="7"/>
  <c r="D13" i="7" s="1"/>
  <c r="D24" i="7" s="1"/>
  <c r="D40" i="7" s="1"/>
  <c r="D48" i="7" s="1"/>
  <c r="N7" i="7"/>
  <c r="N9" i="7" s="1"/>
  <c r="N24" i="7" s="1"/>
  <c r="B40" i="7"/>
  <c r="B48" i="7" s="1"/>
  <c r="Y17" i="7"/>
  <c r="X22" i="7"/>
  <c r="V27" i="7"/>
  <c r="M24" i="7"/>
  <c r="M40" i="7" s="1"/>
  <c r="M48" i="7" s="1"/>
  <c r="M49" i="7" s="1"/>
  <c r="G48" i="7"/>
  <c r="X33" i="7"/>
  <c r="Y33" i="7" s="1"/>
  <c r="L33" i="7"/>
  <c r="I33" i="7"/>
  <c r="S33" i="7" s="1"/>
  <c r="R27" i="7"/>
  <c r="R34" i="7" s="1"/>
  <c r="R38" i="7" s="1"/>
  <c r="R55" i="7" s="1"/>
  <c r="H34" i="7"/>
  <c r="H38" i="7" s="1"/>
  <c r="H40" i="7" s="1"/>
  <c r="H48" i="7" s="1"/>
  <c r="N46" i="7"/>
  <c r="O34" i="7"/>
  <c r="O38" i="7" s="1"/>
  <c r="O55" i="7" s="1"/>
  <c r="L34" i="7"/>
  <c r="L38" i="7" s="1"/>
  <c r="L55" i="7" s="1"/>
  <c r="V17" i="7"/>
  <c r="V22" i="7" s="1"/>
  <c r="U22" i="7"/>
  <c r="I34" i="7"/>
  <c r="I38" i="7" s="1"/>
  <c r="K38" i="7" s="1"/>
  <c r="S27" i="7"/>
  <c r="S34" i="7" s="1"/>
  <c r="I46" i="7"/>
  <c r="S42" i="7"/>
  <c r="S46" i="7" s="1"/>
  <c r="I7" i="7"/>
  <c r="V36" i="7"/>
  <c r="E24" i="7"/>
  <c r="E40" i="7" s="1"/>
  <c r="E48" i="7" s="1"/>
  <c r="N33" i="7"/>
  <c r="N34" i="7" s="1"/>
  <c r="N38" i="7" s="1"/>
  <c r="U33" i="7"/>
  <c r="V33" i="7" s="1"/>
  <c r="S36" i="7"/>
  <c r="M55" i="7"/>
  <c r="Y22" i="7"/>
  <c r="Y27" i="7"/>
  <c r="Y34" i="7" s="1"/>
  <c r="Y36" i="7"/>
  <c r="F22" i="7"/>
  <c r="F24" i="7" s="1"/>
  <c r="P17" i="7"/>
  <c r="P22" i="7" s="1"/>
  <c r="P24" i="7" s="1"/>
  <c r="F33" i="7"/>
  <c r="Q40" i="7"/>
  <c r="Q48" i="7" s="1"/>
  <c r="Q49" i="7" s="1"/>
  <c r="Y42" i="7"/>
  <c r="Y46" i="7" s="1"/>
  <c r="X46" i="7"/>
  <c r="X7" i="7"/>
  <c r="L24" i="7"/>
  <c r="V42" i="7"/>
  <c r="V46" i="7" s="1"/>
  <c r="U46" i="7"/>
  <c r="I17" i="7"/>
  <c r="O24" i="7"/>
  <c r="O40" i="7" s="1"/>
  <c r="O48" i="7" s="1"/>
  <c r="O49" i="7" s="1"/>
  <c r="F51" i="6"/>
  <c r="F33" i="6"/>
  <c r="F16" i="6"/>
  <c r="F50" i="5"/>
  <c r="F33" i="5"/>
  <c r="F16" i="5"/>
  <c r="D18" i="1"/>
  <c r="E18" i="1"/>
  <c r="F18" i="1"/>
  <c r="C18" i="1"/>
  <c r="L40" i="7" l="1"/>
  <c r="L48" i="7" s="1"/>
  <c r="L49" i="7" s="1"/>
  <c r="X34" i="7"/>
  <c r="X38" i="7" s="1"/>
  <c r="S7" i="7"/>
  <c r="S9" i="7" s="1"/>
  <c r="S13" i="7" s="1"/>
  <c r="I9" i="7"/>
  <c r="I13" i="7" s="1"/>
  <c r="V34" i="7"/>
  <c r="V38" i="7" s="1"/>
  <c r="V55" i="7" s="1"/>
  <c r="N40" i="7"/>
  <c r="N48" i="7" s="1"/>
  <c r="N49" i="7" s="1"/>
  <c r="X9" i="7"/>
  <c r="X13" i="7" s="1"/>
  <c r="X24" i="7" s="1"/>
  <c r="X40" i="7" s="1"/>
  <c r="X48" i="7" s="1"/>
  <c r="Y7" i="7"/>
  <c r="Y9" i="7" s="1"/>
  <c r="Y13" i="7" s="1"/>
  <c r="Y24" i="7" s="1"/>
  <c r="R40" i="7"/>
  <c r="R48" i="7" s="1"/>
  <c r="R49" i="7" s="1"/>
  <c r="U34" i="7"/>
  <c r="U38" i="7" s="1"/>
  <c r="S17" i="7"/>
  <c r="S22" i="7" s="1"/>
  <c r="I22" i="7"/>
  <c r="P33" i="7"/>
  <c r="P34" i="7" s="1"/>
  <c r="P38" i="7" s="1"/>
  <c r="P55" i="7" s="1"/>
  <c r="F34" i="7"/>
  <c r="F38" i="7" s="1"/>
  <c r="F40" i="7" s="1"/>
  <c r="F48" i="7" s="1"/>
  <c r="Y38" i="7"/>
  <c r="Y55" i="7" s="1"/>
  <c r="S38" i="7"/>
  <c r="S55" i="7" s="1"/>
  <c r="V7" i="7"/>
  <c r="V9" i="7" s="1"/>
  <c r="V13" i="7" s="1"/>
  <c r="V24" i="7" s="1"/>
  <c r="U9" i="7"/>
  <c r="U13" i="7" s="1"/>
  <c r="U24" i="7" s="1"/>
  <c r="U40" i="7" s="1"/>
  <c r="U48" i="7" s="1"/>
  <c r="D11" i="1"/>
  <c r="D13" i="1" s="1"/>
  <c r="E11" i="1"/>
  <c r="E13" i="1" s="1"/>
  <c r="F11" i="1"/>
  <c r="F13" i="1" s="1"/>
  <c r="Y40" i="7" l="1"/>
  <c r="Y48" i="7" s="1"/>
  <c r="Y49" i="7" s="1"/>
  <c r="I24" i="7"/>
  <c r="I40" i="7" s="1"/>
  <c r="I48" i="7" s="1"/>
  <c r="S24" i="7"/>
  <c r="S40" i="7" s="1"/>
  <c r="S48" i="7" s="1"/>
  <c r="S49" i="7" s="1"/>
  <c r="V40" i="7"/>
  <c r="V48" i="7" s="1"/>
  <c r="V49" i="7" s="1"/>
  <c r="P40" i="7"/>
  <c r="P48" i="7" s="1"/>
  <c r="P49" i="7" s="1"/>
  <c r="F22" i="1"/>
  <c r="F32" i="1" s="1"/>
  <c r="F21" i="1"/>
  <c r="E22" i="1"/>
  <c r="E21" i="1"/>
  <c r="E29" i="1" s="1"/>
  <c r="D22" i="1"/>
  <c r="D21" i="1"/>
  <c r="D29" i="1" s="1"/>
  <c r="E23" i="1" l="1"/>
  <c r="E32" i="1"/>
  <c r="F29" i="1"/>
  <c r="F23" i="1"/>
  <c r="D23" i="1"/>
  <c r="D32" i="1"/>
  <c r="C13" i="1"/>
  <c r="C22" i="1" l="1"/>
  <c r="C32" i="1" s="1"/>
  <c r="C29" i="1" l="1"/>
</calcChain>
</file>

<file path=xl/comments1.xml><?xml version="1.0" encoding="utf-8"?>
<comments xmlns="http://schemas.openxmlformats.org/spreadsheetml/2006/main">
  <authors>
    <author>Johnson, Carla</author>
  </authors>
  <commentList>
    <comment ref="B3" authorId="0">
      <text>
        <r>
          <rPr>
            <b/>
            <sz val="9"/>
            <color indexed="81"/>
            <rFont val="Tahoma"/>
            <family val="2"/>
          </rPr>
          <t>Johnson, Carla:</t>
        </r>
        <r>
          <rPr>
            <sz val="9"/>
            <color indexed="81"/>
            <rFont val="Tahoma"/>
            <family val="2"/>
          </rPr>
          <t xml:space="preserve">
Eastside Recycle Credits/Summary Tab/Recycle Value Per Ton column B</t>
        </r>
      </text>
    </comment>
    <comment ref="D3" authorId="0">
      <text>
        <r>
          <rPr>
            <b/>
            <sz val="9"/>
            <color indexed="81"/>
            <rFont val="Tahoma"/>
            <family val="2"/>
          </rPr>
          <t>Johnson, Carla:</t>
        </r>
        <r>
          <rPr>
            <sz val="9"/>
            <color indexed="81"/>
            <rFont val="Tahoma"/>
            <family val="2"/>
          </rPr>
          <t xml:space="preserve">
from Tons Master file/Resi counts tab/MSW Total</t>
        </r>
      </text>
    </comment>
    <comment ref="D20" authorId="0">
      <text>
        <r>
          <rPr>
            <b/>
            <sz val="9"/>
            <color indexed="81"/>
            <rFont val="Tahoma"/>
            <family val="2"/>
          </rPr>
          <t>Johnson, Carla:</t>
        </r>
        <r>
          <rPr>
            <sz val="9"/>
            <color indexed="81"/>
            <rFont val="Tahoma"/>
            <family val="2"/>
          </rPr>
          <t xml:space="preserve">
from Tons Master file/Resi counts tab/MSW Total</t>
        </r>
      </text>
    </comment>
    <comment ref="D37" authorId="0">
      <text>
        <r>
          <rPr>
            <b/>
            <sz val="9"/>
            <color indexed="81"/>
            <rFont val="Tahoma"/>
            <family val="2"/>
          </rPr>
          <t>Johnson, Carla:</t>
        </r>
        <r>
          <rPr>
            <sz val="9"/>
            <color indexed="81"/>
            <rFont val="Tahoma"/>
            <family val="2"/>
          </rPr>
          <t xml:space="preserve">
from Tons Master file/Resi counts tab/MSW Total</t>
        </r>
      </text>
    </comment>
  </commentList>
</comments>
</file>

<file path=xl/comments2.xml><?xml version="1.0" encoding="utf-8"?>
<comments xmlns="http://schemas.openxmlformats.org/spreadsheetml/2006/main">
  <authors>
    <author>Johnson, Carla</author>
  </authors>
  <commentList>
    <comment ref="D20" authorId="0">
      <text>
        <r>
          <rPr>
            <b/>
            <sz val="9"/>
            <color indexed="81"/>
            <rFont val="Tahoma"/>
            <family val="2"/>
          </rPr>
          <t>Johnson, Carla:</t>
        </r>
        <r>
          <rPr>
            <sz val="9"/>
            <color indexed="81"/>
            <rFont val="Tahoma"/>
            <family val="2"/>
          </rPr>
          <t xml:space="preserve">
172/Division/dPublic/2018 Accounting/EOM Reporting/City Reporting/176 - Kent/176-Route Split/month/Tons Master/month/TAB MF Yards/MSW totals</t>
        </r>
      </text>
    </comment>
    <comment ref="D38" authorId="0">
      <text>
        <r>
          <rPr>
            <b/>
            <sz val="9"/>
            <color indexed="81"/>
            <rFont val="Tahoma"/>
            <family val="2"/>
          </rPr>
          <t>Johnson, Carla:</t>
        </r>
        <r>
          <rPr>
            <sz val="9"/>
            <color indexed="81"/>
            <rFont val="Tahoma"/>
            <family val="2"/>
          </rPr>
          <t xml:space="preserve">
172/Division/dPublic/2018 Accounting/EOM Reporting/City Reporting/183 - Kent/183-Route Split/month/Tons Master/month/TAB MF Yards/MSW totals</t>
        </r>
      </text>
    </comment>
  </commentList>
</comments>
</file>

<file path=xl/sharedStrings.xml><?xml version="1.0" encoding="utf-8"?>
<sst xmlns="http://schemas.openxmlformats.org/spreadsheetml/2006/main" count="1679" uniqueCount="349">
  <si>
    <t>New Residential Processing Rate / Ton</t>
  </si>
  <si>
    <t>Increase per Ton</t>
  </si>
  <si>
    <t>WUTC Tons</t>
  </si>
  <si>
    <t>Total</t>
  </si>
  <si>
    <t>NW Area</t>
  </si>
  <si>
    <t>WUTC MRF Processing Fee</t>
  </si>
  <si>
    <t>Current Residential Processing Rate / Ton*</t>
  </si>
  <si>
    <t>Single Family Recycle tons</t>
  </si>
  <si>
    <t>Multi-family Recycle tons</t>
  </si>
  <si>
    <t>Total Recycle tons</t>
  </si>
  <si>
    <t>Single family</t>
  </si>
  <si>
    <t>Multi-family</t>
  </si>
  <si>
    <t>Surcharge per unit (SF=customer MF=Yard)</t>
  </si>
  <si>
    <t>Annual SF customers</t>
  </si>
  <si>
    <t>Monthly surcharge per customer</t>
  </si>
  <si>
    <t>Annual MF Yards</t>
  </si>
  <si>
    <t>Monthly surcharge per yard</t>
  </si>
  <si>
    <t>Increased expense (Annual)</t>
  </si>
  <si>
    <t>Temporary surcharge</t>
  </si>
  <si>
    <t>Total Annual calculated increase</t>
  </si>
  <si>
    <t>Tariff #4</t>
  </si>
  <si>
    <t>G-12</t>
  </si>
  <si>
    <t>Lynnwood</t>
  </si>
  <si>
    <t>Kent</t>
  </si>
  <si>
    <t>Tariff # 27</t>
  </si>
  <si>
    <t>G-60</t>
  </si>
  <si>
    <t>Tariff # 26</t>
  </si>
  <si>
    <t>Sea-Tac</t>
  </si>
  <si>
    <t>Tariff # 11</t>
  </si>
  <si>
    <t>Bellevue</t>
  </si>
  <si>
    <t>*= Tariff #4 current rate taken from rate case filed with effective date 6/1/2017. Tariff"s #27, 26, and 11</t>
  </si>
  <si>
    <t xml:space="preserve">     current rate taken from rate adjustment for impact of Seattle minimum wage increase on recycling</t>
  </si>
  <si>
    <t xml:space="preserve">     processing costs, filed with WUTC January 2015.</t>
  </si>
  <si>
    <t>OPERATING INCOME</t>
  </si>
  <si>
    <t>Amounts</t>
  </si>
  <si>
    <t>Impairment, Sale of Ops &amp; Other Oper Exp</t>
  </si>
  <si>
    <t>Sales General &amp; Administrative</t>
  </si>
  <si>
    <t>General &amp; Admin Expense</t>
  </si>
  <si>
    <t>G &amp; A Allocations</t>
  </si>
  <si>
    <t>Bad Debt Expense</t>
  </si>
  <si>
    <t>Aviation Expense</t>
  </si>
  <si>
    <t>G&amp;A Expense</t>
  </si>
  <si>
    <t>Other</t>
  </si>
  <si>
    <t>Admin Services</t>
  </si>
  <si>
    <t>Professional Fees</t>
  </si>
  <si>
    <t>Hiring &amp; Training</t>
  </si>
  <si>
    <t>Advertising &amp; Printing</t>
  </si>
  <si>
    <t>Rent &amp; Office</t>
  </si>
  <si>
    <t>Meetings and T&amp;E</t>
  </si>
  <si>
    <t>Gen &amp; Admin-Payroll &amp; Related</t>
  </si>
  <si>
    <t>Sales &amp; Marketing Expense</t>
  </si>
  <si>
    <t>Depr Depletion &amp; Amortization</t>
  </si>
  <si>
    <t>Amortization - Intangibles</t>
  </si>
  <si>
    <t>Amort - LF Purchase Price</t>
  </si>
  <si>
    <t>Accretion Expense.</t>
  </si>
  <si>
    <t>LF Amortization</t>
  </si>
  <si>
    <t>Depletion.</t>
  </si>
  <si>
    <t>Depreciation</t>
  </si>
  <si>
    <t>Depr Alloc-Out 600999</t>
  </si>
  <si>
    <t>Depr Alloc-In 600998</t>
  </si>
  <si>
    <t>Depr-Contra</t>
  </si>
  <si>
    <t>Depr-HENS</t>
  </si>
  <si>
    <t>Depr-Computer Equip</t>
  </si>
  <si>
    <t>Depr-Furn &amp; Fixtures</t>
  </si>
  <si>
    <t>Depr-Bldg &amp; Imp 600070</t>
  </si>
  <si>
    <t>Depr-Shop Equip</t>
  </si>
  <si>
    <t>Depr-Heavy Mach &amp; Equip</t>
  </si>
  <si>
    <t>Depr-Cont/Comp</t>
  </si>
  <si>
    <t>Depr-Vehicles 600010</t>
  </si>
  <si>
    <t>Depr-Default</t>
  </si>
  <si>
    <t>Gross Operating Expense</t>
  </si>
  <si>
    <t>Other Operating Expense</t>
  </si>
  <si>
    <t>Other Operating Alloc-Out 595999</t>
  </si>
  <si>
    <t>Other Operating Alloc-In 595998</t>
  </si>
  <si>
    <t>Gain/loss Assets manual 595995</t>
  </si>
  <si>
    <t>Other Oper Contra</t>
  </si>
  <si>
    <t>GOE Meals &amp; Entertainment(50%)</t>
  </si>
  <si>
    <t>GOE Meals &amp; Entertainmnt(100%)</t>
  </si>
  <si>
    <t>GOE Travel Expenses</t>
  </si>
  <si>
    <t>GOE Vehicle Mileage</t>
  </si>
  <si>
    <t>Other Operating Misc</t>
  </si>
  <si>
    <t>Camp Expenses</t>
  </si>
  <si>
    <t>Towing Non-Maintenance</t>
  </si>
  <si>
    <t>State Franchise Tax</t>
  </si>
  <si>
    <t>Personal Property Taxes</t>
  </si>
  <si>
    <t>Royalties-Inactive</t>
  </si>
  <si>
    <t>Operations Communications Cost 595020</t>
  </si>
  <si>
    <t>Fine/Other Penalty 595015</t>
  </si>
  <si>
    <t>Permit Fees</t>
  </si>
  <si>
    <t>Occupancy/Facility Expense</t>
  </si>
  <si>
    <t>Facility Alloc-Out</t>
  </si>
  <si>
    <t>Facility Alloc-In 570998</t>
  </si>
  <si>
    <t>Occupancy/Facility contra</t>
  </si>
  <si>
    <t>Miscellaneous Facility Exp</t>
  </si>
  <si>
    <t>Scale Repairs</t>
  </si>
  <si>
    <t>Real Property Taxes</t>
  </si>
  <si>
    <t>Utilities</t>
  </si>
  <si>
    <t>Lease/Rent</t>
  </si>
  <si>
    <t>Security</t>
  </si>
  <si>
    <t>Fac Maint-O/S Repair &amp; Maint 570005</t>
  </si>
  <si>
    <t>Fac Maint-Parts &amp; Supplies</t>
  </si>
  <si>
    <t>Insurance/Risk Expense</t>
  </si>
  <si>
    <t>Insurance Alloc-Out 565999</t>
  </si>
  <si>
    <t>Insurance Alloc-In 565998</t>
  </si>
  <si>
    <t>Cap Ins/Risk Contra</t>
  </si>
  <si>
    <t>Ins Non-Corp Charge-Legacy</t>
  </si>
  <si>
    <t>PY Risk Actuary Adjustments</t>
  </si>
  <si>
    <t>Medical/Physicals</t>
  </si>
  <si>
    <t>Safety Incentive Program</t>
  </si>
  <si>
    <t>Safety Equipment</t>
  </si>
  <si>
    <t>Hiring, Training &amp; Safety</t>
  </si>
  <si>
    <t>Surety Cost</t>
  </si>
  <si>
    <t>Damage-3rd Party Property</t>
  </si>
  <si>
    <t>Damage-RSG Prop AM</t>
  </si>
  <si>
    <t>Damage-RSG Prop Non-AM</t>
  </si>
  <si>
    <t>Non-Corp Ins-AL/GL</t>
  </si>
  <si>
    <t>Non-Corp Ins-W/C</t>
  </si>
  <si>
    <t>Corp Ins-Mgt Fee</t>
  </si>
  <si>
    <t>AW Ins Premium Corp Alloc</t>
  </si>
  <si>
    <t>CY Risk Expense - Variable 565015</t>
  </si>
  <si>
    <t>AW Corp Prog/Loss Alloc</t>
  </si>
  <si>
    <t>Corp Ins-Occur AL/GL 565012</t>
  </si>
  <si>
    <t>Corp Ins-Occur W/C 565010</t>
  </si>
  <si>
    <t>Corp Ins-Fixed LF</t>
  </si>
  <si>
    <t>Corp Ins-Fixed Other</t>
  </si>
  <si>
    <t>AW Self Ins WC/Premium Exp</t>
  </si>
  <si>
    <t>CY Risk Premium Expense - Fixed 565004</t>
  </si>
  <si>
    <t>PY Risk Premium Adjustments 565003</t>
  </si>
  <si>
    <t>Corp Ins-Fixed AL/GL</t>
  </si>
  <si>
    <t>Corp Ins-Fixed W/C</t>
  </si>
  <si>
    <t>Landfill Operating Expense</t>
  </si>
  <si>
    <t>Cont/Comp Maintenance</t>
  </si>
  <si>
    <t>Truck/Equipment Maintenance</t>
  </si>
  <si>
    <t>Trk/Equip Expense Alloc-Out 540999</t>
  </si>
  <si>
    <t>Trk/Equip Expense Alloc-In 540998</t>
  </si>
  <si>
    <t>TShop Labor Alloc-In. 540997</t>
  </si>
  <si>
    <t>AW Shop Wages 540993</t>
  </si>
  <si>
    <t>Do Not Use-T/E Damage-Abuse&amp;Misuse</t>
  </si>
  <si>
    <t>T/E Damage-Acc/A&amp;M Contra</t>
  </si>
  <si>
    <t>Equipment Maint-Contra</t>
  </si>
  <si>
    <t>Other Repairs &amp; Maint</t>
  </si>
  <si>
    <t>Truck &amp; Equip Washing</t>
  </si>
  <si>
    <t>O/S Repair-E&amp;P Equip</t>
  </si>
  <si>
    <t>Warranty Recovery</t>
  </si>
  <si>
    <t>O/S Repair-Proc Equip</t>
  </si>
  <si>
    <t>O/S Repair-Heavy Equip</t>
  </si>
  <si>
    <t>Towing</t>
  </si>
  <si>
    <t>O/S Repair-Coll Equip 540040</t>
  </si>
  <si>
    <t>Outside Repairs Default</t>
  </si>
  <si>
    <t>Tires X-Factor</t>
  </si>
  <si>
    <t>Tire Repair</t>
  </si>
  <si>
    <t>New Tire Expense</t>
  </si>
  <si>
    <t>Truck/Equip Supplies</t>
  </si>
  <si>
    <t>Purchase Discounts</t>
  </si>
  <si>
    <t>Parts X-Factor</t>
  </si>
  <si>
    <t>Parts &amp; Matls</t>
  </si>
  <si>
    <t>Truck/Equipment Operating</t>
  </si>
  <si>
    <t>Operating Alloc-Out 530999</t>
  </si>
  <si>
    <t>Operating Alloc-In 530998</t>
  </si>
  <si>
    <t>Equip Oper Contra</t>
  </si>
  <si>
    <t>Other Equip Operating Exp</t>
  </si>
  <si>
    <t>Operating Taxes</t>
  </si>
  <si>
    <t>Lease Allocation</t>
  </si>
  <si>
    <t>Lease Sales Tax Expense</t>
  </si>
  <si>
    <t>Rental Other</t>
  </si>
  <si>
    <t>HENS Lease Expense</t>
  </si>
  <si>
    <t>Truck/Equip Rental</t>
  </si>
  <si>
    <t>Noncancel Equip Leases</t>
  </si>
  <si>
    <t>AWIN lease expenses</t>
  </si>
  <si>
    <t>Equip Rental-Interco 530061</t>
  </si>
  <si>
    <t>Equip Rental-3rd Party</t>
  </si>
  <si>
    <t>Tolls</t>
  </si>
  <si>
    <t>Baling Wire</t>
  </si>
  <si>
    <t>Truck/Equip Licenses</t>
  </si>
  <si>
    <t>Oil/Lubricants</t>
  </si>
  <si>
    <t>Fuel 530010</t>
  </si>
  <si>
    <t>Container Shop Labor</t>
  </si>
  <si>
    <t>Truck/Equipment Shop Labor</t>
  </si>
  <si>
    <t>Oper Supervisory Labor</t>
  </si>
  <si>
    <t>Ops Supv Alloc-Out</t>
  </si>
  <si>
    <t>Ops Supv Alloc-In 510998</t>
  </si>
  <si>
    <t>Uniforms &amp; Safety - Sup Labor</t>
  </si>
  <si>
    <t>Union Dues - Sup Labor</t>
  </si>
  <si>
    <t>Employer 401k - Sup Labor</t>
  </si>
  <si>
    <t>Benefits Corp - Sup Labor</t>
  </si>
  <si>
    <t>Benefits Non-Corp - Sup Labor 510175</t>
  </si>
  <si>
    <t>Vacation/Sick - Sup Labor 510174</t>
  </si>
  <si>
    <t>Holiday Pay - Sup Labor</t>
  </si>
  <si>
    <t>Personal Time - Sup Labor 510172</t>
  </si>
  <si>
    <t>Payroll Taxes - Sup Labor</t>
  </si>
  <si>
    <t>Bonus Pay Corp - Sup Labor</t>
  </si>
  <si>
    <t>Bonus Pay Non-Corp - Sup Labor</t>
  </si>
  <si>
    <t>Temporary Labor - Sup Labor</t>
  </si>
  <si>
    <t>Ops Support 510020</t>
  </si>
  <si>
    <t>Mgr/Supervision 510010</t>
  </si>
  <si>
    <t>Operating Labor</t>
  </si>
  <si>
    <t>Oper Labor Alloc-Out</t>
  </si>
  <si>
    <t>Oper Labor Alloc-In 500998</t>
  </si>
  <si>
    <t>Operating Labor-Contra</t>
  </si>
  <si>
    <t>Uniforms &amp; Safety - Oper Labor</t>
  </si>
  <si>
    <t>Union Dues - Oper Labor</t>
  </si>
  <si>
    <t>Employer 401k - Oper Labor</t>
  </si>
  <si>
    <t>Benefits Corp - Oper Labor</t>
  </si>
  <si>
    <t>Benefits Non-Corp - Oper Labor 500175</t>
  </si>
  <si>
    <t>Vacation/Sick - Oper Labor 500174</t>
  </si>
  <si>
    <t>Holiday Pay - Oper Labor</t>
  </si>
  <si>
    <t>Personal Time - Oper Labor 500172</t>
  </si>
  <si>
    <t>Payroll Taxes - Oper Labor</t>
  </si>
  <si>
    <t>Bonus Pay Corp - Oper Labor</t>
  </si>
  <si>
    <t>Bonus Pay Non-Corp-Oper Labor</t>
  </si>
  <si>
    <t>Temp Labor-Oper Labor</t>
  </si>
  <si>
    <t>Container Delivery 500050</t>
  </si>
  <si>
    <t>Secondary 500040</t>
  </si>
  <si>
    <t>Operators 500030</t>
  </si>
  <si>
    <t>Collection Helper 500020</t>
  </si>
  <si>
    <t>Drivers 500010</t>
  </si>
  <si>
    <t>AW Oper Labor 500005</t>
  </si>
  <si>
    <t>NET REVENUE</t>
  </si>
  <si>
    <t>Revenue Reduction</t>
  </si>
  <si>
    <t>Gross Revenue</t>
  </si>
  <si>
    <t>4584 Rabanco Recycling Company MRF</t>
  </si>
  <si>
    <t>Actual</t>
  </si>
  <si>
    <t>Through Essbase data pull</t>
  </si>
  <si>
    <t>Q1</t>
  </si>
  <si>
    <t>From lawson Accounting System</t>
  </si>
  <si>
    <t>FY   Fiscal 2018</t>
  </si>
  <si>
    <t>General Ledger Download</t>
  </si>
  <si>
    <t>planned for 6/15/2018. Values taken from monthly reporting to King County.</t>
  </si>
  <si>
    <t xml:space="preserve">Customer counts, recycle tons, and MF yards taken from 2018 Recycle credit filing </t>
  </si>
  <si>
    <t>AVG</t>
  </si>
  <si>
    <t>Commodity Value</t>
  </si>
  <si>
    <t>Tons</t>
  </si>
  <si>
    <t># of Customers</t>
  </si>
  <si>
    <t>50% Value per Ton</t>
  </si>
  <si>
    <t>Month</t>
  </si>
  <si>
    <t>Tariff #26 -Sea-Tac</t>
  </si>
  <si>
    <t>Tariff # 27- Kent</t>
  </si>
  <si>
    <t>Single Family</t>
  </si>
  <si>
    <t>Yards</t>
  </si>
  <si>
    <t>Multifamily</t>
  </si>
  <si>
    <t>2017-18</t>
  </si>
  <si>
    <t>Actual Processing Costs (Operating and GA expenses)</t>
  </si>
  <si>
    <t>Total InBound Tons</t>
  </si>
  <si>
    <t xml:space="preserve">  Intercompany</t>
  </si>
  <si>
    <t xml:space="preserve">  3rd Party</t>
  </si>
  <si>
    <t>InBound Tons</t>
  </si>
  <si>
    <t>Operating Income</t>
  </si>
  <si>
    <t>Total SG&amp;A</t>
  </si>
  <si>
    <t>Management Fee</t>
  </si>
  <si>
    <t>G&amp;A Payroll &amp; Related</t>
  </si>
  <si>
    <t>Gross Profit</t>
  </si>
  <si>
    <t>Total Operating Expenses</t>
  </si>
  <si>
    <t>Pre-DD&amp;A GOE</t>
  </si>
  <si>
    <t>Other Operating Expenses</t>
  </si>
  <si>
    <t>Occupancy / Facility Costs</t>
  </si>
  <si>
    <t>Insurance Expense</t>
  </si>
  <si>
    <t>Equipment Maintenance</t>
  </si>
  <si>
    <t>Equipment Operating</t>
  </si>
  <si>
    <t>Supervisory Labor</t>
  </si>
  <si>
    <t>Processing Expenses:</t>
  </si>
  <si>
    <t>Total Net Revenue</t>
  </si>
  <si>
    <t>Total Revenue Reductions</t>
  </si>
  <si>
    <t>Total Host/Tax/Royalty</t>
  </si>
  <si>
    <t>Total Transport</t>
  </si>
  <si>
    <t>Total Subcontract</t>
  </si>
  <si>
    <t>Total COGS SOM</t>
  </si>
  <si>
    <t>Total Disposal</t>
  </si>
  <si>
    <t>Total Diverted - Glass</t>
  </si>
  <si>
    <t>Rev Reductions (All O/S &amp; I/C)</t>
  </si>
  <si>
    <t>MRF-Inter/C</t>
  </si>
  <si>
    <t>Total O/S Revenue</t>
  </si>
  <si>
    <t>MRF-Processing Fees</t>
  </si>
  <si>
    <t>MRF-SOM</t>
  </si>
  <si>
    <t>Revenue:</t>
  </si>
  <si>
    <t>C D</t>
  </si>
  <si>
    <t>D &amp; B</t>
  </si>
  <si>
    <t>Comm - I/C</t>
  </si>
  <si>
    <t>Comm - 3P</t>
  </si>
  <si>
    <t>Resid - I/C</t>
  </si>
  <si>
    <t>Res- 3P</t>
  </si>
  <si>
    <t>Res - Seattle</t>
  </si>
  <si>
    <t>Comm -3P</t>
  </si>
  <si>
    <t>I/C Per Ton</t>
  </si>
  <si>
    <t>Cost Per Ton</t>
  </si>
  <si>
    <t>Download file</t>
  </si>
  <si>
    <t>Consolidated Residential</t>
  </si>
  <si>
    <t>I/C Res/Com Combined</t>
  </si>
  <si>
    <t>ties to G/L</t>
  </si>
  <si>
    <t>For the period Ending March 2018</t>
  </si>
  <si>
    <t>This column</t>
  </si>
  <si>
    <t>Rabanco Recycling - 4584</t>
  </si>
  <si>
    <t>FY   Fiscal 2017</t>
  </si>
  <si>
    <t>TG-180433, 434, 435, 440</t>
  </si>
  <si>
    <t>Staff Work Papers</t>
  </si>
  <si>
    <t>Prepared by Scott Sevall</t>
  </si>
  <si>
    <t>Per Ton</t>
  </si>
  <si>
    <t>For the period Ending March 2017</t>
  </si>
  <si>
    <t>This Column ties to GL Download file</t>
  </si>
  <si>
    <t>Difference</t>
  </si>
  <si>
    <t>Totals</t>
  </si>
  <si>
    <t>Operating labor – comprise of temp and full time employees that  are on the recycling line that monitors and picks through the material.  It also includes equipment operators.</t>
  </si>
  <si>
    <t>Ops Supervisors – these are the supervisors that manages  the operations labor</t>
  </si>
  <si>
    <t>Equip Operating – comprised of fuel, oil and lubricants, equipment rentals and consumable supplies</t>
  </si>
  <si>
    <t>Equp maint –  Mechanics labor and the costs to maintain the equipment</t>
  </si>
  <si>
    <t>Insurance exp -   L&amp;I insurance, other liability insurance and safety equipment</t>
  </si>
  <si>
    <t>Facility costs -    property taxes, utilities and facility costs to keep the facility structure open (ie security systems, yard paving, bird control and sweeping services as an example)</t>
  </si>
  <si>
    <t>Other Operating –permit fees and State and local taxes</t>
  </si>
  <si>
    <t>Staff explination</t>
  </si>
  <si>
    <t>This is an hourly cost that is subject to high variability when a company has to higher more employees or when longer hours of operation are needed.</t>
  </si>
  <si>
    <t>LNI is charged by the hour and has high variability when operations increase or decrease. In this case the Temp labor account (which is rolled up into Operating labor) has the highest variability. Temp labor includes LNI in the Temp Labor acct.</t>
  </si>
  <si>
    <t>While this account does change it is more of an inflationary change not a variable change because operating hours have changed.</t>
  </si>
  <si>
    <t>This cost is for supervisors who are salaried there are inflationary change, but not highly variable costs.</t>
  </si>
  <si>
    <t>Staff Recommends Allowance in Surcharge</t>
  </si>
  <si>
    <t>yes</t>
  </si>
  <si>
    <t>no</t>
  </si>
  <si>
    <t>Company explination of expense (from Diane Cramer email (6/8/2018))</t>
  </si>
  <si>
    <t>Included in staff calculation</t>
  </si>
  <si>
    <t>Date</t>
  </si>
  <si>
    <t>MF</t>
  </si>
  <si>
    <t>Lynnwood Tonnage</t>
  </si>
  <si>
    <t>Kent Tonnage</t>
  </si>
  <si>
    <t>Sea-Tac Tonnage</t>
  </si>
  <si>
    <t>Bellevue Tonnage</t>
  </si>
  <si>
    <t>Kent Customer Count</t>
  </si>
  <si>
    <t>Sea-Tac Customer Count</t>
  </si>
  <si>
    <t>Bellevue Customer Count</t>
  </si>
  <si>
    <t>The following numbers are from the commodity credit filings 180484, 485, 486, 487</t>
  </si>
  <si>
    <t>Lynnwood Customer Count/yards</t>
  </si>
  <si>
    <t>Total Tonnage</t>
  </si>
  <si>
    <t>Surcharge amount per ton</t>
  </si>
  <si>
    <t>Total Customer</t>
  </si>
  <si>
    <t xml:space="preserve">Total Surcharge Amount </t>
  </si>
  <si>
    <t>3-month surcharge (per customer/yard)</t>
  </si>
  <si>
    <t>This cost has higher variability when operations have to change (i.E. hours of operation increase or descrease).</t>
  </si>
  <si>
    <t>Pounds / customer</t>
  </si>
  <si>
    <t>Pounds / MF yd</t>
  </si>
  <si>
    <t>Staff Pounds / customer</t>
  </si>
  <si>
    <t>Staff Pounds / MF Yd</t>
  </si>
  <si>
    <t>Monthly</t>
  </si>
  <si>
    <t>For the period Ending October 2018</t>
  </si>
  <si>
    <t>MRF-COGS</t>
  </si>
  <si>
    <t>MRF-Inter/C  COGS</t>
  </si>
  <si>
    <t xml:space="preserve">   Total I/C Revenue</t>
  </si>
  <si>
    <t>Total Diverted - Glass/Plastic</t>
  </si>
  <si>
    <t>SOM - Revenue (including disposal, diverted, transport and taxes)</t>
  </si>
  <si>
    <t>Updated by Rick Waldren</t>
  </si>
  <si>
    <t>Tariff #11- Bellevue</t>
  </si>
  <si>
    <t>Tariff #4 -Lynnwood</t>
  </si>
  <si>
    <t>Oct YTD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</si>
</sst>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00"/>
  </numFmts>
  <fonts count="16" x14ac:knownFonts="1">
    <font>
      <sz val="11"/>
      <color theme="1"/>
      <name val="Calibri"/>
      <family val="2"/>
      <scheme val="minor"/>
    </font>
    <font>
      <sz val="11"/>
      <color theme="1"/>
      <name val="Calibri"/>
      <family val="2"/>
      <scheme val="minor"/>
    </font>
    <font>
      <sz val="10"/>
      <color indexed="8"/>
      <name val="Arial"/>
      <family val="2"/>
    </font>
    <font>
      <b/>
      <sz val="11"/>
      <color theme="1"/>
      <name val="Calibri"/>
      <family val="2"/>
      <scheme val="minor"/>
    </font>
    <font>
      <b/>
      <sz val="10"/>
      <color indexed="8"/>
      <name val="Arial"/>
      <family val="2"/>
    </font>
    <font>
      <b/>
      <sz val="14"/>
      <color theme="1"/>
      <name val="Calibri"/>
      <family val="2"/>
      <scheme val="minor"/>
    </font>
    <font>
      <b/>
      <sz val="12"/>
      <color theme="1"/>
      <name val="Calibri"/>
      <family val="2"/>
      <scheme val="minor"/>
    </font>
    <font>
      <sz val="10"/>
      <color rgb="FF0000FF"/>
      <name val="Arial"/>
      <family val="2"/>
    </font>
    <font>
      <sz val="10"/>
      <name val="Arial"/>
      <family val="2"/>
    </font>
    <font>
      <b/>
      <sz val="10"/>
      <color rgb="FF0000FF"/>
      <name val="Arial"/>
      <family val="2"/>
    </font>
    <font>
      <sz val="14"/>
      <color rgb="FF0070C0"/>
      <name val="Calibri"/>
      <family val="2"/>
      <scheme val="minor"/>
    </font>
    <font>
      <b/>
      <sz val="9"/>
      <color indexed="81"/>
      <name val="Tahoma"/>
      <family val="2"/>
    </font>
    <font>
      <sz val="9"/>
      <color indexed="81"/>
      <name val="Tahoma"/>
      <family val="2"/>
    </font>
    <font>
      <b/>
      <sz val="11"/>
      <color rgb="FF0070C0"/>
      <name val="Calibri"/>
      <family val="2"/>
      <scheme val="minor"/>
    </font>
    <font>
      <b/>
      <sz val="10"/>
      <name val="Arial"/>
      <family val="2"/>
    </font>
    <font>
      <sz val="11"/>
      <color rgb="FF1F497D"/>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99"/>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2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top/>
      <bottom style="thin">
        <color indexed="64"/>
      </bottom>
      <diagonal/>
    </border>
    <border>
      <left style="hair">
        <color indexed="64"/>
      </left>
      <right style="hair">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xf numFmtId="9" fontId="1" fillId="0" borderId="0" applyFont="0" applyFill="0" applyBorder="0" applyAlignment="0" applyProtection="0"/>
  </cellStyleXfs>
  <cellXfs count="196">
    <xf numFmtId="0" fontId="0" fillId="0" borderId="0" xfId="0"/>
    <xf numFmtId="0" fontId="2" fillId="0" borderId="0" xfId="0" applyFont="1" applyAlignment="1">
      <alignment vertical="top"/>
    </xf>
    <xf numFmtId="44" fontId="0" fillId="0" borderId="0" xfId="0" applyNumberFormat="1"/>
    <xf numFmtId="42" fontId="0" fillId="0" borderId="0" xfId="0" applyNumberFormat="1"/>
    <xf numFmtId="164" fontId="0" fillId="0" borderId="0" xfId="1" applyNumberFormat="1" applyFont="1" applyBorder="1" applyAlignment="1">
      <alignment vertical="top"/>
    </xf>
    <xf numFmtId="42" fontId="0" fillId="0" borderId="0" xfId="0" applyNumberFormat="1" applyBorder="1"/>
    <xf numFmtId="0" fontId="3" fillId="0" borderId="0" xfId="0" applyFont="1" applyAlignment="1">
      <alignment horizontal="center"/>
    </xf>
    <xf numFmtId="164" fontId="0" fillId="0" borderId="1" xfId="0" applyNumberFormat="1" applyBorder="1"/>
    <xf numFmtId="0" fontId="4" fillId="0" borderId="0" xfId="0" applyFont="1" applyAlignment="1">
      <alignment vertical="top"/>
    </xf>
    <xf numFmtId="0" fontId="5" fillId="0" borderId="0" xfId="0" applyFont="1"/>
    <xf numFmtId="0" fontId="3" fillId="0" borderId="0" xfId="0" applyFont="1"/>
    <xf numFmtId="42" fontId="0" fillId="0" borderId="1" xfId="0" applyNumberFormat="1" applyBorder="1"/>
    <xf numFmtId="3" fontId="0" fillId="0" borderId="0" xfId="0" applyNumberFormat="1"/>
    <xf numFmtId="0" fontId="0" fillId="0" borderId="2" xfId="0" applyBorder="1"/>
    <xf numFmtId="0" fontId="0" fillId="0" borderId="1" xfId="0" applyBorder="1"/>
    <xf numFmtId="42" fontId="0" fillId="0" borderId="3" xfId="0" applyNumberFormat="1" applyBorder="1"/>
    <xf numFmtId="0" fontId="0" fillId="0" borderId="0" xfId="0" quotePrefix="1"/>
    <xf numFmtId="0" fontId="6" fillId="0" borderId="0" xfId="0" applyFont="1"/>
    <xf numFmtId="49" fontId="0" fillId="0" borderId="0" xfId="0" quotePrefix="1" applyNumberFormat="1"/>
    <xf numFmtId="0" fontId="0" fillId="0" borderId="0" xfId="0" quotePrefix="1" applyAlignment="1">
      <alignment wrapText="1"/>
    </xf>
    <xf numFmtId="0" fontId="0" fillId="0" borderId="5" xfId="0" applyBorder="1"/>
    <xf numFmtId="0" fontId="0" fillId="0" borderId="6" xfId="0" applyBorder="1"/>
    <xf numFmtId="0" fontId="0" fillId="0" borderId="7" xfId="0" applyBorder="1"/>
    <xf numFmtId="43" fontId="7" fillId="2" borderId="8" xfId="1" applyFont="1" applyFill="1" applyBorder="1"/>
    <xf numFmtId="43" fontId="7" fillId="2" borderId="9" xfId="1" applyFont="1" applyFill="1" applyBorder="1"/>
    <xf numFmtId="164" fontId="7" fillId="2" borderId="9" xfId="1" applyNumberFormat="1" applyFont="1" applyFill="1" applyBorder="1"/>
    <xf numFmtId="0" fontId="7" fillId="0" borderId="9" xfId="3" applyFont="1" applyFill="1" applyBorder="1"/>
    <xf numFmtId="44" fontId="7" fillId="0" borderId="9" xfId="3" applyNumberFormat="1" applyFont="1" applyFill="1" applyBorder="1"/>
    <xf numFmtId="0" fontId="7" fillId="2" borderId="9" xfId="3" applyFont="1" applyFill="1" applyBorder="1"/>
    <xf numFmtId="44" fontId="7" fillId="2" borderId="10" xfId="2" applyFont="1" applyFill="1" applyBorder="1"/>
    <xf numFmtId="43" fontId="7" fillId="0" borderId="9" xfId="1" applyFont="1" applyFill="1" applyBorder="1"/>
    <xf numFmtId="164" fontId="7" fillId="0" borderId="9" xfId="1" applyNumberFormat="1" applyFont="1" applyFill="1" applyBorder="1"/>
    <xf numFmtId="44" fontId="7" fillId="2" borderId="9" xfId="2" applyFont="1" applyFill="1" applyBorder="1"/>
    <xf numFmtId="44" fontId="7" fillId="0" borderId="9" xfId="2" applyFont="1" applyFill="1" applyBorder="1"/>
    <xf numFmtId="17" fontId="7" fillId="0" borderId="9" xfId="3" applyNumberFormat="1" applyFont="1" applyFill="1" applyBorder="1"/>
    <xf numFmtId="44" fontId="7" fillId="2" borderId="9" xfId="2" applyFont="1" applyFill="1" applyBorder="1" applyAlignment="1">
      <alignment horizontal="center" wrapText="1"/>
    </xf>
    <xf numFmtId="0" fontId="7" fillId="2" borderId="9" xfId="3" applyFont="1" applyFill="1" applyBorder="1" applyAlignment="1">
      <alignment horizontal="center"/>
    </xf>
    <xf numFmtId="0" fontId="7" fillId="2" borderId="9" xfId="3" applyFont="1" applyFill="1" applyBorder="1" applyAlignment="1">
      <alignment horizontal="center" wrapText="1"/>
    </xf>
    <xf numFmtId="44" fontId="7" fillId="2" borderId="12" xfId="2" applyFont="1" applyFill="1" applyBorder="1"/>
    <xf numFmtId="44" fontId="7" fillId="2" borderId="9" xfId="3" applyNumberFormat="1" applyFont="1" applyFill="1" applyBorder="1"/>
    <xf numFmtId="44" fontId="7" fillId="0" borderId="9" xfId="2" applyNumberFormat="1" applyFont="1" applyFill="1" applyBorder="1"/>
    <xf numFmtId="0" fontId="10" fillId="0" borderId="0" xfId="0" applyFont="1" applyAlignment="1">
      <alignment horizontal="left" vertical="top"/>
    </xf>
    <xf numFmtId="43" fontId="7" fillId="0" borderId="9" xfId="1" applyNumberFormat="1" applyFont="1" applyFill="1" applyBorder="1"/>
    <xf numFmtId="0" fontId="13" fillId="0" borderId="0" xfId="0" applyFont="1"/>
    <xf numFmtId="164" fontId="0" fillId="0" borderId="0" xfId="1" applyNumberFormat="1" applyFont="1"/>
    <xf numFmtId="43" fontId="0" fillId="0" borderId="0" xfId="1" applyFont="1"/>
    <xf numFmtId="37" fontId="0" fillId="0" borderId="0" xfId="0" applyNumberFormat="1"/>
    <xf numFmtId="7" fontId="0" fillId="0" borderId="0" xfId="0" applyNumberFormat="1"/>
    <xf numFmtId="164" fontId="0" fillId="0" borderId="0" xfId="0" applyNumberFormat="1"/>
    <xf numFmtId="43" fontId="0" fillId="0" borderId="0" xfId="0" applyNumberFormat="1"/>
    <xf numFmtId="9" fontId="0" fillId="0" borderId="0" xfId="0" applyNumberFormat="1"/>
    <xf numFmtId="7" fontId="0" fillId="0" borderId="0" xfId="1" applyNumberFormat="1" applyFont="1"/>
    <xf numFmtId="0" fontId="0" fillId="0" borderId="0" xfId="0" applyBorder="1"/>
    <xf numFmtId="44" fontId="0" fillId="0" borderId="0" xfId="2" applyFont="1" applyBorder="1"/>
    <xf numFmtId="44" fontId="0" fillId="0" borderId="0" xfId="0" applyNumberFormat="1" applyBorder="1"/>
    <xf numFmtId="164" fontId="0" fillId="0" borderId="0" xfId="1" applyNumberFormat="1" applyFont="1" applyBorder="1"/>
    <xf numFmtId="0" fontId="0" fillId="0" borderId="0" xfId="0" applyBorder="1" applyAlignment="1">
      <alignment wrapText="1"/>
    </xf>
    <xf numFmtId="0" fontId="0" fillId="0" borderId="0" xfId="0" applyBorder="1" applyAlignment="1">
      <alignment horizontal="center"/>
    </xf>
    <xf numFmtId="7" fontId="0" fillId="3" borderId="0" xfId="0" applyNumberFormat="1" applyFill="1"/>
    <xf numFmtId="0" fontId="0" fillId="3" borderId="0" xfId="0" applyFill="1" applyBorder="1"/>
    <xf numFmtId="7" fontId="0" fillId="0" borderId="0" xfId="0" applyNumberFormat="1" applyBorder="1"/>
    <xf numFmtId="7" fontId="0" fillId="3" borderId="0" xfId="0" applyNumberFormat="1" applyFill="1" applyBorder="1"/>
    <xf numFmtId="37" fontId="0" fillId="0" borderId="0" xfId="0" applyNumberFormat="1" applyBorder="1"/>
    <xf numFmtId="0" fontId="0" fillId="3" borderId="0" xfId="0" applyFill="1"/>
    <xf numFmtId="5" fontId="0" fillId="0" borderId="0" xfId="0" applyNumberFormat="1"/>
    <xf numFmtId="37" fontId="0" fillId="0" borderId="13" xfId="0" applyNumberFormat="1" applyBorder="1"/>
    <xf numFmtId="37" fontId="0" fillId="3" borderId="0" xfId="0" applyNumberFormat="1" applyFill="1" applyBorder="1"/>
    <xf numFmtId="43" fontId="0" fillId="0" borderId="0" xfId="1" applyFont="1" applyBorder="1"/>
    <xf numFmtId="9" fontId="0" fillId="0" borderId="0" xfId="4" applyFont="1"/>
    <xf numFmtId="9" fontId="0" fillId="3" borderId="0" xfId="4" applyFont="1" applyFill="1"/>
    <xf numFmtId="7" fontId="0" fillId="0" borderId="4" xfId="0" applyNumberFormat="1" applyBorder="1"/>
    <xf numFmtId="5" fontId="0" fillId="0" borderId="4" xfId="0" applyNumberFormat="1" applyBorder="1"/>
    <xf numFmtId="7" fontId="0" fillId="3" borderId="4" xfId="0" applyNumberFormat="1" applyFill="1" applyBorder="1"/>
    <xf numFmtId="0" fontId="14" fillId="0" borderId="0" xfId="0" applyFont="1" applyAlignment="1">
      <alignment horizontal="left" indent="2"/>
    </xf>
    <xf numFmtId="5" fontId="0" fillId="3" borderId="0" xfId="0" applyNumberFormat="1" applyFill="1"/>
    <xf numFmtId="7" fontId="0" fillId="0" borderId="13" xfId="0" applyNumberFormat="1" applyBorder="1"/>
    <xf numFmtId="5" fontId="0" fillId="0" borderId="13" xfId="0" applyNumberFormat="1" applyBorder="1"/>
    <xf numFmtId="7" fontId="0" fillId="3" borderId="13" xfId="0" applyNumberFormat="1" applyFill="1" applyBorder="1"/>
    <xf numFmtId="0" fontId="0" fillId="0" borderId="0" xfId="0" applyAlignment="1">
      <alignment horizontal="left" indent="2"/>
    </xf>
    <xf numFmtId="0" fontId="0" fillId="0" borderId="0" xfId="0" applyFill="1" applyAlignment="1">
      <alignment horizontal="left" indent="1"/>
    </xf>
    <xf numFmtId="0" fontId="0" fillId="0" borderId="0" xfId="0" applyFill="1"/>
    <xf numFmtId="0" fontId="0" fillId="0" borderId="0" xfId="0" applyFill="1" applyAlignment="1">
      <alignment horizontal="left" indent="4"/>
    </xf>
    <xf numFmtId="0" fontId="0" fillId="0" borderId="0" xfId="0" applyFill="1" applyAlignment="1">
      <alignment horizontal="left" indent="3"/>
    </xf>
    <xf numFmtId="0" fontId="0" fillId="0" borderId="0" xfId="0" applyFill="1" applyAlignment="1">
      <alignment horizontal="left" wrapText="1" indent="2"/>
    </xf>
    <xf numFmtId="0" fontId="0" fillId="0" borderId="0" xfId="0" applyFill="1" applyAlignment="1">
      <alignment horizontal="left" indent="2"/>
    </xf>
    <xf numFmtId="0" fontId="3" fillId="0" borderId="0" xfId="0" applyFont="1" applyBorder="1" applyAlignment="1">
      <alignment horizontal="center"/>
    </xf>
    <xf numFmtId="0" fontId="3" fillId="3" borderId="0" xfId="0" applyFont="1" applyFill="1" applyBorder="1" applyAlignment="1">
      <alignment horizontal="center"/>
    </xf>
    <xf numFmtId="0" fontId="6" fillId="0" borderId="11" xfId="0" applyFont="1" applyBorder="1" applyAlignment="1">
      <alignment horizontal="center"/>
    </xf>
    <xf numFmtId="0" fontId="6" fillId="3" borderId="11" xfId="0" applyFont="1" applyFill="1" applyBorder="1" applyAlignment="1">
      <alignment horizontal="center"/>
    </xf>
    <xf numFmtId="0" fontId="0" fillId="0" borderId="14" xfId="0" applyBorder="1"/>
    <xf numFmtId="0" fontId="0" fillId="0" borderId="15" xfId="0" applyBorder="1"/>
    <xf numFmtId="0" fontId="0" fillId="0" borderId="16" xfId="0" applyBorder="1"/>
    <xf numFmtId="5" fontId="1" fillId="0" borderId="0" xfId="2" applyNumberFormat="1" applyFont="1" applyFill="1"/>
    <xf numFmtId="5" fontId="6" fillId="0" borderId="0" xfId="0" applyNumberFormat="1" applyFont="1"/>
    <xf numFmtId="5" fontId="6" fillId="0" borderId="4" xfId="0" applyNumberFormat="1" applyFont="1" applyBorder="1"/>
    <xf numFmtId="0" fontId="0" fillId="0" borderId="11" xfId="0" applyBorder="1"/>
    <xf numFmtId="5" fontId="0" fillId="0" borderId="11" xfId="0" applyNumberFormat="1" applyBorder="1"/>
    <xf numFmtId="0" fontId="0" fillId="0" borderId="0" xfId="0" applyFont="1"/>
    <xf numFmtId="5" fontId="0" fillId="0" borderId="0" xfId="0" applyNumberFormat="1" applyFont="1"/>
    <xf numFmtId="14" fontId="0" fillId="0" borderId="0" xfId="0" applyNumberFormat="1"/>
    <xf numFmtId="0" fontId="5" fillId="4" borderId="0" xfId="0" applyFont="1" applyFill="1"/>
    <xf numFmtId="0" fontId="0" fillId="4" borderId="0" xfId="0" applyFill="1"/>
    <xf numFmtId="0" fontId="3" fillId="4" borderId="0" xfId="0" applyFont="1" applyFill="1"/>
    <xf numFmtId="0" fontId="0" fillId="4" borderId="0" xfId="0" applyFill="1" applyAlignment="1">
      <alignment horizontal="left" indent="2"/>
    </xf>
    <xf numFmtId="0" fontId="0" fillId="4" borderId="0" xfId="0" applyFill="1" applyAlignment="1">
      <alignment horizontal="left" indent="1"/>
    </xf>
    <xf numFmtId="0" fontId="0" fillId="4" borderId="0" xfId="0" applyFill="1" applyAlignment="1">
      <alignment horizontal="left" wrapText="1" indent="2"/>
    </xf>
    <xf numFmtId="0" fontId="0" fillId="4" borderId="0" xfId="0" applyFill="1" applyAlignment="1">
      <alignment horizontal="left" indent="3"/>
    </xf>
    <xf numFmtId="0" fontId="0" fillId="4" borderId="0" xfId="0" applyFill="1" applyAlignment="1">
      <alignment horizontal="left" indent="4"/>
    </xf>
    <xf numFmtId="0" fontId="14" fillId="4" borderId="0" xfId="0" applyFont="1" applyFill="1" applyAlignment="1">
      <alignment horizontal="left" indent="2"/>
    </xf>
    <xf numFmtId="0" fontId="0" fillId="4" borderId="0" xfId="0" applyFill="1" applyBorder="1"/>
    <xf numFmtId="0" fontId="5" fillId="5" borderId="0" xfId="0" applyFont="1" applyFill="1"/>
    <xf numFmtId="0" fontId="0" fillId="5" borderId="0" xfId="0" applyFill="1"/>
    <xf numFmtId="0" fontId="3" fillId="5" borderId="0" xfId="0" applyFont="1" applyFill="1"/>
    <xf numFmtId="0" fontId="0" fillId="5" borderId="0" xfId="0" applyFill="1" applyAlignment="1">
      <alignment horizontal="left" indent="2"/>
    </xf>
    <xf numFmtId="44" fontId="0" fillId="5" borderId="0" xfId="2" applyNumberFormat="1" applyFont="1" applyFill="1"/>
    <xf numFmtId="0" fontId="0" fillId="5" borderId="0" xfId="0" applyFill="1" applyAlignment="1">
      <alignment horizontal="left" indent="1"/>
    </xf>
    <xf numFmtId="0" fontId="0" fillId="5" borderId="0" xfId="0" applyFill="1" applyAlignment="1">
      <alignment horizontal="left" wrapText="1" indent="2"/>
    </xf>
    <xf numFmtId="0" fontId="0" fillId="5" borderId="0" xfId="0" applyFill="1" applyAlignment="1">
      <alignment horizontal="left" indent="3"/>
    </xf>
    <xf numFmtId="0" fontId="0" fillId="5" borderId="0" xfId="0" applyFill="1" applyAlignment="1">
      <alignment horizontal="left" indent="4"/>
    </xf>
    <xf numFmtId="0" fontId="14" fillId="5" borderId="0" xfId="0" applyFont="1" applyFill="1" applyAlignment="1">
      <alignment horizontal="left" indent="2"/>
    </xf>
    <xf numFmtId="0" fontId="0" fillId="5" borderId="0" xfId="0" applyFill="1" applyBorder="1"/>
    <xf numFmtId="44" fontId="0" fillId="4" borderId="0" xfId="2" applyFont="1" applyFill="1"/>
    <xf numFmtId="0" fontId="0" fillId="4" borderId="0" xfId="0" applyFill="1" applyBorder="1" applyAlignment="1">
      <alignment horizontal="left" indent="2"/>
    </xf>
    <xf numFmtId="0" fontId="0" fillId="6" borderId="0" xfId="0" applyFill="1"/>
    <xf numFmtId="44" fontId="0" fillId="6" borderId="0" xfId="2" applyFont="1" applyFill="1"/>
    <xf numFmtId="0" fontId="0" fillId="4" borderId="0" xfId="0" applyFill="1" applyAlignment="1">
      <alignment wrapText="1"/>
    </xf>
    <xf numFmtId="165" fontId="0" fillId="4" borderId="0" xfId="2" applyNumberFormat="1" applyFont="1" applyFill="1"/>
    <xf numFmtId="165" fontId="0" fillId="4" borderId="11" xfId="2" applyNumberFormat="1" applyFont="1" applyFill="1" applyBorder="1"/>
    <xf numFmtId="165" fontId="3" fillId="4" borderId="0" xfId="2" applyNumberFormat="1" applyFont="1" applyFill="1"/>
    <xf numFmtId="0" fontId="0" fillId="5" borderId="0" xfId="0" applyFill="1" applyAlignment="1">
      <alignment wrapText="1"/>
    </xf>
    <xf numFmtId="165" fontId="0" fillId="5" borderId="0" xfId="2" applyNumberFormat="1" applyFont="1" applyFill="1"/>
    <xf numFmtId="165" fontId="0" fillId="5" borderId="11" xfId="2" applyNumberFormat="1" applyFont="1" applyFill="1" applyBorder="1"/>
    <xf numFmtId="165" fontId="3" fillId="5" borderId="0" xfId="2" applyNumberFormat="1" applyFont="1" applyFill="1"/>
    <xf numFmtId="165" fontId="0" fillId="6" borderId="0" xfId="0" applyNumberFormat="1" applyFill="1"/>
    <xf numFmtId="165" fontId="0" fillId="6" borderId="11" xfId="0" applyNumberFormat="1" applyFill="1" applyBorder="1"/>
    <xf numFmtId="165" fontId="3" fillId="6" borderId="0" xfId="0" applyNumberFormat="1" applyFont="1" applyFill="1"/>
    <xf numFmtId="0" fontId="3" fillId="0" borderId="11" xfId="0" applyFont="1" applyBorder="1"/>
    <xf numFmtId="165" fontId="3" fillId="5" borderId="11" xfId="2" applyNumberFormat="1" applyFont="1" applyFill="1" applyBorder="1"/>
    <xf numFmtId="165" fontId="3" fillId="4" borderId="11" xfId="2" applyNumberFormat="1" applyFont="1" applyFill="1" applyBorder="1"/>
    <xf numFmtId="165" fontId="3" fillId="6" borderId="11" xfId="0" applyNumberFormat="1" applyFont="1" applyFill="1" applyBorder="1"/>
    <xf numFmtId="43" fontId="0" fillId="4" borderId="0" xfId="1" applyFont="1" applyFill="1"/>
    <xf numFmtId="43" fontId="0" fillId="5" borderId="0" xfId="1" applyFont="1" applyFill="1"/>
    <xf numFmtId="7" fontId="0" fillId="0" borderId="0" xfId="0" applyNumberFormat="1" applyBorder="1" applyAlignment="1">
      <alignment horizontal="center" wrapText="1"/>
    </xf>
    <xf numFmtId="0" fontId="15" fillId="0" borderId="0" xfId="0" applyFont="1" applyAlignment="1">
      <alignment vertical="center" wrapText="1"/>
    </xf>
    <xf numFmtId="0" fontId="0" fillId="0" borderId="0" xfId="0" applyAlignment="1">
      <alignment wrapText="1"/>
    </xf>
    <xf numFmtId="44" fontId="0" fillId="0" borderId="0" xfId="2" applyFont="1" applyFill="1" applyAlignment="1">
      <alignment horizontal="center"/>
    </xf>
    <xf numFmtId="0" fontId="3" fillId="0" borderId="0" xfId="0" applyFont="1" applyFill="1" applyAlignment="1">
      <alignment horizontal="left" wrapText="1"/>
    </xf>
    <xf numFmtId="17" fontId="0" fillId="0" borderId="0" xfId="0" applyNumberFormat="1"/>
    <xf numFmtId="44" fontId="3" fillId="0" borderId="11" xfId="0" applyNumberFormat="1" applyFont="1" applyBorder="1"/>
    <xf numFmtId="0" fontId="0" fillId="0" borderId="13" xfId="0" applyBorder="1"/>
    <xf numFmtId="17" fontId="0" fillId="0" borderId="13" xfId="0" applyNumberFormat="1" applyBorder="1"/>
    <xf numFmtId="44" fontId="0" fillId="0" borderId="13" xfId="2" applyFont="1" applyFill="1" applyBorder="1"/>
    <xf numFmtId="0" fontId="0" fillId="5" borderId="13" xfId="0" applyFill="1" applyBorder="1" applyAlignment="1">
      <alignment horizontal="left" wrapText="1" indent="2"/>
    </xf>
    <xf numFmtId="44" fontId="0" fillId="5" borderId="13" xfId="2" applyNumberFormat="1" applyFont="1" applyFill="1" applyBorder="1"/>
    <xf numFmtId="0" fontId="0" fillId="4" borderId="13" xfId="0" applyFill="1" applyBorder="1" applyAlignment="1">
      <alignment horizontal="left" wrapText="1" indent="2"/>
    </xf>
    <xf numFmtId="44" fontId="0" fillId="4" borderId="13" xfId="2" applyFont="1" applyFill="1" applyBorder="1"/>
    <xf numFmtId="44" fontId="0" fillId="6" borderId="13" xfId="2" applyFont="1" applyFill="1" applyBorder="1"/>
    <xf numFmtId="4" fontId="0" fillId="0" borderId="0" xfId="0" applyNumberFormat="1"/>
    <xf numFmtId="17" fontId="7" fillId="2" borderId="9" xfId="3" applyNumberFormat="1" applyFont="1" applyFill="1" applyBorder="1"/>
    <xf numFmtId="0" fontId="9" fillId="0" borderId="0" xfId="3" applyFont="1" applyFill="1" applyBorder="1" applyAlignment="1"/>
    <xf numFmtId="0" fontId="7" fillId="2" borderId="17" xfId="3" applyFont="1" applyFill="1" applyBorder="1" applyAlignment="1">
      <alignment horizontal="center"/>
    </xf>
    <xf numFmtId="0" fontId="0" fillId="0" borderId="0" xfId="0" applyFill="1" applyBorder="1"/>
    <xf numFmtId="43" fontId="7" fillId="2" borderId="9" xfId="1" applyNumberFormat="1" applyFont="1" applyFill="1" applyBorder="1"/>
    <xf numFmtId="0" fontId="0" fillId="0" borderId="18" xfId="0" applyBorder="1"/>
    <xf numFmtId="5" fontId="0" fillId="0" borderId="19" xfId="0" applyNumberFormat="1" applyBorder="1"/>
    <xf numFmtId="0" fontId="0" fillId="0" borderId="19" xfId="0" applyBorder="1"/>
    <xf numFmtId="7" fontId="0" fillId="0" borderId="19" xfId="0" applyNumberFormat="1" applyBorder="1"/>
    <xf numFmtId="7" fontId="0" fillId="0" borderId="20" xfId="0" applyNumberFormat="1" applyBorder="1"/>
    <xf numFmtId="7" fontId="0" fillId="0" borderId="21" xfId="0" applyNumberFormat="1" applyBorder="1"/>
    <xf numFmtId="0" fontId="0" fillId="0" borderId="0" xfId="0" applyBorder="1" applyAlignment="1">
      <alignment horizontal="center" wrapText="1"/>
    </xf>
    <xf numFmtId="0" fontId="5" fillId="11" borderId="0" xfId="0" applyFont="1" applyFill="1"/>
    <xf numFmtId="0" fontId="0" fillId="11" borderId="0" xfId="0" applyFill="1"/>
    <xf numFmtId="0" fontId="0" fillId="11" borderId="0" xfId="0" applyFill="1" applyAlignment="1">
      <alignment horizontal="left" indent="1"/>
    </xf>
    <xf numFmtId="43" fontId="0" fillId="0" borderId="11" xfId="0" applyNumberFormat="1" applyBorder="1"/>
    <xf numFmtId="0" fontId="0" fillId="12" borderId="0" xfId="0" applyFill="1"/>
    <xf numFmtId="8" fontId="7" fillId="2" borderId="9" xfId="3" applyNumberFormat="1" applyFont="1" applyFill="1" applyBorder="1"/>
    <xf numFmtId="17" fontId="7" fillId="12" borderId="9" xfId="3" applyNumberFormat="1" applyFont="1" applyFill="1" applyBorder="1"/>
    <xf numFmtId="164" fontId="7" fillId="12" borderId="9" xfId="1" applyNumberFormat="1" applyFont="1" applyFill="1" applyBorder="1"/>
    <xf numFmtId="43" fontId="7" fillId="12" borderId="9" xfId="1" applyFont="1" applyFill="1" applyBorder="1"/>
    <xf numFmtId="43" fontId="0" fillId="0" borderId="13" xfId="0" applyNumberFormat="1" applyBorder="1"/>
    <xf numFmtId="166" fontId="0" fillId="0" borderId="0" xfId="4" applyNumberFormat="1" applyFont="1"/>
    <xf numFmtId="7" fontId="1" fillId="0" borderId="0" xfId="2" applyNumberFormat="1" applyFont="1" applyFill="1"/>
    <xf numFmtId="4" fontId="6" fillId="0" borderId="0" xfId="0" applyNumberFormat="1" applyFont="1"/>
    <xf numFmtId="167" fontId="6" fillId="0" borderId="4" xfId="0" applyNumberFormat="1" applyFont="1" applyBorder="1"/>
    <xf numFmtId="0" fontId="9" fillId="2" borderId="0" xfId="3" applyFont="1" applyFill="1" applyBorder="1" applyAlignment="1">
      <alignment horizontal="center"/>
    </xf>
    <xf numFmtId="0" fontId="9" fillId="2" borderId="11" xfId="3" applyFont="1" applyFill="1" applyBorder="1" applyAlignment="1">
      <alignment horizontal="center"/>
    </xf>
    <xf numFmtId="0" fontId="0" fillId="4" borderId="0" xfId="0" applyFill="1" applyAlignment="1">
      <alignment horizontal="left" wrapText="1"/>
    </xf>
    <xf numFmtId="0" fontId="3" fillId="6" borderId="0" xfId="0" applyFont="1" applyFill="1" applyAlignment="1">
      <alignment horizontal="center"/>
    </xf>
    <xf numFmtId="0" fontId="3" fillId="10" borderId="0" xfId="0" applyFont="1" applyFill="1" applyAlignment="1">
      <alignment horizontal="center"/>
    </xf>
    <xf numFmtId="0" fontId="3" fillId="8" borderId="0" xfId="0" applyFont="1" applyFill="1" applyAlignment="1">
      <alignment horizontal="center"/>
    </xf>
    <xf numFmtId="0" fontId="3" fillId="9" borderId="0" xfId="0" applyFont="1" applyFill="1" applyAlignment="1">
      <alignment horizontal="center"/>
    </xf>
    <xf numFmtId="0" fontId="3" fillId="7" borderId="0" xfId="0" applyFont="1" applyFill="1" applyAlignment="1">
      <alignment horizontal="center"/>
    </xf>
    <xf numFmtId="0" fontId="0" fillId="0" borderId="0" xfId="0" applyAlignment="1">
      <alignment horizontal="center"/>
    </xf>
    <xf numFmtId="0" fontId="6" fillId="0" borderId="0" xfId="0" applyFont="1" applyFill="1" applyBorder="1" applyAlignment="1">
      <alignment horizontal="center" wrapText="1"/>
    </xf>
    <xf numFmtId="0" fontId="6" fillId="0" borderId="11" xfId="0" applyFont="1" applyFill="1" applyBorder="1" applyAlignment="1">
      <alignment horizontal="center" wrapText="1"/>
    </xf>
    <xf numFmtId="0" fontId="5" fillId="0" borderId="0" xfId="0" applyFont="1" applyAlignment="1">
      <alignment horizontal="center"/>
    </xf>
  </cellXfs>
  <cellStyles count="5">
    <cellStyle name="Comma" xfId="1" builtinId="3"/>
    <cellStyle name="Currency" xfId="2" builtinId="4"/>
    <cellStyle name="Normal" xfId="0" builtinId="0"/>
    <cellStyle name="Normal 13 2" xfId="3"/>
    <cellStyle name="Percent" xfId="4"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9</xdr:row>
      <xdr:rowOff>57150</xdr:rowOff>
    </xdr:from>
    <xdr:to>
      <xdr:col>5</xdr:col>
      <xdr:colOff>723900</xdr:colOff>
      <xdr:row>9</xdr:row>
      <xdr:rowOff>85724</xdr:rowOff>
    </xdr:to>
    <xdr:cxnSp macro="">
      <xdr:nvCxnSpPr>
        <xdr:cNvPr id="2" name="Straight Arrow Connector 1"/>
        <xdr:cNvCxnSpPr/>
      </xdr:nvCxnSpPr>
      <xdr:spPr>
        <a:xfrm flipV="1">
          <a:off x="1762125" y="2400300"/>
          <a:ext cx="5067300" cy="285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9</xdr:row>
      <xdr:rowOff>47625</xdr:rowOff>
    </xdr:from>
    <xdr:to>
      <xdr:col>8</xdr:col>
      <xdr:colOff>1743075</xdr:colOff>
      <xdr:row>9</xdr:row>
      <xdr:rowOff>47625</xdr:rowOff>
    </xdr:to>
    <xdr:cxnSp macro="">
      <xdr:nvCxnSpPr>
        <xdr:cNvPr id="3" name="Straight Arrow Connector 2"/>
        <xdr:cNvCxnSpPr/>
      </xdr:nvCxnSpPr>
      <xdr:spPr>
        <a:xfrm>
          <a:off x="6915150" y="2390775"/>
          <a:ext cx="2638425"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1857375</xdr:colOff>
      <xdr:row>9</xdr:row>
      <xdr:rowOff>9525</xdr:rowOff>
    </xdr:from>
    <xdr:to>
      <xdr:col>8</xdr:col>
      <xdr:colOff>1876425</xdr:colOff>
      <xdr:row>15</xdr:row>
      <xdr:rowOff>314325</xdr:rowOff>
    </xdr:to>
    <xdr:cxnSp macro="">
      <xdr:nvCxnSpPr>
        <xdr:cNvPr id="4" name="Straight Arrow Connector 3"/>
        <xdr:cNvCxnSpPr/>
      </xdr:nvCxnSpPr>
      <xdr:spPr>
        <a:xfrm flipH="1">
          <a:off x="9553575" y="2352675"/>
          <a:ext cx="0" cy="3162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895350</xdr:colOff>
      <xdr:row>16</xdr:row>
      <xdr:rowOff>9525</xdr:rowOff>
    </xdr:from>
    <xdr:to>
      <xdr:col>8</xdr:col>
      <xdr:colOff>1895475</xdr:colOff>
      <xdr:row>18</xdr:row>
      <xdr:rowOff>180975</xdr:rowOff>
    </xdr:to>
    <xdr:cxnSp macro="">
      <xdr:nvCxnSpPr>
        <xdr:cNvPr id="5" name="Straight Arrow Connector 4"/>
        <xdr:cNvCxnSpPr/>
      </xdr:nvCxnSpPr>
      <xdr:spPr>
        <a:xfrm flipH="1">
          <a:off x="7667625" y="5591175"/>
          <a:ext cx="1885950" cy="552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885825</xdr:colOff>
      <xdr:row>16</xdr:row>
      <xdr:rowOff>28575</xdr:rowOff>
    </xdr:from>
    <xdr:to>
      <xdr:col>8</xdr:col>
      <xdr:colOff>1885950</xdr:colOff>
      <xdr:row>18</xdr:row>
      <xdr:rowOff>171450</xdr:rowOff>
    </xdr:to>
    <xdr:cxnSp macro="">
      <xdr:nvCxnSpPr>
        <xdr:cNvPr id="6" name="Straight Arrow Connector 5"/>
        <xdr:cNvCxnSpPr/>
      </xdr:nvCxnSpPr>
      <xdr:spPr>
        <a:xfrm flipH="1">
          <a:off x="6010275" y="5610225"/>
          <a:ext cx="3543300" cy="523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1838325</xdr:colOff>
      <xdr:row>16</xdr:row>
      <xdr:rowOff>28575</xdr:rowOff>
    </xdr:from>
    <xdr:to>
      <xdr:col>8</xdr:col>
      <xdr:colOff>1885951</xdr:colOff>
      <xdr:row>18</xdr:row>
      <xdr:rowOff>180975</xdr:rowOff>
    </xdr:to>
    <xdr:cxnSp macro="">
      <xdr:nvCxnSpPr>
        <xdr:cNvPr id="7" name="Straight Arrow Connector 6"/>
        <xdr:cNvCxnSpPr/>
      </xdr:nvCxnSpPr>
      <xdr:spPr>
        <a:xfrm flipH="1">
          <a:off x="9553575" y="5610225"/>
          <a:ext cx="1"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990600</xdr:colOff>
      <xdr:row>16</xdr:row>
      <xdr:rowOff>0</xdr:rowOff>
    </xdr:from>
    <xdr:to>
      <xdr:col>8</xdr:col>
      <xdr:colOff>1905000</xdr:colOff>
      <xdr:row>18</xdr:row>
      <xdr:rowOff>180975</xdr:rowOff>
    </xdr:to>
    <xdr:cxnSp macro="">
      <xdr:nvCxnSpPr>
        <xdr:cNvPr id="8" name="Straight Arrow Connector 7"/>
        <xdr:cNvCxnSpPr/>
      </xdr:nvCxnSpPr>
      <xdr:spPr>
        <a:xfrm flipH="1">
          <a:off x="3400425" y="5581650"/>
          <a:ext cx="6153150" cy="56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41</xdr:row>
      <xdr:rowOff>9524</xdr:rowOff>
    </xdr:from>
    <xdr:to>
      <xdr:col>9</xdr:col>
      <xdr:colOff>19050</xdr:colOff>
      <xdr:row>42</xdr:row>
      <xdr:rowOff>28575</xdr:rowOff>
    </xdr:to>
    <xdr:sp macro="" textlink="">
      <xdr:nvSpPr>
        <xdr:cNvPr id="10" name="Rounded Rectangle 9"/>
        <xdr:cNvSpPr/>
      </xdr:nvSpPr>
      <xdr:spPr>
        <a:xfrm>
          <a:off x="0" y="8258174"/>
          <a:ext cx="12049125" cy="2095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9</xdr:row>
      <xdr:rowOff>57150</xdr:rowOff>
    </xdr:from>
    <xdr:to>
      <xdr:col>5</xdr:col>
      <xdr:colOff>723900</xdr:colOff>
      <xdr:row>9</xdr:row>
      <xdr:rowOff>85724</xdr:rowOff>
    </xdr:to>
    <xdr:cxnSp macro="">
      <xdr:nvCxnSpPr>
        <xdr:cNvPr id="3" name="Straight Arrow Connector 2"/>
        <xdr:cNvCxnSpPr/>
      </xdr:nvCxnSpPr>
      <xdr:spPr>
        <a:xfrm flipV="1">
          <a:off x="2686050" y="2019300"/>
          <a:ext cx="6372225" cy="285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9</xdr:row>
      <xdr:rowOff>47625</xdr:rowOff>
    </xdr:from>
    <xdr:to>
      <xdr:col>8</xdr:col>
      <xdr:colOff>1743075</xdr:colOff>
      <xdr:row>9</xdr:row>
      <xdr:rowOff>47625</xdr:rowOff>
    </xdr:to>
    <xdr:cxnSp macro="">
      <xdr:nvCxnSpPr>
        <xdr:cNvPr id="5" name="Straight Arrow Connector 4"/>
        <xdr:cNvCxnSpPr/>
      </xdr:nvCxnSpPr>
      <xdr:spPr>
        <a:xfrm>
          <a:off x="9239250" y="2009775"/>
          <a:ext cx="34290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1857375</xdr:colOff>
      <xdr:row>9</xdr:row>
      <xdr:rowOff>9525</xdr:rowOff>
    </xdr:from>
    <xdr:to>
      <xdr:col>8</xdr:col>
      <xdr:colOff>1876425</xdr:colOff>
      <xdr:row>15</xdr:row>
      <xdr:rowOff>314325</xdr:rowOff>
    </xdr:to>
    <xdr:cxnSp macro="">
      <xdr:nvCxnSpPr>
        <xdr:cNvPr id="7" name="Straight Arrow Connector 6"/>
        <xdr:cNvCxnSpPr/>
      </xdr:nvCxnSpPr>
      <xdr:spPr>
        <a:xfrm flipH="1">
          <a:off x="12782550" y="1971675"/>
          <a:ext cx="19050" cy="3162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895350</xdr:colOff>
      <xdr:row>16</xdr:row>
      <xdr:rowOff>9525</xdr:rowOff>
    </xdr:from>
    <xdr:to>
      <xdr:col>8</xdr:col>
      <xdr:colOff>1895475</xdr:colOff>
      <xdr:row>18</xdr:row>
      <xdr:rowOff>180975</xdr:rowOff>
    </xdr:to>
    <xdr:cxnSp macro="">
      <xdr:nvCxnSpPr>
        <xdr:cNvPr id="9" name="Straight Arrow Connector 8"/>
        <xdr:cNvCxnSpPr/>
      </xdr:nvCxnSpPr>
      <xdr:spPr>
        <a:xfrm flipH="1">
          <a:off x="10048875" y="5210175"/>
          <a:ext cx="2771775" cy="552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885825</xdr:colOff>
      <xdr:row>16</xdr:row>
      <xdr:rowOff>28575</xdr:rowOff>
    </xdr:from>
    <xdr:to>
      <xdr:col>8</xdr:col>
      <xdr:colOff>1885950</xdr:colOff>
      <xdr:row>18</xdr:row>
      <xdr:rowOff>171450</xdr:rowOff>
    </xdr:to>
    <xdr:cxnSp macro="">
      <xdr:nvCxnSpPr>
        <xdr:cNvPr id="10" name="Straight Arrow Connector 9"/>
        <xdr:cNvCxnSpPr/>
      </xdr:nvCxnSpPr>
      <xdr:spPr>
        <a:xfrm flipH="1">
          <a:off x="8239125" y="5229225"/>
          <a:ext cx="4572000" cy="523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1838325</xdr:colOff>
      <xdr:row>16</xdr:row>
      <xdr:rowOff>28575</xdr:rowOff>
    </xdr:from>
    <xdr:to>
      <xdr:col>8</xdr:col>
      <xdr:colOff>1885951</xdr:colOff>
      <xdr:row>18</xdr:row>
      <xdr:rowOff>180975</xdr:rowOff>
    </xdr:to>
    <xdr:cxnSp macro="">
      <xdr:nvCxnSpPr>
        <xdr:cNvPr id="11" name="Straight Arrow Connector 10"/>
        <xdr:cNvCxnSpPr/>
      </xdr:nvCxnSpPr>
      <xdr:spPr>
        <a:xfrm flipH="1">
          <a:off x="12763500" y="5229225"/>
          <a:ext cx="47626"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990600</xdr:colOff>
      <xdr:row>16</xdr:row>
      <xdr:rowOff>0</xdr:rowOff>
    </xdr:from>
    <xdr:to>
      <xdr:col>8</xdr:col>
      <xdr:colOff>1905000</xdr:colOff>
      <xdr:row>18</xdr:row>
      <xdr:rowOff>180975</xdr:rowOff>
    </xdr:to>
    <xdr:cxnSp macro="">
      <xdr:nvCxnSpPr>
        <xdr:cNvPr id="12" name="Straight Arrow Connector 11"/>
        <xdr:cNvCxnSpPr/>
      </xdr:nvCxnSpPr>
      <xdr:spPr>
        <a:xfrm flipH="1">
          <a:off x="4610100" y="5200650"/>
          <a:ext cx="8220075" cy="56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1905000</xdr:colOff>
      <xdr:row>21</xdr:row>
      <xdr:rowOff>0</xdr:rowOff>
    </xdr:from>
    <xdr:to>
      <xdr:col>9</xdr:col>
      <xdr:colOff>9526</xdr:colOff>
      <xdr:row>35</xdr:row>
      <xdr:rowOff>114300</xdr:rowOff>
    </xdr:to>
    <xdr:cxnSp macro="">
      <xdr:nvCxnSpPr>
        <xdr:cNvPr id="26" name="Straight Arrow Connector 25"/>
        <xdr:cNvCxnSpPr/>
      </xdr:nvCxnSpPr>
      <xdr:spPr>
        <a:xfrm flipH="1">
          <a:off x="12830175" y="6153150"/>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36</xdr:row>
      <xdr:rowOff>9524</xdr:rowOff>
    </xdr:from>
    <xdr:to>
      <xdr:col>9</xdr:col>
      <xdr:colOff>19050</xdr:colOff>
      <xdr:row>37</xdr:row>
      <xdr:rowOff>28575</xdr:rowOff>
    </xdr:to>
    <xdr:sp macro="" textlink="">
      <xdr:nvSpPr>
        <xdr:cNvPr id="28" name="Rounded Rectangle 27"/>
        <xdr:cNvSpPr/>
      </xdr:nvSpPr>
      <xdr:spPr>
        <a:xfrm>
          <a:off x="0" y="9020174"/>
          <a:ext cx="12868275" cy="2095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971550</xdr:colOff>
      <xdr:row>21</xdr:row>
      <xdr:rowOff>28575</xdr:rowOff>
    </xdr:from>
    <xdr:to>
      <xdr:col>5</xdr:col>
      <xdr:colOff>19051</xdr:colOff>
      <xdr:row>35</xdr:row>
      <xdr:rowOff>142875</xdr:rowOff>
    </xdr:to>
    <xdr:cxnSp macro="">
      <xdr:nvCxnSpPr>
        <xdr:cNvPr id="29" name="Straight Arrow Connector 28"/>
        <xdr:cNvCxnSpPr/>
      </xdr:nvCxnSpPr>
      <xdr:spPr>
        <a:xfrm flipH="1">
          <a:off x="8324850" y="6181725"/>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885825</xdr:colOff>
      <xdr:row>21</xdr:row>
      <xdr:rowOff>28575</xdr:rowOff>
    </xdr:from>
    <xdr:to>
      <xdr:col>7</xdr:col>
      <xdr:colOff>9526</xdr:colOff>
      <xdr:row>35</xdr:row>
      <xdr:rowOff>142875</xdr:rowOff>
    </xdr:to>
    <xdr:cxnSp macro="">
      <xdr:nvCxnSpPr>
        <xdr:cNvPr id="30" name="Straight Arrow Connector 29"/>
        <xdr:cNvCxnSpPr/>
      </xdr:nvCxnSpPr>
      <xdr:spPr>
        <a:xfrm flipH="1">
          <a:off x="10039350" y="6181725"/>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1047750</xdr:colOff>
      <xdr:row>21</xdr:row>
      <xdr:rowOff>9525</xdr:rowOff>
    </xdr:from>
    <xdr:to>
      <xdr:col>3</xdr:col>
      <xdr:colOff>9526</xdr:colOff>
      <xdr:row>35</xdr:row>
      <xdr:rowOff>123825</xdr:rowOff>
    </xdr:to>
    <xdr:cxnSp macro="">
      <xdr:nvCxnSpPr>
        <xdr:cNvPr id="31" name="Straight Arrow Connector 30"/>
        <xdr:cNvCxnSpPr/>
      </xdr:nvCxnSpPr>
      <xdr:spPr>
        <a:xfrm flipH="1">
          <a:off x="4667250" y="6162675"/>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ustomProperty" Target="../customProperty7.bin"/><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7.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69"/>
  <sheetViews>
    <sheetView workbookViewId="0">
      <selection activeCell="N56" sqref="N56"/>
    </sheetView>
  </sheetViews>
  <sheetFormatPr defaultRowHeight="15" x14ac:dyDescent="0.25"/>
  <cols>
    <col min="2" max="2" width="11" customWidth="1"/>
    <col min="4" max="4" width="10.28515625" customWidth="1"/>
    <col min="6" max="6" width="12.85546875" customWidth="1"/>
    <col min="7" max="7" width="2.42578125" customWidth="1"/>
    <col min="9" max="9" width="10.140625" customWidth="1"/>
    <col min="11" max="11" width="10.28515625" customWidth="1"/>
    <col min="13" max="13" width="11.28515625" bestFit="1" customWidth="1"/>
    <col min="16" max="16" width="10.140625" customWidth="1"/>
    <col min="18" max="18" width="10.42578125" customWidth="1"/>
    <col min="20" max="20" width="10.28515625" bestFit="1" customWidth="1"/>
  </cols>
  <sheetData>
    <row r="1" spans="1:13" ht="18.75" x14ac:dyDescent="0.25">
      <c r="A1" s="41">
        <v>2018</v>
      </c>
      <c r="B1" s="41" t="s">
        <v>237</v>
      </c>
      <c r="H1" s="41">
        <v>2018</v>
      </c>
      <c r="I1" s="41" t="s">
        <v>237</v>
      </c>
    </row>
    <row r="2" spans="1:13" x14ac:dyDescent="0.25">
      <c r="A2" s="184" t="s">
        <v>346</v>
      </c>
      <c r="B2" s="184"/>
      <c r="C2" s="184"/>
      <c r="D2" s="184"/>
      <c r="E2" s="184"/>
      <c r="F2" s="184"/>
      <c r="H2" s="185" t="s">
        <v>346</v>
      </c>
      <c r="I2" s="185"/>
      <c r="J2" s="185"/>
      <c r="K2" s="159"/>
      <c r="L2" s="159"/>
      <c r="M2" s="159"/>
    </row>
    <row r="3" spans="1:13" ht="39" x14ac:dyDescent="0.25">
      <c r="A3" s="28" t="s">
        <v>234</v>
      </c>
      <c r="B3" s="37" t="s">
        <v>230</v>
      </c>
      <c r="C3" s="37" t="s">
        <v>233</v>
      </c>
      <c r="D3" s="37" t="s">
        <v>232</v>
      </c>
      <c r="E3" s="36" t="s">
        <v>231</v>
      </c>
      <c r="F3" s="35" t="s">
        <v>230</v>
      </c>
      <c r="H3" s="28" t="s">
        <v>234</v>
      </c>
      <c r="I3" s="37" t="s">
        <v>232</v>
      </c>
      <c r="J3" s="36" t="s">
        <v>231</v>
      </c>
      <c r="K3" s="80"/>
      <c r="L3" s="80"/>
      <c r="M3" s="80"/>
    </row>
    <row r="4" spans="1:13" x14ac:dyDescent="0.25">
      <c r="A4" s="34">
        <v>42856</v>
      </c>
      <c r="B4" s="40">
        <v>57.07</v>
      </c>
      <c r="C4" s="32">
        <f t="shared" ref="C4:C10" si="0">ROUND(B4/2,2)</f>
        <v>28.54</v>
      </c>
      <c r="D4" s="31">
        <v>10832</v>
      </c>
      <c r="E4" s="30">
        <v>326.74</v>
      </c>
      <c r="F4" s="32">
        <f t="shared" ref="F4:F15" si="1">+ROUND(+E4*C4,2)</f>
        <v>9325.16</v>
      </c>
      <c r="H4" s="34">
        <v>43221</v>
      </c>
      <c r="I4" s="31">
        <v>10938</v>
      </c>
      <c r="J4" s="30">
        <v>344.72</v>
      </c>
    </row>
    <row r="5" spans="1:13" x14ac:dyDescent="0.25">
      <c r="A5" s="34">
        <v>42887</v>
      </c>
      <c r="B5" s="40">
        <v>72.73</v>
      </c>
      <c r="C5" s="32">
        <f t="shared" si="0"/>
        <v>36.369999999999997</v>
      </c>
      <c r="D5" s="31">
        <v>10837</v>
      </c>
      <c r="E5" s="30">
        <v>386.41</v>
      </c>
      <c r="F5" s="32">
        <f t="shared" si="1"/>
        <v>14053.73</v>
      </c>
      <c r="H5" s="34">
        <v>43252</v>
      </c>
      <c r="I5" s="31">
        <v>10944</v>
      </c>
      <c r="J5" s="30">
        <v>306.7</v>
      </c>
    </row>
    <row r="6" spans="1:13" x14ac:dyDescent="0.25">
      <c r="A6" s="34">
        <v>42917</v>
      </c>
      <c r="B6" s="40">
        <v>79.69</v>
      </c>
      <c r="C6" s="32">
        <f t="shared" si="0"/>
        <v>39.85</v>
      </c>
      <c r="D6" s="31">
        <v>10820</v>
      </c>
      <c r="E6" s="30">
        <v>358.7</v>
      </c>
      <c r="F6" s="32">
        <f t="shared" si="1"/>
        <v>14294.2</v>
      </c>
      <c r="H6" s="34">
        <v>43282</v>
      </c>
      <c r="I6" s="31">
        <v>10965</v>
      </c>
      <c r="J6" s="30">
        <v>340.15999999999997</v>
      </c>
    </row>
    <row r="7" spans="1:13" x14ac:dyDescent="0.25">
      <c r="A7" s="34">
        <v>42948</v>
      </c>
      <c r="B7" s="40">
        <v>69.790000000000006</v>
      </c>
      <c r="C7" s="32">
        <f t="shared" si="0"/>
        <v>34.9</v>
      </c>
      <c r="D7" s="31">
        <v>10889</v>
      </c>
      <c r="E7" s="30">
        <v>396.63</v>
      </c>
      <c r="F7" s="32">
        <f t="shared" si="1"/>
        <v>13842.39</v>
      </c>
      <c r="H7" s="34">
        <v>43313</v>
      </c>
      <c r="I7" s="31">
        <v>10938</v>
      </c>
      <c r="J7" s="30">
        <v>352.53</v>
      </c>
    </row>
    <row r="8" spans="1:13" x14ac:dyDescent="0.25">
      <c r="A8" s="34">
        <v>42979</v>
      </c>
      <c r="B8" s="40">
        <v>53.47</v>
      </c>
      <c r="C8" s="32">
        <f t="shared" si="0"/>
        <v>26.74</v>
      </c>
      <c r="D8" s="31">
        <v>10879</v>
      </c>
      <c r="E8" s="30">
        <v>351.15</v>
      </c>
      <c r="F8" s="32">
        <f t="shared" si="1"/>
        <v>9389.75</v>
      </c>
      <c r="H8" s="34">
        <v>43344</v>
      </c>
      <c r="I8" s="31">
        <v>10953</v>
      </c>
      <c r="J8" s="30">
        <v>310.79000000000002</v>
      </c>
    </row>
    <row r="9" spans="1:13" x14ac:dyDescent="0.25">
      <c r="A9" s="34">
        <v>43009</v>
      </c>
      <c r="B9" s="40">
        <v>37.99</v>
      </c>
      <c r="C9" s="32">
        <f t="shared" si="0"/>
        <v>19</v>
      </c>
      <c r="D9" s="31">
        <v>10878</v>
      </c>
      <c r="E9" s="30">
        <v>320.20999999999998</v>
      </c>
      <c r="F9" s="32">
        <f t="shared" si="1"/>
        <v>6083.99</v>
      </c>
      <c r="H9" s="34">
        <v>43374</v>
      </c>
      <c r="I9" s="31">
        <v>10940</v>
      </c>
      <c r="J9" s="30">
        <v>299.35000000000002</v>
      </c>
    </row>
    <row r="10" spans="1:13" x14ac:dyDescent="0.25">
      <c r="A10" s="34">
        <v>43040</v>
      </c>
      <c r="B10" s="40">
        <v>52.61</v>
      </c>
      <c r="C10" s="32">
        <f t="shared" si="0"/>
        <v>26.31</v>
      </c>
      <c r="D10" s="31">
        <v>10949</v>
      </c>
      <c r="E10" s="30">
        <v>400.91</v>
      </c>
      <c r="F10" s="32">
        <f t="shared" si="1"/>
        <v>10547.94</v>
      </c>
      <c r="H10" s="158"/>
      <c r="I10" s="25"/>
      <c r="J10" s="24"/>
    </row>
    <row r="11" spans="1:13" x14ac:dyDescent="0.25">
      <c r="A11" s="34">
        <v>43070</v>
      </c>
      <c r="B11" s="40">
        <v>45.83</v>
      </c>
      <c r="C11" s="32">
        <v>22.92</v>
      </c>
      <c r="D11" s="31">
        <v>10905</v>
      </c>
      <c r="E11" s="30">
        <v>391.35</v>
      </c>
      <c r="F11" s="32">
        <f t="shared" si="1"/>
        <v>8969.74</v>
      </c>
      <c r="H11" s="158"/>
      <c r="I11" s="25"/>
      <c r="J11" s="24"/>
    </row>
    <row r="12" spans="1:13" x14ac:dyDescent="0.25">
      <c r="A12" s="34">
        <v>43101</v>
      </c>
      <c r="B12" s="40">
        <v>40.43</v>
      </c>
      <c r="C12" s="32">
        <f>ROUND(B12/2,2)</f>
        <v>20.22</v>
      </c>
      <c r="D12" s="31">
        <v>10948</v>
      </c>
      <c r="E12" s="30">
        <v>436.71</v>
      </c>
      <c r="F12" s="32">
        <f t="shared" si="1"/>
        <v>8830.2800000000007</v>
      </c>
      <c r="H12" s="34"/>
      <c r="I12" s="31"/>
      <c r="J12" s="30"/>
    </row>
    <row r="13" spans="1:13" x14ac:dyDescent="0.25">
      <c r="A13" s="34">
        <v>43132</v>
      </c>
      <c r="B13" s="40">
        <v>6.62</v>
      </c>
      <c r="C13" s="32">
        <f>ROUND(B13/2,2)</f>
        <v>3.31</v>
      </c>
      <c r="D13" s="31">
        <v>10944</v>
      </c>
      <c r="E13" s="30">
        <v>297.14999999999998</v>
      </c>
      <c r="F13" s="32">
        <f t="shared" si="1"/>
        <v>983.57</v>
      </c>
      <c r="H13" s="34"/>
      <c r="I13" s="31"/>
      <c r="J13" s="30"/>
    </row>
    <row r="14" spans="1:13" x14ac:dyDescent="0.25">
      <c r="A14" s="34">
        <v>43160</v>
      </c>
      <c r="B14" s="40">
        <v>3.21</v>
      </c>
      <c r="C14" s="32">
        <f>ROUND(B14/2,2)</f>
        <v>1.61</v>
      </c>
      <c r="D14" s="31">
        <v>10937</v>
      </c>
      <c r="E14" s="30">
        <v>312.88</v>
      </c>
      <c r="F14" s="32">
        <f t="shared" si="1"/>
        <v>503.74</v>
      </c>
      <c r="H14" s="34"/>
      <c r="I14" s="31"/>
      <c r="J14" s="30"/>
    </row>
    <row r="15" spans="1:13" x14ac:dyDescent="0.25">
      <c r="A15" s="34">
        <v>43191</v>
      </c>
      <c r="B15" s="40">
        <v>3.91</v>
      </c>
      <c r="C15" s="32">
        <f>ROUND(B15/2,2)</f>
        <v>1.96</v>
      </c>
      <c r="D15" s="31">
        <v>10938</v>
      </c>
      <c r="E15" s="30">
        <v>286.69</v>
      </c>
      <c r="F15" s="32">
        <f t="shared" si="1"/>
        <v>561.91</v>
      </c>
      <c r="H15" s="34"/>
      <c r="I15" s="31"/>
      <c r="J15" s="30"/>
    </row>
    <row r="16" spans="1:13" ht="15.75" thickBot="1" x14ac:dyDescent="0.3">
      <c r="A16" s="28" t="s">
        <v>229</v>
      </c>
      <c r="B16" s="39">
        <f>AVERAGE(B4:B15)</f>
        <v>43.612500000000004</v>
      </c>
      <c r="C16" s="26"/>
      <c r="D16" s="25">
        <f>SUM(D4:D15)</f>
        <v>130756</v>
      </c>
      <c r="E16" s="24">
        <f>SUM(E4:E15)</f>
        <v>4265.53</v>
      </c>
      <c r="F16" s="38">
        <f>SUM(F4:F15)</f>
        <v>97386.400000000023</v>
      </c>
      <c r="H16" s="28"/>
      <c r="I16" s="25"/>
      <c r="J16" s="24"/>
    </row>
    <row r="18" spans="1:13" x14ac:dyDescent="0.25">
      <c r="K18" s="161"/>
      <c r="L18" s="161"/>
      <c r="M18" s="161"/>
    </row>
    <row r="19" spans="1:13" x14ac:dyDescent="0.25">
      <c r="A19" s="185" t="s">
        <v>236</v>
      </c>
      <c r="B19" s="185"/>
      <c r="C19" s="185"/>
      <c r="D19" s="185"/>
      <c r="E19" s="185"/>
      <c r="F19" s="185"/>
      <c r="H19" s="185" t="s">
        <v>236</v>
      </c>
      <c r="I19" s="185"/>
      <c r="J19" s="185"/>
      <c r="K19" s="159"/>
      <c r="L19" s="159"/>
      <c r="M19" s="159"/>
    </row>
    <row r="20" spans="1:13" ht="39" x14ac:dyDescent="0.25">
      <c r="A20" s="28" t="s">
        <v>234</v>
      </c>
      <c r="B20" s="37" t="s">
        <v>230</v>
      </c>
      <c r="C20" s="37" t="s">
        <v>233</v>
      </c>
      <c r="D20" s="37" t="s">
        <v>232</v>
      </c>
      <c r="E20" s="36" t="s">
        <v>231</v>
      </c>
      <c r="F20" s="35" t="s">
        <v>230</v>
      </c>
      <c r="H20" s="28" t="s">
        <v>234</v>
      </c>
      <c r="I20" s="37" t="s">
        <v>232</v>
      </c>
      <c r="J20" s="160" t="s">
        <v>231</v>
      </c>
      <c r="K20" s="161"/>
      <c r="L20" s="161"/>
      <c r="M20" s="161"/>
    </row>
    <row r="21" spans="1:13" x14ac:dyDescent="0.25">
      <c r="A21" s="34">
        <v>42856</v>
      </c>
      <c r="B21" s="33">
        <v>57.07</v>
      </c>
      <c r="C21" s="32">
        <f t="shared" ref="C21:C32" si="2">ROUND(B21/2,2)</f>
        <v>28.54</v>
      </c>
      <c r="D21" s="31">
        <v>20118</v>
      </c>
      <c r="E21" s="30">
        <v>572.26</v>
      </c>
      <c r="F21" s="32">
        <f t="shared" ref="F21:F32" si="3">+ROUND(+E21*C21,2)</f>
        <v>16332.3</v>
      </c>
      <c r="H21" s="34">
        <v>43221</v>
      </c>
      <c r="I21" s="31">
        <v>20539</v>
      </c>
      <c r="J21" s="30">
        <v>623.16</v>
      </c>
    </row>
    <row r="22" spans="1:13" x14ac:dyDescent="0.25">
      <c r="A22" s="34">
        <v>42887</v>
      </c>
      <c r="B22" s="33">
        <v>72.73</v>
      </c>
      <c r="C22" s="32">
        <f t="shared" si="2"/>
        <v>36.369999999999997</v>
      </c>
      <c r="D22" s="31">
        <v>20170</v>
      </c>
      <c r="E22" s="30">
        <v>567.11</v>
      </c>
      <c r="F22" s="32">
        <f t="shared" si="3"/>
        <v>20625.79</v>
      </c>
      <c r="H22" s="34">
        <v>43252</v>
      </c>
      <c r="I22" s="31">
        <v>20706</v>
      </c>
      <c r="J22" s="30">
        <v>620.62</v>
      </c>
    </row>
    <row r="23" spans="1:13" x14ac:dyDescent="0.25">
      <c r="A23" s="34">
        <v>42917</v>
      </c>
      <c r="B23" s="33">
        <v>79.69</v>
      </c>
      <c r="C23" s="32">
        <f t="shared" si="2"/>
        <v>39.85</v>
      </c>
      <c r="D23" s="31">
        <v>20306</v>
      </c>
      <c r="E23" s="30">
        <v>548.28</v>
      </c>
      <c r="F23" s="32">
        <f t="shared" si="3"/>
        <v>21848.959999999999</v>
      </c>
      <c r="H23" s="34">
        <v>43282</v>
      </c>
      <c r="I23" s="31">
        <v>20749</v>
      </c>
      <c r="J23" s="30">
        <v>648.62</v>
      </c>
    </row>
    <row r="24" spans="1:13" x14ac:dyDescent="0.25">
      <c r="A24" s="34">
        <v>42948</v>
      </c>
      <c r="B24" s="33">
        <v>69.790000000000006</v>
      </c>
      <c r="C24" s="32">
        <f t="shared" si="2"/>
        <v>34.9</v>
      </c>
      <c r="D24" s="31">
        <v>20405</v>
      </c>
      <c r="E24" s="30">
        <v>576.79999999999995</v>
      </c>
      <c r="F24" s="32">
        <f t="shared" si="3"/>
        <v>20130.32</v>
      </c>
      <c r="H24" s="34">
        <v>43313</v>
      </c>
      <c r="I24" s="31">
        <v>20732</v>
      </c>
      <c r="J24" s="30">
        <v>674.98</v>
      </c>
    </row>
    <row r="25" spans="1:13" x14ac:dyDescent="0.25">
      <c r="A25" s="34">
        <v>42979</v>
      </c>
      <c r="B25" s="33">
        <v>53.47</v>
      </c>
      <c r="C25" s="32">
        <f t="shared" si="2"/>
        <v>26.74</v>
      </c>
      <c r="D25" s="31">
        <v>20361</v>
      </c>
      <c r="E25" s="30">
        <v>562.9</v>
      </c>
      <c r="F25" s="32">
        <f t="shared" si="3"/>
        <v>15051.95</v>
      </c>
      <c r="H25" s="34">
        <v>43344</v>
      </c>
      <c r="I25" s="31">
        <v>20737</v>
      </c>
      <c r="J25" s="30">
        <v>550.18999999999994</v>
      </c>
    </row>
    <row r="26" spans="1:13" x14ac:dyDescent="0.25">
      <c r="A26" s="34">
        <v>43009</v>
      </c>
      <c r="B26" s="33">
        <v>45.35</v>
      </c>
      <c r="C26" s="32">
        <f t="shared" si="2"/>
        <v>22.68</v>
      </c>
      <c r="D26" s="31">
        <v>20404</v>
      </c>
      <c r="E26" s="30">
        <v>519.35</v>
      </c>
      <c r="F26" s="32">
        <f t="shared" si="3"/>
        <v>11778.86</v>
      </c>
      <c r="H26" s="34">
        <v>43374</v>
      </c>
      <c r="I26" s="31">
        <v>20756</v>
      </c>
      <c r="J26" s="30">
        <v>657.09</v>
      </c>
    </row>
    <row r="27" spans="1:13" x14ac:dyDescent="0.25">
      <c r="A27" s="34">
        <v>43040</v>
      </c>
      <c r="B27" s="33">
        <v>52.61</v>
      </c>
      <c r="C27" s="32">
        <f t="shared" si="2"/>
        <v>26.31</v>
      </c>
      <c r="D27" s="31">
        <v>20584</v>
      </c>
      <c r="E27" s="30">
        <v>604.01</v>
      </c>
      <c r="F27" s="32">
        <f t="shared" si="3"/>
        <v>15891.5</v>
      </c>
      <c r="H27" s="158"/>
      <c r="I27" s="25"/>
      <c r="J27" s="24"/>
    </row>
    <row r="28" spans="1:13" x14ac:dyDescent="0.25">
      <c r="A28" s="34">
        <v>43070</v>
      </c>
      <c r="B28" s="33">
        <v>45.26</v>
      </c>
      <c r="C28" s="32">
        <f t="shared" si="2"/>
        <v>22.63</v>
      </c>
      <c r="D28" s="31">
        <v>20512</v>
      </c>
      <c r="E28" s="30">
        <v>596.88</v>
      </c>
      <c r="F28" s="32">
        <f t="shared" si="3"/>
        <v>13507.39</v>
      </c>
      <c r="H28" s="158"/>
      <c r="I28" s="25"/>
      <c r="J28" s="24"/>
    </row>
    <row r="29" spans="1:13" x14ac:dyDescent="0.25">
      <c r="A29" s="34">
        <v>43101</v>
      </c>
      <c r="B29" s="33">
        <v>41.37</v>
      </c>
      <c r="C29" s="32">
        <f t="shared" si="2"/>
        <v>20.69</v>
      </c>
      <c r="D29" s="31">
        <v>20534</v>
      </c>
      <c r="E29" s="30">
        <v>780.84</v>
      </c>
      <c r="F29" s="32">
        <f t="shared" si="3"/>
        <v>16155.58</v>
      </c>
      <c r="H29" s="34"/>
      <c r="I29" s="31"/>
      <c r="J29" s="30"/>
    </row>
    <row r="30" spans="1:13" x14ac:dyDescent="0.25">
      <c r="A30" s="34">
        <v>43132</v>
      </c>
      <c r="B30" s="33">
        <v>2.59</v>
      </c>
      <c r="C30" s="32">
        <f t="shared" si="2"/>
        <v>1.3</v>
      </c>
      <c r="D30" s="31">
        <v>20452</v>
      </c>
      <c r="E30" s="30">
        <v>531.54999999999995</v>
      </c>
      <c r="F30" s="32">
        <f t="shared" si="3"/>
        <v>691.02</v>
      </c>
      <c r="H30" s="34"/>
      <c r="I30" s="31"/>
      <c r="J30" s="30"/>
    </row>
    <row r="31" spans="1:13" x14ac:dyDescent="0.25">
      <c r="A31" s="34">
        <v>43160</v>
      </c>
      <c r="B31" s="33">
        <v>2.27</v>
      </c>
      <c r="C31" s="32">
        <f t="shared" si="2"/>
        <v>1.1399999999999999</v>
      </c>
      <c r="D31" s="31">
        <v>20582</v>
      </c>
      <c r="E31" s="30">
        <v>615.26</v>
      </c>
      <c r="F31" s="32">
        <f t="shared" si="3"/>
        <v>701.4</v>
      </c>
      <c r="H31" s="34"/>
      <c r="I31" s="31"/>
      <c r="J31" s="30"/>
    </row>
    <row r="32" spans="1:13" x14ac:dyDescent="0.25">
      <c r="A32" s="34">
        <v>43191</v>
      </c>
      <c r="B32" s="33">
        <v>2.73</v>
      </c>
      <c r="C32" s="32">
        <f t="shared" si="2"/>
        <v>1.37</v>
      </c>
      <c r="D32" s="31">
        <v>20638</v>
      </c>
      <c r="E32" s="30">
        <v>597.57000000000005</v>
      </c>
      <c r="F32" s="29">
        <f t="shared" si="3"/>
        <v>818.67</v>
      </c>
      <c r="H32" s="34"/>
      <c r="I32" s="31"/>
      <c r="J32" s="30"/>
    </row>
    <row r="33" spans="1:14" ht="15.75" thickBot="1" x14ac:dyDescent="0.3">
      <c r="A33" s="28" t="s">
        <v>229</v>
      </c>
      <c r="B33" s="27">
        <f>AVERAGE(B21:B32)</f>
        <v>43.744166666666672</v>
      </c>
      <c r="C33" s="26"/>
      <c r="D33" s="25">
        <f>SUM(D21:D32)</f>
        <v>245066</v>
      </c>
      <c r="E33" s="24">
        <f>SUM(E21:E32)</f>
        <v>7072.81</v>
      </c>
      <c r="F33" s="23">
        <f>SUM(F21:F32)</f>
        <v>153533.74</v>
      </c>
      <c r="H33" s="28"/>
      <c r="I33" s="25"/>
      <c r="J33" s="24"/>
    </row>
    <row r="35" spans="1:14" x14ac:dyDescent="0.25">
      <c r="K35" s="161"/>
      <c r="L35" s="161"/>
      <c r="M35" s="161"/>
      <c r="N35" s="161"/>
    </row>
    <row r="36" spans="1:14" x14ac:dyDescent="0.25">
      <c r="A36" s="185" t="s">
        <v>235</v>
      </c>
      <c r="B36" s="185"/>
      <c r="C36" s="185"/>
      <c r="D36" s="185"/>
      <c r="E36" s="185"/>
      <c r="F36" s="185"/>
      <c r="H36" s="185" t="s">
        <v>235</v>
      </c>
      <c r="I36" s="185"/>
      <c r="J36" s="185"/>
      <c r="K36" s="159"/>
      <c r="L36" s="159"/>
      <c r="M36" s="159"/>
      <c r="N36" s="161"/>
    </row>
    <row r="37" spans="1:14" ht="39" x14ac:dyDescent="0.25">
      <c r="A37" s="28" t="s">
        <v>234</v>
      </c>
      <c r="B37" s="37" t="s">
        <v>230</v>
      </c>
      <c r="C37" s="37" t="s">
        <v>233</v>
      </c>
      <c r="D37" s="37" t="s">
        <v>232</v>
      </c>
      <c r="E37" s="36" t="s">
        <v>231</v>
      </c>
      <c r="F37" s="35" t="s">
        <v>230</v>
      </c>
      <c r="H37" s="28" t="s">
        <v>234</v>
      </c>
      <c r="I37" s="37" t="s">
        <v>232</v>
      </c>
      <c r="J37" s="160" t="s">
        <v>231</v>
      </c>
      <c r="K37" s="161"/>
      <c r="L37" s="161"/>
      <c r="M37" s="161"/>
      <c r="N37" s="161"/>
    </row>
    <row r="38" spans="1:14" x14ac:dyDescent="0.25">
      <c r="A38" s="34">
        <v>42856</v>
      </c>
      <c r="B38" s="33">
        <v>57.07</v>
      </c>
      <c r="C38" s="32">
        <f t="shared" ref="C38:C49" si="4">ROUND(B38/2,2)</f>
        <v>28.54</v>
      </c>
      <c r="D38" s="31">
        <v>4803</v>
      </c>
      <c r="E38" s="30">
        <v>158.18</v>
      </c>
      <c r="F38" s="32">
        <f t="shared" ref="F38:F49" si="5">+ROUND(+E38*C38,2)</f>
        <v>4514.46</v>
      </c>
      <c r="H38" s="34">
        <v>43221</v>
      </c>
      <c r="I38" s="31">
        <v>4913</v>
      </c>
      <c r="J38" s="30">
        <v>145.68</v>
      </c>
    </row>
    <row r="39" spans="1:14" x14ac:dyDescent="0.25">
      <c r="A39" s="34">
        <v>42887</v>
      </c>
      <c r="B39" s="33">
        <v>72.73</v>
      </c>
      <c r="C39" s="32">
        <f t="shared" si="4"/>
        <v>36.369999999999997</v>
      </c>
      <c r="D39" s="31">
        <v>4853</v>
      </c>
      <c r="E39" s="30">
        <v>120.3</v>
      </c>
      <c r="F39" s="32">
        <f t="shared" si="5"/>
        <v>4375.3100000000004</v>
      </c>
      <c r="H39" s="34">
        <v>43252</v>
      </c>
      <c r="I39" s="31">
        <v>4960</v>
      </c>
      <c r="J39" s="30">
        <v>144.49</v>
      </c>
    </row>
    <row r="40" spans="1:14" x14ac:dyDescent="0.25">
      <c r="A40" s="34">
        <v>42917</v>
      </c>
      <c r="B40" s="33">
        <v>79.69</v>
      </c>
      <c r="C40" s="32">
        <f t="shared" si="4"/>
        <v>39.85</v>
      </c>
      <c r="D40" s="31">
        <v>4829</v>
      </c>
      <c r="E40" s="30">
        <v>116.99</v>
      </c>
      <c r="F40" s="32">
        <f t="shared" si="5"/>
        <v>4662.05</v>
      </c>
      <c r="H40" s="34">
        <v>43282</v>
      </c>
      <c r="I40" s="31">
        <v>4966</v>
      </c>
      <c r="J40" s="30">
        <v>116.01</v>
      </c>
    </row>
    <row r="41" spans="1:14" x14ac:dyDescent="0.25">
      <c r="A41" s="34">
        <v>42948</v>
      </c>
      <c r="B41" s="33">
        <v>69.790000000000006</v>
      </c>
      <c r="C41" s="32">
        <f t="shared" si="4"/>
        <v>34.9</v>
      </c>
      <c r="D41" s="31">
        <v>4890</v>
      </c>
      <c r="E41" s="30">
        <v>118.45</v>
      </c>
      <c r="F41" s="32">
        <f t="shared" si="5"/>
        <v>4133.91</v>
      </c>
      <c r="H41" s="34">
        <v>43313</v>
      </c>
      <c r="I41" s="31">
        <v>4894</v>
      </c>
      <c r="J41" s="30">
        <v>118.57000000000001</v>
      </c>
    </row>
    <row r="42" spans="1:14" x14ac:dyDescent="0.25">
      <c r="A42" s="34">
        <v>42979</v>
      </c>
      <c r="B42" s="33">
        <v>53.47</v>
      </c>
      <c r="C42" s="32">
        <f t="shared" si="4"/>
        <v>26.74</v>
      </c>
      <c r="D42" s="31">
        <v>4890</v>
      </c>
      <c r="E42" s="30">
        <v>110.02</v>
      </c>
      <c r="F42" s="32">
        <f t="shared" si="5"/>
        <v>2941.93</v>
      </c>
      <c r="H42" s="34">
        <v>43344</v>
      </c>
      <c r="I42" s="31">
        <v>4965</v>
      </c>
      <c r="J42" s="30">
        <v>121.38</v>
      </c>
    </row>
    <row r="43" spans="1:14" x14ac:dyDescent="0.25">
      <c r="A43" s="34">
        <v>43009</v>
      </c>
      <c r="B43" s="33">
        <v>45.35</v>
      </c>
      <c r="C43" s="32">
        <f t="shared" si="4"/>
        <v>22.68</v>
      </c>
      <c r="D43" s="31">
        <v>4851</v>
      </c>
      <c r="E43" s="30">
        <v>130.63</v>
      </c>
      <c r="F43" s="32">
        <f t="shared" si="5"/>
        <v>2962.69</v>
      </c>
      <c r="H43" s="34">
        <v>43374</v>
      </c>
      <c r="I43" s="31">
        <v>4927</v>
      </c>
      <c r="J43" s="24">
        <v>119.97499999999999</v>
      </c>
    </row>
    <row r="44" spans="1:14" x14ac:dyDescent="0.25">
      <c r="A44" s="34">
        <v>43040</v>
      </c>
      <c r="B44" s="33">
        <v>52.61</v>
      </c>
      <c r="C44" s="32">
        <f t="shared" si="4"/>
        <v>26.31</v>
      </c>
      <c r="D44" s="31">
        <v>4901</v>
      </c>
      <c r="E44" s="30">
        <v>161.26</v>
      </c>
      <c r="F44" s="32">
        <f t="shared" si="5"/>
        <v>4242.75</v>
      </c>
      <c r="H44" s="158"/>
      <c r="I44" s="25"/>
      <c r="J44" s="24"/>
    </row>
    <row r="45" spans="1:14" x14ac:dyDescent="0.25">
      <c r="A45" s="34">
        <v>43070</v>
      </c>
      <c r="B45" s="33">
        <v>45.26</v>
      </c>
      <c r="C45" s="32">
        <f t="shared" si="4"/>
        <v>22.63</v>
      </c>
      <c r="D45" s="31">
        <v>4901</v>
      </c>
      <c r="E45" s="30">
        <v>129.85</v>
      </c>
      <c r="F45" s="32">
        <f t="shared" si="5"/>
        <v>2938.51</v>
      </c>
      <c r="H45" s="158"/>
      <c r="I45" s="25"/>
      <c r="J45" s="24"/>
    </row>
    <row r="46" spans="1:14" x14ac:dyDescent="0.25">
      <c r="A46" s="34">
        <v>43101</v>
      </c>
      <c r="B46" s="33">
        <v>41.37</v>
      </c>
      <c r="C46" s="32">
        <f t="shared" si="4"/>
        <v>20.69</v>
      </c>
      <c r="D46" s="31">
        <v>4910</v>
      </c>
      <c r="E46" s="30">
        <v>145.52000000000001</v>
      </c>
      <c r="F46" s="32">
        <f t="shared" si="5"/>
        <v>3010.81</v>
      </c>
      <c r="H46" s="34"/>
      <c r="I46" s="31"/>
      <c r="J46" s="30"/>
    </row>
    <row r="47" spans="1:14" x14ac:dyDescent="0.25">
      <c r="A47" s="34">
        <v>43132</v>
      </c>
      <c r="B47" s="33">
        <v>2.64</v>
      </c>
      <c r="C47" s="32">
        <f t="shared" si="4"/>
        <v>1.32</v>
      </c>
      <c r="D47" s="31">
        <v>4895</v>
      </c>
      <c r="E47" s="30">
        <v>101.32</v>
      </c>
      <c r="F47" s="32">
        <f t="shared" si="5"/>
        <v>133.74</v>
      </c>
      <c r="H47" s="34"/>
      <c r="I47" s="31"/>
      <c r="J47" s="30"/>
    </row>
    <row r="48" spans="1:14" x14ac:dyDescent="0.25">
      <c r="A48" s="34">
        <v>43160</v>
      </c>
      <c r="B48" s="33">
        <v>2.38</v>
      </c>
      <c r="C48" s="32">
        <f t="shared" si="4"/>
        <v>1.19</v>
      </c>
      <c r="D48" s="31">
        <v>4924</v>
      </c>
      <c r="E48" s="30">
        <v>134.66</v>
      </c>
      <c r="F48" s="32">
        <f t="shared" si="5"/>
        <v>160.25</v>
      </c>
      <c r="H48" s="34"/>
      <c r="I48" s="31"/>
      <c r="J48" s="30"/>
    </row>
    <row r="49" spans="1:14" x14ac:dyDescent="0.25">
      <c r="A49" s="34">
        <v>43191</v>
      </c>
      <c r="B49" s="33">
        <v>2.46</v>
      </c>
      <c r="C49" s="32">
        <f t="shared" si="4"/>
        <v>1.23</v>
      </c>
      <c r="D49" s="31">
        <v>4903</v>
      </c>
      <c r="E49" s="30">
        <v>150.30000000000001</v>
      </c>
      <c r="F49" s="29">
        <f t="shared" si="5"/>
        <v>184.87</v>
      </c>
      <c r="H49" s="34"/>
      <c r="I49" s="31"/>
      <c r="J49" s="30"/>
    </row>
    <row r="50" spans="1:14" ht="15.75" thickBot="1" x14ac:dyDescent="0.3">
      <c r="A50" s="28" t="s">
        <v>229</v>
      </c>
      <c r="B50" s="27">
        <f>AVERAGE(B38:B49)</f>
        <v>43.735000000000007</v>
      </c>
      <c r="C50" s="26"/>
      <c r="D50" s="25">
        <f>SUM(D38:D49)</f>
        <v>58550</v>
      </c>
      <c r="E50" s="24">
        <f>SUM(E38:E49)</f>
        <v>1577.48</v>
      </c>
      <c r="F50" s="23">
        <f>SUM(F38:F49)</f>
        <v>34261.279999999999</v>
      </c>
      <c r="H50" s="28"/>
      <c r="I50" s="25"/>
      <c r="J50" s="24"/>
    </row>
    <row r="51" spans="1:14" x14ac:dyDescent="0.25">
      <c r="K51" s="80"/>
      <c r="L51" s="80"/>
      <c r="M51" s="80"/>
      <c r="N51" s="80"/>
    </row>
    <row r="52" spans="1:14" x14ac:dyDescent="0.25">
      <c r="A52" s="184" t="s">
        <v>347</v>
      </c>
      <c r="B52" s="184"/>
      <c r="C52" s="184"/>
      <c r="D52" s="184"/>
      <c r="E52" s="184"/>
      <c r="F52" s="184"/>
      <c r="H52" s="185" t="s">
        <v>347</v>
      </c>
      <c r="I52" s="185"/>
      <c r="J52" s="185"/>
      <c r="K52" s="159"/>
      <c r="L52" s="159"/>
      <c r="M52" s="159"/>
      <c r="N52" s="80"/>
    </row>
    <row r="53" spans="1:14" ht="39" x14ac:dyDescent="0.25">
      <c r="A53" s="28" t="s">
        <v>234</v>
      </c>
      <c r="B53" s="37" t="s">
        <v>230</v>
      </c>
      <c r="C53" s="37" t="s">
        <v>233</v>
      </c>
      <c r="D53" s="37" t="s">
        <v>232</v>
      </c>
      <c r="E53" s="36" t="s">
        <v>231</v>
      </c>
      <c r="F53" s="35" t="s">
        <v>230</v>
      </c>
      <c r="H53" s="28" t="s">
        <v>234</v>
      </c>
      <c r="I53" s="37" t="s">
        <v>232</v>
      </c>
      <c r="J53" s="36" t="s">
        <v>231</v>
      </c>
      <c r="K53" s="80"/>
      <c r="L53" s="80"/>
      <c r="M53" s="80"/>
      <c r="N53" s="80"/>
    </row>
    <row r="54" spans="1:14" x14ac:dyDescent="0.25">
      <c r="A54" s="34">
        <v>42856</v>
      </c>
      <c r="B54" s="40">
        <v>57.07</v>
      </c>
      <c r="C54" s="32">
        <f>ROUND(B54/2,2)</f>
        <v>28.54</v>
      </c>
      <c r="D54" s="31">
        <v>17979</v>
      </c>
      <c r="E54" s="30">
        <v>561.04</v>
      </c>
      <c r="F54" s="32">
        <f>+ROUND(+E54*C54,2)</f>
        <v>16012.08</v>
      </c>
      <c r="H54" s="34">
        <v>43221</v>
      </c>
      <c r="I54" s="31">
        <v>18459</v>
      </c>
      <c r="J54" s="30">
        <v>548.56999999999994</v>
      </c>
    </row>
    <row r="55" spans="1:14" x14ac:dyDescent="0.25">
      <c r="A55" s="34">
        <v>42887</v>
      </c>
      <c r="B55" s="40">
        <v>72.3</v>
      </c>
      <c r="C55" s="32">
        <f t="shared" ref="C55:C65" si="6">ROUND(B55/2,2)</f>
        <v>36.15</v>
      </c>
      <c r="D55" s="31">
        <v>18024</v>
      </c>
      <c r="E55" s="30">
        <v>546.63</v>
      </c>
      <c r="F55" s="32">
        <f>+ROUND(+E55*C55,2)</f>
        <v>19760.669999999998</v>
      </c>
      <c r="H55" s="34">
        <v>43252</v>
      </c>
      <c r="I55" s="31">
        <v>18468</v>
      </c>
      <c r="J55" s="30">
        <v>502.09999999999997</v>
      </c>
    </row>
    <row r="56" spans="1:14" x14ac:dyDescent="0.25">
      <c r="A56" s="34">
        <v>42917</v>
      </c>
      <c r="B56" s="40">
        <v>79.69</v>
      </c>
      <c r="C56" s="32">
        <f t="shared" si="6"/>
        <v>39.85</v>
      </c>
      <c r="D56" s="31">
        <v>18065</v>
      </c>
      <c r="E56" s="30">
        <v>523.13</v>
      </c>
      <c r="F56" s="32">
        <f t="shared" ref="F56:F65" si="7">+ROUND(+E56*C56,2)</f>
        <v>20846.73</v>
      </c>
      <c r="H56" s="34">
        <v>43282</v>
      </c>
      <c r="I56" s="31">
        <v>18505</v>
      </c>
      <c r="J56" s="30">
        <v>525.57000000000005</v>
      </c>
    </row>
    <row r="57" spans="1:14" x14ac:dyDescent="0.25">
      <c r="A57" s="34">
        <v>42948</v>
      </c>
      <c r="B57" s="40">
        <v>69.760000000000005</v>
      </c>
      <c r="C57" s="32">
        <f t="shared" si="6"/>
        <v>34.880000000000003</v>
      </c>
      <c r="D57" s="31">
        <v>18193</v>
      </c>
      <c r="E57" s="30">
        <v>575.29</v>
      </c>
      <c r="F57" s="32">
        <f t="shared" si="7"/>
        <v>20066.12</v>
      </c>
      <c r="H57" s="34">
        <v>43313</v>
      </c>
      <c r="I57" s="31">
        <v>18546</v>
      </c>
      <c r="J57" s="30">
        <v>438.71000000000004</v>
      </c>
    </row>
    <row r="58" spans="1:14" x14ac:dyDescent="0.25">
      <c r="A58" s="34">
        <v>42979</v>
      </c>
      <c r="B58" s="40">
        <v>53.47</v>
      </c>
      <c r="C58" s="32">
        <f t="shared" si="6"/>
        <v>26.74</v>
      </c>
      <c r="D58" s="31">
        <v>18116</v>
      </c>
      <c r="E58" s="30">
        <v>514.17999999999995</v>
      </c>
      <c r="F58" s="32">
        <f t="shared" si="7"/>
        <v>13749.17</v>
      </c>
      <c r="H58" s="34">
        <v>43344</v>
      </c>
      <c r="I58" s="31">
        <v>18444</v>
      </c>
      <c r="J58" s="30">
        <v>457.66</v>
      </c>
    </row>
    <row r="59" spans="1:14" x14ac:dyDescent="0.25">
      <c r="A59" s="34">
        <v>43009</v>
      </c>
      <c r="B59" s="40">
        <v>37.99</v>
      </c>
      <c r="C59" s="32">
        <f t="shared" si="6"/>
        <v>19</v>
      </c>
      <c r="D59" s="31">
        <v>18171</v>
      </c>
      <c r="E59" s="30">
        <v>533.86</v>
      </c>
      <c r="F59" s="32">
        <f t="shared" si="7"/>
        <v>10143.34</v>
      </c>
      <c r="H59" s="34">
        <v>43374</v>
      </c>
      <c r="I59" s="31">
        <v>18459</v>
      </c>
      <c r="J59" s="30">
        <v>562.73</v>
      </c>
    </row>
    <row r="60" spans="1:14" x14ac:dyDescent="0.25">
      <c r="A60" s="34">
        <v>43040</v>
      </c>
      <c r="B60" s="40">
        <v>52.61</v>
      </c>
      <c r="C60" s="32">
        <f t="shared" si="6"/>
        <v>26.31</v>
      </c>
      <c r="D60" s="31">
        <v>18392</v>
      </c>
      <c r="E60" s="30">
        <v>576.34</v>
      </c>
      <c r="F60" s="32">
        <f t="shared" si="7"/>
        <v>15163.51</v>
      </c>
      <c r="H60" s="176"/>
      <c r="I60" s="177"/>
      <c r="J60" s="178"/>
    </row>
    <row r="61" spans="1:14" x14ac:dyDescent="0.25">
      <c r="A61" s="34">
        <v>43070</v>
      </c>
      <c r="B61" s="40">
        <v>49.07</v>
      </c>
      <c r="C61" s="32">
        <f t="shared" si="6"/>
        <v>24.54</v>
      </c>
      <c r="D61" s="31">
        <v>18201</v>
      </c>
      <c r="E61" s="30">
        <v>581.04999999999995</v>
      </c>
      <c r="F61" s="32">
        <f t="shared" si="7"/>
        <v>14258.97</v>
      </c>
      <c r="H61" s="176"/>
      <c r="I61" s="177"/>
      <c r="J61" s="178"/>
    </row>
    <row r="62" spans="1:14" x14ac:dyDescent="0.25">
      <c r="A62" s="34">
        <v>43101</v>
      </c>
      <c r="B62" s="40">
        <v>41.37</v>
      </c>
      <c r="C62" s="32">
        <f t="shared" si="6"/>
        <v>20.69</v>
      </c>
      <c r="D62" s="31">
        <v>18283</v>
      </c>
      <c r="E62" s="30">
        <v>628.53</v>
      </c>
      <c r="F62" s="32">
        <f t="shared" si="7"/>
        <v>13004.29</v>
      </c>
      <c r="H62" s="34"/>
      <c r="I62" s="31"/>
      <c r="J62" s="30"/>
    </row>
    <row r="63" spans="1:14" x14ac:dyDescent="0.25">
      <c r="A63" s="34">
        <v>43132</v>
      </c>
      <c r="B63" s="40">
        <v>4</v>
      </c>
      <c r="C63" s="32">
        <f t="shared" si="6"/>
        <v>2</v>
      </c>
      <c r="D63" s="31">
        <v>18200</v>
      </c>
      <c r="E63" s="30">
        <v>481.22</v>
      </c>
      <c r="F63" s="32">
        <f>+ROUND(+E63*C63,2)</f>
        <v>962.44</v>
      </c>
      <c r="H63" s="34"/>
      <c r="I63" s="31"/>
      <c r="J63" s="30"/>
    </row>
    <row r="64" spans="1:14" x14ac:dyDescent="0.25">
      <c r="A64" s="34">
        <v>43160</v>
      </c>
      <c r="B64" s="40">
        <v>4.3</v>
      </c>
      <c r="C64" s="32">
        <f t="shared" si="6"/>
        <v>2.15</v>
      </c>
      <c r="D64" s="31">
        <v>18318</v>
      </c>
      <c r="E64" s="30">
        <v>527.05999999999995</v>
      </c>
      <c r="F64" s="32">
        <f t="shared" si="7"/>
        <v>1133.18</v>
      </c>
      <c r="H64" s="34"/>
      <c r="I64" s="31"/>
      <c r="J64" s="30"/>
    </row>
    <row r="65" spans="1:10" x14ac:dyDescent="0.25">
      <c r="A65" s="34">
        <v>43191</v>
      </c>
      <c r="B65" s="40">
        <v>3.91</v>
      </c>
      <c r="C65" s="32">
        <f t="shared" si="6"/>
        <v>1.96</v>
      </c>
      <c r="D65" s="31">
        <v>18372</v>
      </c>
      <c r="E65" s="30">
        <v>532.07000000000005</v>
      </c>
      <c r="F65" s="32">
        <f t="shared" si="7"/>
        <v>1042.8599999999999</v>
      </c>
      <c r="H65" s="34"/>
      <c r="I65" s="31"/>
      <c r="J65" s="30"/>
    </row>
    <row r="66" spans="1:10" ht="15.75" thickBot="1" x14ac:dyDescent="0.3">
      <c r="A66" s="26" t="s">
        <v>229</v>
      </c>
      <c r="B66" s="27">
        <f>AVERAGE(B54:B65)</f>
        <v>43.794999999999987</v>
      </c>
      <c r="C66" s="26"/>
      <c r="D66" s="25">
        <f>SUM(D54:D65)</f>
        <v>218314</v>
      </c>
      <c r="E66" s="24">
        <f>SUM(E54:E65)</f>
        <v>6580.4</v>
      </c>
      <c r="F66" s="38">
        <f>SUM(F54:F65)</f>
        <v>146143.35999999996</v>
      </c>
      <c r="H66" s="174"/>
      <c r="I66" s="25"/>
      <c r="J66" s="24"/>
    </row>
    <row r="68" spans="1:10" x14ac:dyDescent="0.25">
      <c r="A68" t="s">
        <v>228</v>
      </c>
    </row>
    <row r="69" spans="1:10" x14ac:dyDescent="0.25">
      <c r="A69" t="s">
        <v>227</v>
      </c>
    </row>
  </sheetData>
  <mergeCells count="8">
    <mergeCell ref="A52:F52"/>
    <mergeCell ref="H52:J52"/>
    <mergeCell ref="A2:F2"/>
    <mergeCell ref="A19:F19"/>
    <mergeCell ref="A36:F36"/>
    <mergeCell ref="H2:J2"/>
    <mergeCell ref="H19:J19"/>
    <mergeCell ref="H36:J36"/>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8"/>
  <sheetViews>
    <sheetView workbookViewId="0">
      <pane xSplit="1" ySplit="4" topLeftCell="D5" activePane="bottomRight" state="frozen"/>
      <selection pane="topRight" activeCell="B1" sqref="B1"/>
      <selection pane="bottomLeft" activeCell="A5" sqref="A5"/>
      <selection pane="bottomRight" activeCell="N48" sqref="N48"/>
    </sheetView>
  </sheetViews>
  <sheetFormatPr defaultRowHeight="15" x14ac:dyDescent="0.25"/>
  <cols>
    <col min="1" max="1" width="44.140625" customWidth="1"/>
    <col min="2" max="8" width="12.7109375" customWidth="1"/>
    <col min="9" max="9" width="13.42578125" customWidth="1"/>
    <col min="10" max="10" width="3.85546875" customWidth="1"/>
    <col min="11" max="11" width="9.140625" hidden="1" customWidth="1"/>
    <col min="12" max="13" width="11.7109375" customWidth="1"/>
    <col min="14" max="19" width="12.7109375" customWidth="1"/>
    <col min="20" max="20" width="4.7109375" customWidth="1"/>
    <col min="21" max="21" width="11.5703125" customWidth="1"/>
    <col min="22" max="22" width="9.28515625" customWidth="1"/>
    <col min="23" max="23" width="3.140625" customWidth="1"/>
    <col min="24" max="24" width="14.28515625" customWidth="1"/>
    <col min="25" max="25" width="9.28515625" customWidth="1"/>
  </cols>
  <sheetData>
    <row r="1" spans="1:25" ht="18.75" x14ac:dyDescent="0.3">
      <c r="A1" s="9" t="s">
        <v>290</v>
      </c>
      <c r="I1" s="91" t="s">
        <v>289</v>
      </c>
    </row>
    <row r="2" spans="1:25" ht="18.75" x14ac:dyDescent="0.3">
      <c r="A2" s="9" t="s">
        <v>288</v>
      </c>
      <c r="I2" s="90" t="s">
        <v>287</v>
      </c>
      <c r="U2" s="193" t="s">
        <v>286</v>
      </c>
      <c r="X2" s="193" t="s">
        <v>285</v>
      </c>
    </row>
    <row r="3" spans="1:25" ht="21" customHeight="1" thickBot="1" x14ac:dyDescent="0.35">
      <c r="A3" s="10"/>
      <c r="I3" s="89" t="s">
        <v>284</v>
      </c>
      <c r="N3" s="195" t="s">
        <v>283</v>
      </c>
      <c r="O3" s="195"/>
      <c r="P3" s="195"/>
      <c r="Q3" s="195"/>
      <c r="R3" s="195"/>
      <c r="S3" s="195"/>
      <c r="U3" s="193"/>
      <c r="V3" s="193" t="s">
        <v>282</v>
      </c>
      <c r="X3" s="193"/>
      <c r="Y3" s="193" t="s">
        <v>282</v>
      </c>
    </row>
    <row r="4" spans="1:25" ht="15.75" x14ac:dyDescent="0.25">
      <c r="B4" s="87" t="s">
        <v>280</v>
      </c>
      <c r="C4" s="87" t="s">
        <v>279</v>
      </c>
      <c r="D4" s="87" t="s">
        <v>278</v>
      </c>
      <c r="E4" s="87" t="s">
        <v>281</v>
      </c>
      <c r="F4" s="87" t="s">
        <v>276</v>
      </c>
      <c r="G4" s="87" t="s">
        <v>275</v>
      </c>
      <c r="H4" s="87" t="s">
        <v>274</v>
      </c>
      <c r="I4" s="87" t="s">
        <v>3</v>
      </c>
      <c r="L4" s="87" t="s">
        <v>280</v>
      </c>
      <c r="M4" s="87" t="s">
        <v>279</v>
      </c>
      <c r="N4" s="88" t="s">
        <v>278</v>
      </c>
      <c r="O4" s="87" t="s">
        <v>277</v>
      </c>
      <c r="P4" s="87" t="s">
        <v>276</v>
      </c>
      <c r="Q4" s="87" t="s">
        <v>275</v>
      </c>
      <c r="R4" s="87" t="s">
        <v>274</v>
      </c>
      <c r="S4" s="87" t="s">
        <v>3</v>
      </c>
      <c r="U4" s="194"/>
      <c r="V4" s="194"/>
      <c r="X4" s="194"/>
      <c r="Y4" s="194"/>
    </row>
    <row r="5" spans="1:25" x14ac:dyDescent="0.25">
      <c r="B5" s="85"/>
      <c r="C5" s="85"/>
      <c r="D5" s="85"/>
      <c r="E5" s="85"/>
      <c r="F5" s="85"/>
      <c r="G5" s="85"/>
      <c r="H5" s="85"/>
      <c r="I5" s="85"/>
      <c r="L5" s="85"/>
      <c r="M5" s="85"/>
      <c r="N5" s="86"/>
      <c r="O5" s="85"/>
      <c r="P5" s="85"/>
      <c r="Q5" s="85"/>
      <c r="R5" s="85"/>
      <c r="S5" s="85"/>
    </row>
    <row r="6" spans="1:25" hidden="1" x14ac:dyDescent="0.25">
      <c r="A6" t="s">
        <v>273</v>
      </c>
      <c r="B6" s="64"/>
      <c r="C6" s="64"/>
      <c r="D6" s="64"/>
      <c r="E6" s="64"/>
      <c r="F6" s="64"/>
      <c r="G6" s="64"/>
      <c r="H6" s="64"/>
      <c r="I6" s="64"/>
      <c r="J6" s="64"/>
      <c r="L6" s="64"/>
      <c r="M6" s="64"/>
      <c r="N6" s="58"/>
      <c r="O6" s="64"/>
      <c r="P6" s="64"/>
      <c r="Q6" s="64"/>
      <c r="R6" s="64"/>
      <c r="S6" s="64"/>
    </row>
    <row r="7" spans="1:25" hidden="1" x14ac:dyDescent="0.25">
      <c r="A7" s="80" t="s">
        <v>272</v>
      </c>
      <c r="B7" s="64">
        <f>48.654*B53</f>
        <v>1108011.6516600002</v>
      </c>
      <c r="C7" s="64">
        <f>57.39*C53+29</f>
        <v>31574.561299999998</v>
      </c>
      <c r="D7" s="64">
        <f>1885955-C7-B7+64248</f>
        <v>810616.78703999985</v>
      </c>
      <c r="E7" s="64">
        <f>33.481*E53</f>
        <v>33351.093719999997</v>
      </c>
      <c r="F7" s="64">
        <f>33.481*F53</f>
        <v>175238.88438</v>
      </c>
      <c r="G7" s="64">
        <f>103988+108002+244427+5</f>
        <v>456422</v>
      </c>
      <c r="H7" s="64">
        <f>10328+8670+17246+558-84+37</f>
        <v>36755</v>
      </c>
      <c r="I7" s="64">
        <f>SUM(B7:H7)</f>
        <v>2651969.9780999999</v>
      </c>
      <c r="J7" s="64"/>
      <c r="L7" s="47">
        <f t="shared" ref="L7:S8" si="0">B7/B$53</f>
        <v>48.654000000000011</v>
      </c>
      <c r="M7" s="47">
        <f t="shared" si="0"/>
        <v>57.442758928084125</v>
      </c>
      <c r="N7" s="58">
        <f t="shared" si="0"/>
        <v>48.651359373415147</v>
      </c>
      <c r="O7" s="47">
        <f t="shared" si="0"/>
        <v>33.481000000000002</v>
      </c>
      <c r="P7" s="47">
        <f t="shared" si="0"/>
        <v>33.481000000000002</v>
      </c>
      <c r="Q7" s="47">
        <f t="shared" si="0"/>
        <v>109.56854065291444</v>
      </c>
      <c r="R7" s="47">
        <f t="shared" si="0"/>
        <v>99.563874742659024</v>
      </c>
      <c r="S7" s="47">
        <f t="shared" si="0"/>
        <v>52.255977940712832</v>
      </c>
      <c r="U7" s="64">
        <f>D7+F7</f>
        <v>985855.6714199998</v>
      </c>
      <c r="V7" s="47">
        <f>U7/$U$53</f>
        <v>45.025019554954312</v>
      </c>
      <c r="X7" s="64">
        <f>SUM(B7:D7)</f>
        <v>1950203</v>
      </c>
      <c r="Y7" s="47">
        <f>X7/$X$53</f>
        <v>48.773718753993712</v>
      </c>
    </row>
    <row r="8" spans="1:25" hidden="1" x14ac:dyDescent="0.25">
      <c r="A8" s="80" t="s">
        <v>271</v>
      </c>
      <c r="B8" s="64">
        <v>2060983</v>
      </c>
      <c r="C8" s="64">
        <v>43189</v>
      </c>
      <c r="D8" s="64"/>
      <c r="E8" s="64">
        <f>25988+20171+25826</f>
        <v>71985</v>
      </c>
      <c r="F8" s="64"/>
      <c r="G8" s="64">
        <f>17652+16805+23179</f>
        <v>57636</v>
      </c>
      <c r="H8" s="64">
        <v>2503</v>
      </c>
      <c r="I8" s="64">
        <f>SUM(B8:H8)</f>
        <v>2236296</v>
      </c>
      <c r="J8" s="64"/>
      <c r="L8" s="47">
        <f t="shared" si="0"/>
        <v>90.500011197328092</v>
      </c>
      <c r="M8" s="47">
        <f t="shared" si="0"/>
        <v>78.572598104317137</v>
      </c>
      <c r="N8" s="58">
        <f t="shared" si="0"/>
        <v>0</v>
      </c>
      <c r="O8" s="47">
        <f t="shared" si="0"/>
        <v>72.265389712082893</v>
      </c>
      <c r="P8" s="47">
        <f t="shared" si="0"/>
        <v>0</v>
      </c>
      <c r="Q8" s="47">
        <f t="shared" si="0"/>
        <v>13.836082417305425</v>
      </c>
      <c r="R8" s="47">
        <f t="shared" si="0"/>
        <v>6.7802578827608633</v>
      </c>
      <c r="S8" s="47">
        <f t="shared" si="0"/>
        <v>44.065293125463057</v>
      </c>
      <c r="U8" s="64">
        <f>D8+F8</f>
        <v>0</v>
      </c>
      <c r="V8" s="47">
        <f>U8/$U$53</f>
        <v>0</v>
      </c>
      <c r="X8" s="64">
        <f>SUM(B8:D8)</f>
        <v>2104172</v>
      </c>
      <c r="Y8" s="47">
        <f>X8/$X$53</f>
        <v>52.624415682894785</v>
      </c>
    </row>
    <row r="9" spans="1:25" hidden="1" x14ac:dyDescent="0.25">
      <c r="A9" s="79" t="s">
        <v>270</v>
      </c>
      <c r="B9" s="76">
        <f t="shared" ref="B9:I9" si="1">SUM(B7:B8)</f>
        <v>3168994.65166</v>
      </c>
      <c r="C9" s="76">
        <f t="shared" si="1"/>
        <v>74763.561300000001</v>
      </c>
      <c r="D9" s="76">
        <f t="shared" si="1"/>
        <v>810616.78703999985</v>
      </c>
      <c r="E9" s="76">
        <f t="shared" si="1"/>
        <v>105336.09372</v>
      </c>
      <c r="F9" s="76">
        <f t="shared" si="1"/>
        <v>175238.88438</v>
      </c>
      <c r="G9" s="76">
        <f t="shared" si="1"/>
        <v>514058</v>
      </c>
      <c r="H9" s="76">
        <f t="shared" si="1"/>
        <v>39258</v>
      </c>
      <c r="I9" s="76">
        <f t="shared" si="1"/>
        <v>4888265.9780999999</v>
      </c>
      <c r="J9" s="64"/>
      <c r="L9" s="75">
        <f t="shared" ref="L9:S9" si="2">SUM(L7:L8)</f>
        <v>139.15401119732809</v>
      </c>
      <c r="M9" s="75">
        <f t="shared" si="2"/>
        <v>136.01535703240125</v>
      </c>
      <c r="N9" s="77">
        <f t="shared" si="2"/>
        <v>48.651359373415147</v>
      </c>
      <c r="O9" s="75">
        <f t="shared" si="2"/>
        <v>105.7463897120829</v>
      </c>
      <c r="P9" s="75">
        <f t="shared" si="2"/>
        <v>33.481000000000002</v>
      </c>
      <c r="Q9" s="75">
        <f t="shared" si="2"/>
        <v>123.40462307021986</v>
      </c>
      <c r="R9" s="75">
        <f t="shared" si="2"/>
        <v>106.34413262541989</v>
      </c>
      <c r="S9" s="75">
        <f t="shared" si="2"/>
        <v>96.321271066175882</v>
      </c>
      <c r="U9" s="76">
        <f>SUM(U7:U8)</f>
        <v>985855.6714199998</v>
      </c>
      <c r="V9" s="75">
        <f>SUM(V7:V8)</f>
        <v>45.025019554954312</v>
      </c>
      <c r="X9" s="76">
        <f>SUM(X7:X8)</f>
        <v>4054375</v>
      </c>
      <c r="Y9" s="75">
        <f>SUM(Y7:Y8)</f>
        <v>101.3981344368885</v>
      </c>
    </row>
    <row r="10" spans="1:25" hidden="1" x14ac:dyDescent="0.25">
      <c r="A10" s="80"/>
      <c r="B10" s="64"/>
      <c r="C10" s="64"/>
      <c r="D10" s="64"/>
      <c r="E10" s="64"/>
      <c r="F10" s="64"/>
      <c r="G10" s="64"/>
      <c r="H10" s="64"/>
      <c r="I10" s="64"/>
      <c r="J10" s="64"/>
      <c r="L10" s="64"/>
      <c r="M10" s="64"/>
      <c r="N10" s="74"/>
      <c r="O10" s="64"/>
      <c r="P10" s="64"/>
      <c r="Q10" s="64"/>
      <c r="R10" s="64"/>
      <c r="S10" s="64"/>
      <c r="U10" s="64"/>
      <c r="V10" s="64"/>
      <c r="X10" s="64"/>
      <c r="Y10" s="64"/>
    </row>
    <row r="11" spans="1:25" hidden="1" x14ac:dyDescent="0.25">
      <c r="A11" s="80" t="s">
        <v>269</v>
      </c>
      <c r="B11" s="64"/>
      <c r="C11" s="64"/>
      <c r="D11" s="64">
        <v>1223639</v>
      </c>
      <c r="E11" s="64"/>
      <c r="F11" s="64">
        <f>130063+118211+136109</f>
        <v>384383</v>
      </c>
      <c r="G11" s="64">
        <f>22262+21672+28498</f>
        <v>72432</v>
      </c>
      <c r="H11" s="64"/>
      <c r="I11" s="64">
        <f>SUM(B11:H11)</f>
        <v>1680454</v>
      </c>
      <c r="J11" s="64"/>
      <c r="L11" s="47">
        <f t="shared" ref="L11:S11" si="3">B11/B$53</f>
        <v>0</v>
      </c>
      <c r="M11" s="47">
        <f t="shared" si="3"/>
        <v>0</v>
      </c>
      <c r="N11" s="58">
        <f t="shared" si="3"/>
        <v>73.440004801416421</v>
      </c>
      <c r="O11" s="47">
        <f t="shared" si="3"/>
        <v>0</v>
      </c>
      <c r="P11" s="47">
        <f t="shared" si="3"/>
        <v>73.439906151723932</v>
      </c>
      <c r="Q11" s="47">
        <f t="shared" si="3"/>
        <v>17.388006135926616</v>
      </c>
      <c r="R11" s="47">
        <f t="shared" si="3"/>
        <v>0</v>
      </c>
      <c r="S11" s="47">
        <f t="shared" si="3"/>
        <v>33.112655075113892</v>
      </c>
      <c r="U11" s="64">
        <f>D11+F11</f>
        <v>1608022</v>
      </c>
      <c r="V11" s="47">
        <f>U11/$U$53</f>
        <v>73.439981220082643</v>
      </c>
      <c r="X11" s="64">
        <f>SUM(B11:D11)</f>
        <v>1223639</v>
      </c>
      <c r="Y11" s="47">
        <f>X11/$X$53</f>
        <v>30.602672871705209</v>
      </c>
    </row>
    <row r="12" spans="1:25" hidden="1" x14ac:dyDescent="0.25">
      <c r="A12" s="80"/>
      <c r="B12" s="64"/>
      <c r="C12" s="64"/>
      <c r="D12" s="64"/>
      <c r="E12" s="64"/>
      <c r="F12" s="64"/>
      <c r="G12" s="64"/>
      <c r="H12" s="64"/>
      <c r="I12" s="64"/>
      <c r="J12" s="64"/>
      <c r="L12" s="64"/>
      <c r="M12" s="64"/>
      <c r="N12" s="74"/>
      <c r="O12" s="64"/>
      <c r="P12" s="64"/>
      <c r="Q12" s="64"/>
      <c r="R12" s="64"/>
      <c r="S12" s="64"/>
      <c r="U12" s="64"/>
      <c r="V12" s="64"/>
      <c r="X12" s="64"/>
      <c r="Y12" s="64"/>
    </row>
    <row r="13" spans="1:25" x14ac:dyDescent="0.25">
      <c r="A13" s="84" t="s">
        <v>219</v>
      </c>
      <c r="B13" s="76">
        <f t="shared" ref="B13:I13" si="4">B11+B9</f>
        <v>3168994.65166</v>
      </c>
      <c r="C13" s="76">
        <f t="shared" si="4"/>
        <v>74763.561300000001</v>
      </c>
      <c r="D13" s="76">
        <f t="shared" si="4"/>
        <v>2034255.7870399999</v>
      </c>
      <c r="E13" s="76">
        <f t="shared" si="4"/>
        <v>105336.09372</v>
      </c>
      <c r="F13" s="76">
        <f t="shared" si="4"/>
        <v>559621.88437999994</v>
      </c>
      <c r="G13" s="76">
        <f t="shared" si="4"/>
        <v>586490</v>
      </c>
      <c r="H13" s="76">
        <f t="shared" si="4"/>
        <v>39258</v>
      </c>
      <c r="I13" s="76">
        <f t="shared" si="4"/>
        <v>6568719.9780999999</v>
      </c>
      <c r="J13" s="64"/>
      <c r="L13" s="75">
        <f t="shared" ref="L13:S13" si="5">L11+L9</f>
        <v>139.15401119732809</v>
      </c>
      <c r="M13" s="75">
        <f t="shared" si="5"/>
        <v>136.01535703240125</v>
      </c>
      <c r="N13" s="77">
        <f>N11+N9</f>
        <v>122.09136417483157</v>
      </c>
      <c r="O13" s="75">
        <f t="shared" si="5"/>
        <v>105.7463897120829</v>
      </c>
      <c r="P13" s="75">
        <f t="shared" si="5"/>
        <v>106.92090615172393</v>
      </c>
      <c r="Q13" s="75">
        <f t="shared" si="5"/>
        <v>140.79262920614647</v>
      </c>
      <c r="R13" s="75">
        <f t="shared" si="5"/>
        <v>106.34413262541989</v>
      </c>
      <c r="S13" s="75">
        <f t="shared" si="5"/>
        <v>129.43392614128976</v>
      </c>
      <c r="U13" s="76">
        <f>U11+U9</f>
        <v>2593877.6714199996</v>
      </c>
      <c r="V13" s="75">
        <f>V11+V9</f>
        <v>118.46500077503696</v>
      </c>
      <c r="X13" s="76">
        <f>X11+X9</f>
        <v>5278014</v>
      </c>
      <c r="Y13" s="75">
        <f>Y11+Y9</f>
        <v>132.00080730859372</v>
      </c>
    </row>
    <row r="14" spans="1:25" x14ac:dyDescent="0.25">
      <c r="A14" s="80"/>
      <c r="B14" s="64"/>
      <c r="C14" s="64"/>
      <c r="D14" s="64"/>
      <c r="E14" s="64"/>
      <c r="F14" s="64"/>
      <c r="G14" s="64"/>
      <c r="H14" s="64"/>
      <c r="I14" s="64"/>
      <c r="J14" s="64"/>
      <c r="L14" s="64"/>
      <c r="M14" s="64"/>
      <c r="N14" s="74"/>
      <c r="O14" s="64"/>
      <c r="P14" s="64"/>
      <c r="Q14" s="64"/>
      <c r="R14" s="64"/>
      <c r="S14" s="64"/>
      <c r="U14" s="64"/>
      <c r="V14" s="64"/>
      <c r="X14" s="64"/>
      <c r="Y14" s="64"/>
    </row>
    <row r="15" spans="1:25" hidden="1" x14ac:dyDescent="0.25">
      <c r="A15" s="80" t="s">
        <v>268</v>
      </c>
      <c r="B15" s="47"/>
      <c r="C15" s="47"/>
      <c r="D15" s="47"/>
      <c r="E15" s="47"/>
      <c r="F15" s="47"/>
      <c r="G15" s="47"/>
      <c r="H15" s="47"/>
      <c r="I15" s="64"/>
      <c r="J15" s="64"/>
      <c r="L15" s="64"/>
      <c r="M15" s="64"/>
      <c r="N15" s="74"/>
      <c r="O15" s="64"/>
      <c r="P15" s="64"/>
      <c r="Q15" s="64"/>
      <c r="R15" s="64"/>
      <c r="S15" s="64"/>
      <c r="U15" s="64"/>
      <c r="V15" s="64"/>
      <c r="X15" s="64"/>
      <c r="Y15" s="64"/>
    </row>
    <row r="16" spans="1:25" hidden="1" x14ac:dyDescent="0.25">
      <c r="A16" s="79" t="s">
        <v>267</v>
      </c>
      <c r="B16" s="64"/>
      <c r="C16" s="64"/>
      <c r="D16" s="64"/>
      <c r="E16" s="64"/>
      <c r="F16" s="64"/>
      <c r="G16" s="64"/>
      <c r="H16" s="64"/>
      <c r="I16" s="64">
        <f t="shared" ref="I16:I21" si="6">SUM(B16:H16)</f>
        <v>0</v>
      </c>
      <c r="J16" s="64"/>
      <c r="L16" s="47">
        <f t="shared" ref="L16:S21" si="7">B16/B$53</f>
        <v>0</v>
      </c>
      <c r="M16" s="47">
        <f t="shared" si="7"/>
        <v>0</v>
      </c>
      <c r="N16" s="58">
        <f t="shared" si="7"/>
        <v>0</v>
      </c>
      <c r="O16" s="47">
        <f t="shared" si="7"/>
        <v>0</v>
      </c>
      <c r="P16" s="47">
        <f t="shared" si="7"/>
        <v>0</v>
      </c>
      <c r="Q16" s="47">
        <f t="shared" si="7"/>
        <v>0</v>
      </c>
      <c r="R16" s="47">
        <f t="shared" si="7"/>
        <v>0</v>
      </c>
      <c r="S16" s="47">
        <f t="shared" si="7"/>
        <v>0</v>
      </c>
      <c r="U16" s="64">
        <f t="shared" ref="U16:U21" si="8">D16+F16</f>
        <v>0</v>
      </c>
      <c r="V16" s="47">
        <f t="shared" ref="V16:V21" si="9">U16/$U$53</f>
        <v>0</v>
      </c>
      <c r="X16" s="64">
        <f t="shared" ref="X16:X21" si="10">SUM(B16:D16)</f>
        <v>0</v>
      </c>
      <c r="Y16" s="47">
        <f t="shared" ref="Y16:Y21" si="11">X16/$X$53</f>
        <v>0</v>
      </c>
    </row>
    <row r="17" spans="1:25" hidden="1" x14ac:dyDescent="0.25">
      <c r="A17" s="79" t="s">
        <v>266</v>
      </c>
      <c r="B17" s="64">
        <f>B53*(0.164-0.1052)*54.52</f>
        <v>73006.066523040019</v>
      </c>
      <c r="C17" s="64">
        <f>C53*(0.164)*54.52</f>
        <v>4914.7533776</v>
      </c>
      <c r="D17" s="64">
        <f>D53*(0.164)*54.52</f>
        <v>148977.37204000002</v>
      </c>
      <c r="E17" s="64">
        <f>E53*(0.164)*54.52</f>
        <v>8906.5878336000005</v>
      </c>
      <c r="F17" s="64">
        <f>313792-E17-D17-C17-B17</f>
        <v>77987.220225759971</v>
      </c>
      <c r="G17" s="64"/>
      <c r="H17" s="64"/>
      <c r="I17" s="64">
        <f t="shared" si="6"/>
        <v>313792</v>
      </c>
      <c r="J17" s="64"/>
      <c r="K17" s="64"/>
      <c r="L17" s="47">
        <f t="shared" si="7"/>
        <v>3.2057760000000006</v>
      </c>
      <c r="M17" s="47">
        <f t="shared" si="7"/>
        <v>8.9412800000000008</v>
      </c>
      <c r="N17" s="58">
        <f t="shared" si="7"/>
        <v>8.9412800000000008</v>
      </c>
      <c r="O17" s="47">
        <f t="shared" si="7"/>
        <v>8.9412800000000008</v>
      </c>
      <c r="P17" s="47">
        <f t="shared" si="7"/>
        <v>14.900175435473574</v>
      </c>
      <c r="Q17" s="47">
        <f t="shared" si="7"/>
        <v>0</v>
      </c>
      <c r="R17" s="47">
        <f t="shared" si="7"/>
        <v>0</v>
      </c>
      <c r="S17" s="47">
        <f t="shared" si="7"/>
        <v>6.1831423301858539</v>
      </c>
      <c r="U17" s="64">
        <f t="shared" si="8"/>
        <v>226964.59226576</v>
      </c>
      <c r="V17" s="47">
        <f t="shared" si="9"/>
        <v>10.36570108718732</v>
      </c>
      <c r="X17" s="64">
        <f t="shared" si="10"/>
        <v>226898.19194064004</v>
      </c>
      <c r="Y17" s="47">
        <f t="shared" si="11"/>
        <v>5.6746239235107634</v>
      </c>
    </row>
    <row r="18" spans="1:25" hidden="1" x14ac:dyDescent="0.25">
      <c r="A18" s="79" t="s">
        <v>265</v>
      </c>
      <c r="B18" s="64">
        <f>-58895+50003-55444+1327488-2</f>
        <v>1263150</v>
      </c>
      <c r="C18" s="64">
        <v>15626</v>
      </c>
      <c r="D18" s="64">
        <v>314729</v>
      </c>
      <c r="E18" s="64">
        <f>-17717+6755-6266+63934</f>
        <v>46706</v>
      </c>
      <c r="F18" s="64">
        <v>137253</v>
      </c>
      <c r="G18" s="64">
        <f>165874+150597-3466+6134-7149</f>
        <v>311990</v>
      </c>
      <c r="H18" s="64">
        <f>-533+968-918+37034</f>
        <v>36551</v>
      </c>
      <c r="I18" s="64">
        <f t="shared" si="6"/>
        <v>2126005</v>
      </c>
      <c r="J18" s="64"/>
      <c r="K18" s="64"/>
      <c r="L18" s="47">
        <f t="shared" si="7"/>
        <v>55.466294066426059</v>
      </c>
      <c r="M18" s="47">
        <f t="shared" si="7"/>
        <v>28.42796587043135</v>
      </c>
      <c r="N18" s="58">
        <f t="shared" si="7"/>
        <v>18.889312347142408</v>
      </c>
      <c r="O18" s="47">
        <f t="shared" si="7"/>
        <v>46.887925149580376</v>
      </c>
      <c r="P18" s="47">
        <f t="shared" si="7"/>
        <v>26.223447548519484</v>
      </c>
      <c r="Q18" s="47">
        <f t="shared" si="7"/>
        <v>74.896234183064749</v>
      </c>
      <c r="R18" s="47">
        <f t="shared" si="7"/>
        <v>99.011268826525097</v>
      </c>
      <c r="S18" s="47">
        <f t="shared" si="7"/>
        <v>41.892054321610416</v>
      </c>
      <c r="U18" s="64">
        <f t="shared" si="8"/>
        <v>451982</v>
      </c>
      <c r="V18" s="47">
        <f t="shared" si="9"/>
        <v>20.642472299393535</v>
      </c>
      <c r="X18" s="64">
        <f t="shared" si="10"/>
        <v>1593505</v>
      </c>
      <c r="Y18" s="47">
        <f t="shared" si="11"/>
        <v>39.852858755259199</v>
      </c>
    </row>
    <row r="19" spans="1:25" hidden="1" x14ac:dyDescent="0.25">
      <c r="A19" s="79" t="s">
        <v>264</v>
      </c>
      <c r="B19" s="64"/>
      <c r="C19" s="64"/>
      <c r="D19" s="64"/>
      <c r="E19" s="64"/>
      <c r="F19" s="64"/>
      <c r="G19" s="64"/>
      <c r="H19" s="64"/>
      <c r="I19" s="64">
        <f t="shared" si="6"/>
        <v>0</v>
      </c>
      <c r="J19" s="64"/>
      <c r="L19" s="47">
        <f t="shared" si="7"/>
        <v>0</v>
      </c>
      <c r="M19" s="47">
        <f t="shared" si="7"/>
        <v>0</v>
      </c>
      <c r="N19" s="58">
        <f t="shared" si="7"/>
        <v>0</v>
      </c>
      <c r="O19" s="47">
        <f t="shared" si="7"/>
        <v>0</v>
      </c>
      <c r="P19" s="47">
        <f t="shared" si="7"/>
        <v>0</v>
      </c>
      <c r="Q19" s="47">
        <f t="shared" si="7"/>
        <v>0</v>
      </c>
      <c r="R19" s="47">
        <f t="shared" si="7"/>
        <v>0</v>
      </c>
      <c r="S19" s="47">
        <f t="shared" si="7"/>
        <v>0</v>
      </c>
      <c r="U19" s="64">
        <f t="shared" si="8"/>
        <v>0</v>
      </c>
      <c r="V19" s="47">
        <f t="shared" si="9"/>
        <v>0</v>
      </c>
      <c r="X19" s="64">
        <f t="shared" si="10"/>
        <v>0</v>
      </c>
      <c r="Y19" s="47">
        <f t="shared" si="11"/>
        <v>0</v>
      </c>
    </row>
    <row r="20" spans="1:25" hidden="1" x14ac:dyDescent="0.25">
      <c r="A20" s="79" t="s">
        <v>263</v>
      </c>
      <c r="B20" s="64">
        <f t="shared" ref="B20:H20" si="12">61687/$I$53*B53</f>
        <v>27681.320448437033</v>
      </c>
      <c r="C20" s="64">
        <f t="shared" si="12"/>
        <v>668.13321267556785</v>
      </c>
      <c r="D20" s="64">
        <f t="shared" si="12"/>
        <v>20252.639868097482</v>
      </c>
      <c r="E20" s="64">
        <f t="shared" si="12"/>
        <v>1210.800763749862</v>
      </c>
      <c r="F20" s="64">
        <f t="shared" si="12"/>
        <v>6361.9915085045004</v>
      </c>
      <c r="G20" s="64">
        <f t="shared" si="12"/>
        <v>5063.3939540410174</v>
      </c>
      <c r="H20" s="64">
        <f t="shared" si="12"/>
        <v>448.72024449453789</v>
      </c>
      <c r="I20" s="64">
        <f t="shared" si="6"/>
        <v>61686.999999999993</v>
      </c>
      <c r="J20" s="64"/>
      <c r="L20" s="47">
        <f t="shared" si="7"/>
        <v>1.2155169695918786</v>
      </c>
      <c r="M20" s="47">
        <f t="shared" si="7"/>
        <v>1.2155169695918786</v>
      </c>
      <c r="N20" s="58">
        <f t="shared" si="7"/>
        <v>1.2155169695918786</v>
      </c>
      <c r="O20" s="47">
        <f t="shared" si="7"/>
        <v>1.2155169695918786</v>
      </c>
      <c r="P20" s="47">
        <f t="shared" si="7"/>
        <v>1.2155169695918786</v>
      </c>
      <c r="Q20" s="47">
        <f t="shared" si="7"/>
        <v>1.2155169695918786</v>
      </c>
      <c r="R20" s="47">
        <f t="shared" si="7"/>
        <v>1.2155169695918786</v>
      </c>
      <c r="S20" s="47">
        <f t="shared" si="7"/>
        <v>1.2155169695918784</v>
      </c>
      <c r="U20" s="64">
        <f t="shared" si="8"/>
        <v>26614.631376601981</v>
      </c>
      <c r="V20" s="47">
        <f t="shared" si="9"/>
        <v>1.2155169695918786</v>
      </c>
      <c r="X20" s="64">
        <f t="shared" si="10"/>
        <v>48602.093529210084</v>
      </c>
      <c r="Y20" s="47">
        <f t="shared" si="11"/>
        <v>1.2155169695918786</v>
      </c>
    </row>
    <row r="21" spans="1:25" hidden="1" x14ac:dyDescent="0.25">
      <c r="A21" s="79" t="s">
        <v>262</v>
      </c>
      <c r="B21" s="64"/>
      <c r="C21" s="64"/>
      <c r="D21" s="64"/>
      <c r="E21" s="64"/>
      <c r="F21" s="64"/>
      <c r="G21" s="64"/>
      <c r="H21" s="64"/>
      <c r="I21" s="64">
        <f t="shared" si="6"/>
        <v>0</v>
      </c>
      <c r="J21" s="64"/>
      <c r="L21" s="47">
        <f t="shared" si="7"/>
        <v>0</v>
      </c>
      <c r="M21" s="47">
        <f t="shared" si="7"/>
        <v>0</v>
      </c>
      <c r="N21" s="58">
        <f t="shared" si="7"/>
        <v>0</v>
      </c>
      <c r="O21" s="47">
        <f t="shared" si="7"/>
        <v>0</v>
      </c>
      <c r="P21" s="47">
        <f t="shared" si="7"/>
        <v>0</v>
      </c>
      <c r="Q21" s="47">
        <f t="shared" si="7"/>
        <v>0</v>
      </c>
      <c r="R21" s="47">
        <f t="shared" si="7"/>
        <v>0</v>
      </c>
      <c r="S21" s="47">
        <f t="shared" si="7"/>
        <v>0</v>
      </c>
      <c r="U21" s="64">
        <f t="shared" si="8"/>
        <v>0</v>
      </c>
      <c r="V21" s="47">
        <f t="shared" si="9"/>
        <v>0</v>
      </c>
      <c r="X21" s="64">
        <f t="shared" si="10"/>
        <v>0</v>
      </c>
      <c r="Y21" s="47">
        <f t="shared" si="11"/>
        <v>0</v>
      </c>
    </row>
    <row r="22" spans="1:25" x14ac:dyDescent="0.25">
      <c r="A22" s="84" t="s">
        <v>261</v>
      </c>
      <c r="B22" s="76">
        <f t="shared" ref="B22:I22" si="13">SUM(B16:B21)</f>
        <v>1363837.386971477</v>
      </c>
      <c r="C22" s="76">
        <f t="shared" si="13"/>
        <v>21208.886590275564</v>
      </c>
      <c r="D22" s="76">
        <f t="shared" si="13"/>
        <v>483959.01190809754</v>
      </c>
      <c r="E22" s="76">
        <f t="shared" si="13"/>
        <v>56823.388597349862</v>
      </c>
      <c r="F22" s="76">
        <f t="shared" si="13"/>
        <v>221602.21173426445</v>
      </c>
      <c r="G22" s="76">
        <f t="shared" si="13"/>
        <v>317053.39395404101</v>
      </c>
      <c r="H22" s="76">
        <f t="shared" si="13"/>
        <v>36999.720244494536</v>
      </c>
      <c r="I22" s="76">
        <f t="shared" si="13"/>
        <v>2501484</v>
      </c>
      <c r="J22" s="64"/>
      <c r="L22" s="75">
        <f t="shared" ref="L22:S22" si="14">SUM(L16:L21)</f>
        <v>59.887587036017941</v>
      </c>
      <c r="M22" s="75">
        <f t="shared" si="14"/>
        <v>38.584762840023231</v>
      </c>
      <c r="N22" s="77">
        <f t="shared" si="14"/>
        <v>29.046109316734285</v>
      </c>
      <c r="O22" s="75">
        <f t="shared" si="14"/>
        <v>57.044722119172256</v>
      </c>
      <c r="P22" s="75">
        <f t="shared" si="14"/>
        <v>42.33913995358494</v>
      </c>
      <c r="Q22" s="75">
        <f t="shared" si="14"/>
        <v>76.111751152656623</v>
      </c>
      <c r="R22" s="75">
        <f t="shared" si="14"/>
        <v>100.22678579611697</v>
      </c>
      <c r="S22" s="75">
        <f t="shared" si="14"/>
        <v>49.29071362138815</v>
      </c>
      <c r="U22" s="76">
        <f>SUM(U16:U21)</f>
        <v>705561.22364236205</v>
      </c>
      <c r="V22" s="75">
        <f>SUM(V16:V21)</f>
        <v>32.223690356172739</v>
      </c>
      <c r="X22" s="76">
        <f>SUM(X16:X21)</f>
        <v>1869005.2854698503</v>
      </c>
      <c r="Y22" s="75">
        <f>SUM(Y16:Y21)</f>
        <v>46.742999648361845</v>
      </c>
    </row>
    <row r="23" spans="1:25" x14ac:dyDescent="0.25">
      <c r="A23" s="80"/>
      <c r="B23" s="64"/>
      <c r="C23" s="64"/>
      <c r="D23" s="64"/>
      <c r="E23" s="64"/>
      <c r="F23" s="64"/>
      <c r="G23" s="64"/>
      <c r="H23" s="64"/>
      <c r="I23" s="64"/>
      <c r="J23" s="64"/>
      <c r="L23" s="64"/>
      <c r="M23" s="64"/>
      <c r="N23" s="74"/>
      <c r="O23" s="64"/>
      <c r="P23" s="64"/>
      <c r="Q23" s="64"/>
      <c r="R23" s="64"/>
      <c r="S23" s="64"/>
      <c r="U23" s="64"/>
      <c r="V23" s="64"/>
      <c r="X23" s="64"/>
      <c r="Y23" s="64"/>
    </row>
    <row r="24" spans="1:25" x14ac:dyDescent="0.25">
      <c r="A24" s="84" t="s">
        <v>260</v>
      </c>
      <c r="B24" s="64">
        <f t="shared" ref="B24:I24" si="15">B13-B22</f>
        <v>1805157.264688523</v>
      </c>
      <c r="C24" s="64">
        <f t="shared" si="15"/>
        <v>53554.674709724437</v>
      </c>
      <c r="D24" s="64">
        <f t="shared" si="15"/>
        <v>1550296.7751319022</v>
      </c>
      <c r="E24" s="64">
        <f t="shared" si="15"/>
        <v>48512.705122650143</v>
      </c>
      <c r="F24" s="64">
        <f t="shared" si="15"/>
        <v>338019.6726457355</v>
      </c>
      <c r="G24" s="64">
        <f t="shared" si="15"/>
        <v>269436.60604595899</v>
      </c>
      <c r="H24" s="64">
        <f t="shared" si="15"/>
        <v>2258.279755505464</v>
      </c>
      <c r="I24" s="64">
        <f t="shared" si="15"/>
        <v>4067235.9780999999</v>
      </c>
      <c r="J24" s="64"/>
      <c r="L24" s="47">
        <f t="shared" ref="L24:S24" si="16">L13-L22</f>
        <v>79.266424161310141</v>
      </c>
      <c r="M24" s="47">
        <f t="shared" si="16"/>
        <v>97.430594192378024</v>
      </c>
      <c r="N24" s="58">
        <f t="shared" si="16"/>
        <v>93.04525485809728</v>
      </c>
      <c r="O24" s="47">
        <f t="shared" si="16"/>
        <v>48.701667592910646</v>
      </c>
      <c r="P24" s="47">
        <f t="shared" si="16"/>
        <v>64.581766198138979</v>
      </c>
      <c r="Q24" s="47">
        <f t="shared" si="16"/>
        <v>64.680878053489849</v>
      </c>
      <c r="R24" s="47">
        <f t="shared" si="16"/>
        <v>6.1173468293029174</v>
      </c>
      <c r="S24" s="47">
        <f t="shared" si="16"/>
        <v>80.14321251990161</v>
      </c>
      <c r="U24" s="64">
        <f>U13-U22</f>
        <v>1888316.4477776375</v>
      </c>
      <c r="V24" s="47">
        <f>V13-V22</f>
        <v>86.241310418864217</v>
      </c>
      <c r="X24" s="64">
        <f>X13-X22</f>
        <v>3409008.7145301495</v>
      </c>
      <c r="Y24" s="47">
        <f>Y13-Y22</f>
        <v>85.257807660231876</v>
      </c>
    </row>
    <row r="25" spans="1:25" x14ac:dyDescent="0.25">
      <c r="A25" s="84"/>
      <c r="B25" s="64"/>
      <c r="C25" s="64"/>
      <c r="D25" s="64"/>
      <c r="E25" s="64"/>
      <c r="F25" s="64"/>
      <c r="G25" s="64"/>
      <c r="H25" s="64"/>
      <c r="I25" s="64"/>
      <c r="J25" s="64"/>
      <c r="L25" s="47"/>
      <c r="M25" s="47"/>
      <c r="N25" s="58"/>
      <c r="O25" s="47"/>
      <c r="P25" s="47"/>
      <c r="Q25" s="47"/>
      <c r="R25" s="47"/>
      <c r="S25" s="47"/>
      <c r="U25" s="64"/>
      <c r="V25" s="47"/>
      <c r="X25" s="64"/>
      <c r="Y25" s="47"/>
    </row>
    <row r="26" spans="1:25" x14ac:dyDescent="0.25">
      <c r="A26" s="84" t="s">
        <v>259</v>
      </c>
      <c r="B26" s="64"/>
      <c r="C26" s="64"/>
      <c r="D26" s="64"/>
      <c r="E26" s="64"/>
      <c r="F26" s="64"/>
      <c r="G26" s="64"/>
      <c r="H26" s="64"/>
      <c r="I26" s="64"/>
      <c r="J26" s="64"/>
      <c r="K26" s="64"/>
      <c r="L26" s="64"/>
      <c r="M26" s="64"/>
      <c r="N26" s="74"/>
      <c r="O26" s="64"/>
      <c r="P26" s="64"/>
      <c r="Q26" s="64"/>
      <c r="R26" s="64"/>
      <c r="S26" s="64"/>
      <c r="U26" s="64"/>
      <c r="V26" s="64"/>
      <c r="X26" s="64"/>
      <c r="Y26" s="64"/>
    </row>
    <row r="27" spans="1:25" x14ac:dyDescent="0.25">
      <c r="A27" s="79" t="s">
        <v>195</v>
      </c>
      <c r="B27" s="64">
        <f>B53*48.115</f>
        <v>1095736.8483500001</v>
      </c>
      <c r="C27" s="64">
        <f>C53*48.115</f>
        <v>26447.372049999998</v>
      </c>
      <c r="D27" s="64">
        <f>D53*48.115</f>
        <v>801680.10125000007</v>
      </c>
      <c r="E27" s="64">
        <f>E53*48.115</f>
        <v>47928.313799999996</v>
      </c>
      <c r="F27" s="64">
        <f>F53*48.115</f>
        <v>251832.94769999999</v>
      </c>
      <c r="G27" s="64">
        <f>14580+13897+16989-152</f>
        <v>45314</v>
      </c>
      <c r="H27" s="64">
        <f t="shared" ref="H27:H32" si="17">Q27*0.5*$H$53</f>
        <v>2007.8735077287226</v>
      </c>
      <c r="I27" s="64">
        <f t="shared" ref="I27:I33" si="18">SUM(B27:H27)</f>
        <v>2270947.4566577286</v>
      </c>
      <c r="J27" s="64"/>
      <c r="L27" s="47">
        <f t="shared" ref="L27:S33" si="19">B27/B$53</f>
        <v>48.115000000000002</v>
      </c>
      <c r="M27" s="47">
        <f t="shared" si="19"/>
        <v>48.115000000000002</v>
      </c>
      <c r="N27" s="58">
        <f>D27/D$53</f>
        <v>48.115000000000002</v>
      </c>
      <c r="O27" s="47">
        <f t="shared" si="19"/>
        <v>48.115000000000002</v>
      </c>
      <c r="P27" s="47">
        <f t="shared" si="19"/>
        <v>48.115000000000002</v>
      </c>
      <c r="Q27" s="47">
        <f t="shared" si="19"/>
        <v>10.878066462935978</v>
      </c>
      <c r="R27" s="47">
        <f t="shared" si="19"/>
        <v>5.439033231467989</v>
      </c>
      <c r="S27" s="47">
        <f t="shared" si="19"/>
        <v>44.748085830385435</v>
      </c>
      <c r="U27" s="64">
        <f t="shared" ref="U27:U33" si="20">D27+F27</f>
        <v>1053513.04895</v>
      </c>
      <c r="V27" s="47">
        <f t="shared" ref="V27:V33" si="21">U27/$U$53</f>
        <v>48.115000000000002</v>
      </c>
      <c r="X27" s="64">
        <f t="shared" ref="X27:X33" si="22">SUM(B27:D27)</f>
        <v>1923864.3216500001</v>
      </c>
      <c r="Y27" s="47">
        <f t="shared" ref="Y27:Y33" si="23">X27/$X$53</f>
        <v>48.115000000000002</v>
      </c>
    </row>
    <row r="28" spans="1:25" x14ac:dyDescent="0.25">
      <c r="A28" s="79" t="s">
        <v>258</v>
      </c>
      <c r="B28" s="64">
        <f>B53*2.52515</f>
        <v>57505.973243500004</v>
      </c>
      <c r="C28" s="64">
        <f>C53*2.5251</f>
        <v>1387.9717169999999</v>
      </c>
      <c r="D28" s="64">
        <f>D53*2.5251</f>
        <v>42072.584925000003</v>
      </c>
      <c r="E28" s="64">
        <f>E53*2.5251</f>
        <v>2515.302612</v>
      </c>
      <c r="F28" s="64">
        <f>F53*2.5251</f>
        <v>13216.322898</v>
      </c>
      <c r="G28" s="64"/>
      <c r="H28" s="64">
        <f t="shared" si="17"/>
        <v>0</v>
      </c>
      <c r="I28" s="64">
        <f t="shared" si="18"/>
        <v>116698.1553955</v>
      </c>
      <c r="J28" s="64"/>
      <c r="L28" s="47">
        <f t="shared" si="19"/>
        <v>2.52515</v>
      </c>
      <c r="M28" s="47">
        <f t="shared" si="19"/>
        <v>2.5251000000000001</v>
      </c>
      <c r="N28" s="58">
        <f t="shared" si="19"/>
        <v>2.5251000000000001</v>
      </c>
      <c r="O28" s="47">
        <f t="shared" si="19"/>
        <v>2.5251000000000001</v>
      </c>
      <c r="P28" s="47">
        <f t="shared" si="19"/>
        <v>2.5251000000000001</v>
      </c>
      <c r="Q28" s="47">
        <f t="shared" si="19"/>
        <v>0</v>
      </c>
      <c r="R28" s="47">
        <f t="shared" si="19"/>
        <v>0</v>
      </c>
      <c r="S28" s="47">
        <f t="shared" si="19"/>
        <v>2.2994891663284047</v>
      </c>
      <c r="U28" s="64">
        <f t="shared" si="20"/>
        <v>55288.907823000001</v>
      </c>
      <c r="V28" s="47">
        <f t="shared" si="21"/>
        <v>2.5251000000000001</v>
      </c>
      <c r="X28" s="64">
        <f t="shared" si="22"/>
        <v>100966.5298855</v>
      </c>
      <c r="Y28" s="47">
        <f t="shared" si="23"/>
        <v>2.5251284774980238</v>
      </c>
    </row>
    <row r="29" spans="1:25" x14ac:dyDescent="0.25">
      <c r="A29" s="79" t="s">
        <v>257</v>
      </c>
      <c r="B29" s="64">
        <f>B53*3.59312</f>
        <v>81827.163764800003</v>
      </c>
      <c r="C29" s="64">
        <f>C53*3.59312</f>
        <v>1975.0302703999998</v>
      </c>
      <c r="D29" s="64">
        <f>D53*3.59312</f>
        <v>59867.667159999997</v>
      </c>
      <c r="E29" s="64">
        <f>E53*3.59312</f>
        <v>3579.1786943999996</v>
      </c>
      <c r="F29" s="64">
        <f>F53*3.59312</f>
        <v>18806.318217599997</v>
      </c>
      <c r="G29" s="64">
        <f>3380+2961+4081+2</f>
        <v>10424</v>
      </c>
      <c r="H29" s="64">
        <f t="shared" si="17"/>
        <v>461.88977897700937</v>
      </c>
      <c r="I29" s="64">
        <f t="shared" si="18"/>
        <v>176941.24788617701</v>
      </c>
      <c r="J29" s="64"/>
      <c r="L29" s="47">
        <f t="shared" si="19"/>
        <v>3.5931199999999999</v>
      </c>
      <c r="M29" s="47">
        <f t="shared" si="19"/>
        <v>3.5931199999999999</v>
      </c>
      <c r="N29" s="58">
        <f t="shared" si="19"/>
        <v>3.5931199999999999</v>
      </c>
      <c r="O29" s="47">
        <f t="shared" si="19"/>
        <v>3.5931199999999999</v>
      </c>
      <c r="P29" s="47">
        <f t="shared" si="19"/>
        <v>3.5931199999999999</v>
      </c>
      <c r="Q29" s="47">
        <f t="shared" si="19"/>
        <v>2.5023825927890857</v>
      </c>
      <c r="R29" s="47">
        <f t="shared" si="19"/>
        <v>1.2511912963945429</v>
      </c>
      <c r="S29" s="47">
        <f t="shared" si="19"/>
        <v>3.4865545321771405</v>
      </c>
      <c r="U29" s="64">
        <f t="shared" si="20"/>
        <v>78673.985377599995</v>
      </c>
      <c r="V29" s="47">
        <f t="shared" si="21"/>
        <v>3.5931199999999999</v>
      </c>
      <c r="X29" s="64">
        <f t="shared" si="22"/>
        <v>143669.86119520001</v>
      </c>
      <c r="Y29" s="47">
        <f t="shared" si="23"/>
        <v>3.5931200000000003</v>
      </c>
    </row>
    <row r="30" spans="1:25" x14ac:dyDescent="0.25">
      <c r="A30" s="79" t="s">
        <v>256</v>
      </c>
      <c r="B30" s="64">
        <f>B53*14.03169</f>
        <v>319547.74556010001</v>
      </c>
      <c r="C30" s="64">
        <f>C53*14.03169</f>
        <v>7712.7990422999992</v>
      </c>
      <c r="D30" s="64">
        <f>D53*14.03169</f>
        <v>233792.51085749999</v>
      </c>
      <c r="E30" s="64">
        <f>E53*14.03169</f>
        <v>13977.247042799998</v>
      </c>
      <c r="F30" s="64">
        <f>F53*14.03169</f>
        <v>73441.584826199993</v>
      </c>
      <c r="G30" s="64">
        <f>4725+4390+2465</f>
        <v>11580</v>
      </c>
      <c r="H30" s="64">
        <f t="shared" si="17"/>
        <v>513.11239836471304</v>
      </c>
      <c r="I30" s="64">
        <f t="shared" si="18"/>
        <v>660564.99972726463</v>
      </c>
      <c r="J30" s="64"/>
      <c r="L30" s="47">
        <f t="shared" si="19"/>
        <v>14.031689999999999</v>
      </c>
      <c r="M30" s="47">
        <f t="shared" si="19"/>
        <v>14.031689999999999</v>
      </c>
      <c r="N30" s="58">
        <f t="shared" si="19"/>
        <v>14.031689999999999</v>
      </c>
      <c r="O30" s="47">
        <f t="shared" si="19"/>
        <v>14.031689999999999</v>
      </c>
      <c r="P30" s="47">
        <f t="shared" si="19"/>
        <v>14.031689999999999</v>
      </c>
      <c r="Q30" s="47">
        <f t="shared" si="19"/>
        <v>2.7798916370392952</v>
      </c>
      <c r="R30" s="47">
        <f t="shared" si="19"/>
        <v>1.3899458185196476</v>
      </c>
      <c r="S30" s="47">
        <f t="shared" si="19"/>
        <v>13.016161698363428</v>
      </c>
      <c r="U30" s="64">
        <f t="shared" si="20"/>
        <v>307234.0956837</v>
      </c>
      <c r="V30" s="47">
        <f t="shared" si="21"/>
        <v>14.031689999999999</v>
      </c>
      <c r="X30" s="64">
        <f t="shared" si="22"/>
        <v>561053.05545989994</v>
      </c>
      <c r="Y30" s="47">
        <f t="shared" si="23"/>
        <v>14.031689999999999</v>
      </c>
    </row>
    <row r="31" spans="1:25" x14ac:dyDescent="0.25">
      <c r="A31" s="79" t="s">
        <v>255</v>
      </c>
      <c r="B31" s="64">
        <f>B53*2.3584118</f>
        <v>53708.795860822</v>
      </c>
      <c r="C31" s="64">
        <f>C53*2.3584118</f>
        <v>1296.3482141059999</v>
      </c>
      <c r="D31" s="64">
        <f>D53*2.3584118</f>
        <v>39295.267808649995</v>
      </c>
      <c r="E31" s="64">
        <f>E53*2.3584118</f>
        <v>2349.2611622159998</v>
      </c>
      <c r="F31" s="64">
        <f>F53*2.3584118</f>
        <v>12343.880192963998</v>
      </c>
      <c r="G31" s="64">
        <f>328+244+281+2</f>
        <v>855</v>
      </c>
      <c r="H31" s="64">
        <f t="shared" si="17"/>
        <v>37.885241848171816</v>
      </c>
      <c r="I31" s="64">
        <f t="shared" si="18"/>
        <v>109886.43848060617</v>
      </c>
      <c r="J31" s="64"/>
      <c r="L31" s="47">
        <f t="shared" si="19"/>
        <v>2.3584117999999998</v>
      </c>
      <c r="M31" s="47">
        <f t="shared" si="19"/>
        <v>2.3584117999999998</v>
      </c>
      <c r="N31" s="58">
        <f t="shared" si="19"/>
        <v>2.3584117999999998</v>
      </c>
      <c r="O31" s="47">
        <f t="shared" si="19"/>
        <v>2.3584117999999998</v>
      </c>
      <c r="P31" s="47">
        <f t="shared" si="19"/>
        <v>2.3584117999999998</v>
      </c>
      <c r="Q31" s="47">
        <f t="shared" si="19"/>
        <v>0.20525106646533656</v>
      </c>
      <c r="R31" s="47">
        <f t="shared" si="19"/>
        <v>0.10262553323266828</v>
      </c>
      <c r="S31" s="47">
        <f t="shared" si="19"/>
        <v>2.1652670854668052</v>
      </c>
      <c r="U31" s="64">
        <f t="shared" si="20"/>
        <v>51639.14800161399</v>
      </c>
      <c r="V31" s="47">
        <f t="shared" si="21"/>
        <v>2.3584117999999994</v>
      </c>
      <c r="X31" s="64">
        <f t="shared" si="22"/>
        <v>94300.411883577995</v>
      </c>
      <c r="Y31" s="47">
        <f t="shared" si="23"/>
        <v>2.3584117999999998</v>
      </c>
    </row>
    <row r="32" spans="1:25" x14ac:dyDescent="0.25">
      <c r="A32" s="79" t="s">
        <v>254</v>
      </c>
      <c r="B32" s="64">
        <f>B53*7.325976</f>
        <v>166836.57598103999</v>
      </c>
      <c r="C32" s="64">
        <f>C53*7.325976</f>
        <v>4026.8692279199995</v>
      </c>
      <c r="D32" s="64">
        <f>D53*7.325976</f>
        <v>122063.58061799999</v>
      </c>
      <c r="E32" s="64">
        <f>E53*7.325976</f>
        <v>7297.5512131199994</v>
      </c>
      <c r="F32" s="64">
        <f>F53*7.325976</f>
        <v>38344.011864479995</v>
      </c>
      <c r="G32" s="64">
        <f>2228+3012+2368+1</f>
        <v>7609</v>
      </c>
      <c r="H32" s="64">
        <f t="shared" si="17"/>
        <v>337.15649733653731</v>
      </c>
      <c r="I32" s="64">
        <f t="shared" si="18"/>
        <v>346514.74540189648</v>
      </c>
      <c r="J32" s="64"/>
      <c r="L32" s="47">
        <f t="shared" si="19"/>
        <v>7.3259759999999989</v>
      </c>
      <c r="M32" s="47">
        <f t="shared" si="19"/>
        <v>7.3259759999999998</v>
      </c>
      <c r="N32" s="58">
        <f t="shared" si="19"/>
        <v>7.3259759999999998</v>
      </c>
      <c r="O32" s="47">
        <f t="shared" si="19"/>
        <v>7.3259759999999998</v>
      </c>
      <c r="P32" s="47">
        <f t="shared" si="19"/>
        <v>7.3259759999999998</v>
      </c>
      <c r="Q32" s="47">
        <f t="shared" si="19"/>
        <v>1.8266144616780655</v>
      </c>
      <c r="R32" s="47">
        <f t="shared" si="19"/>
        <v>0.91330723083903276</v>
      </c>
      <c r="S32" s="47">
        <f t="shared" si="19"/>
        <v>6.8279305728891755</v>
      </c>
      <c r="U32" s="64">
        <f t="shared" si="20"/>
        <v>160407.59248247999</v>
      </c>
      <c r="V32" s="47">
        <f t="shared" si="21"/>
        <v>7.3259759999999998</v>
      </c>
      <c r="X32" s="64">
        <f t="shared" si="22"/>
        <v>292927.02582695999</v>
      </c>
      <c r="Y32" s="47">
        <f t="shared" si="23"/>
        <v>7.3259759999999998</v>
      </c>
    </row>
    <row r="33" spans="1:25" x14ac:dyDescent="0.25">
      <c r="A33" s="79" t="s">
        <v>253</v>
      </c>
      <c r="B33" s="64">
        <f>B8*0.015+B7*0.00484*0.8+B17/54.24*13.27</f>
        <v>53066.147950786908</v>
      </c>
      <c r="C33" s="64">
        <f>C17/54.24*13.27+C8*0.015+C7*0.00484*0.8</f>
        <v>1972.5027876506497</v>
      </c>
      <c r="D33" s="64">
        <f>D17/54.24*13.27+D7*0.00484*0.8+D11*0.015+10000</f>
        <v>67941.112649470509</v>
      </c>
      <c r="E33" s="64">
        <f>E17/54.24*13.27+E8*0.015+E7*0.00484*0.8</f>
        <v>3387.937362462601</v>
      </c>
      <c r="F33" s="64">
        <f>F17/54.24*13.27+F7*0.00484*0.8+F11*0.015+12006</f>
        <v>37530.10794696823</v>
      </c>
      <c r="G33" s="64">
        <f>G8*0.015+G7*0.00484*0.8</f>
        <v>2631.8059840000001</v>
      </c>
      <c r="H33" s="64">
        <f>H8*0.015+H7*0.00484*0.8</f>
        <v>179.86036000000001</v>
      </c>
      <c r="I33" s="64">
        <f t="shared" si="18"/>
        <v>166709.47504133891</v>
      </c>
      <c r="J33" s="64"/>
      <c r="K33" s="64">
        <v>134455.51</v>
      </c>
      <c r="L33" s="47">
        <f t="shared" si="19"/>
        <v>2.330192429411249</v>
      </c>
      <c r="M33" s="47">
        <f t="shared" si="19"/>
        <v>3.5885218179101095</v>
      </c>
      <c r="N33" s="58">
        <f t="shared" si="19"/>
        <v>4.0776696715213294</v>
      </c>
      <c r="O33" s="47">
        <f t="shared" si="19"/>
        <v>3.4011337614570545</v>
      </c>
      <c r="P33" s="47">
        <f t="shared" si="19"/>
        <v>7.1704721735597445</v>
      </c>
      <c r="Q33" s="47">
        <f t="shared" si="19"/>
        <v>0.63179062566766608</v>
      </c>
      <c r="R33" s="47">
        <f t="shared" si="19"/>
        <v>0.48721519124498869</v>
      </c>
      <c r="S33" s="47">
        <f t="shared" si="19"/>
        <v>3.284941655527116</v>
      </c>
      <c r="U33" s="64">
        <f t="shared" si="20"/>
        <v>105471.22059643874</v>
      </c>
      <c r="V33" s="47">
        <f t="shared" si="21"/>
        <v>4.8169766706311572</v>
      </c>
      <c r="X33" s="64">
        <f t="shared" si="22"/>
        <v>122979.76338790807</v>
      </c>
      <c r="Y33" s="47">
        <f t="shared" si="23"/>
        <v>3.0756697594632567</v>
      </c>
    </row>
    <row r="34" spans="1:25" x14ac:dyDescent="0.25">
      <c r="A34" s="83" t="s">
        <v>252</v>
      </c>
      <c r="B34" s="76">
        <f t="shared" ref="B34:I34" si="24">SUM(B27:B33)</f>
        <v>1828229.2507110492</v>
      </c>
      <c r="C34" s="76">
        <f t="shared" si="24"/>
        <v>44818.893309376646</v>
      </c>
      <c r="D34" s="76">
        <f t="shared" si="24"/>
        <v>1366712.8252686204</v>
      </c>
      <c r="E34" s="76">
        <f t="shared" si="24"/>
        <v>81034.791886998588</v>
      </c>
      <c r="F34" s="76">
        <f t="shared" si="24"/>
        <v>445515.17364621215</v>
      </c>
      <c r="G34" s="76">
        <f t="shared" si="24"/>
        <v>78413.805984000006</v>
      </c>
      <c r="H34" s="76">
        <f t="shared" si="24"/>
        <v>3537.7777842551545</v>
      </c>
      <c r="I34" s="76">
        <f t="shared" si="24"/>
        <v>3848262.5185905118</v>
      </c>
      <c r="J34" s="64"/>
      <c r="L34" s="75">
        <f t="shared" ref="L34:S34" si="25">SUM(L27:L33)</f>
        <v>80.279540229411253</v>
      </c>
      <c r="M34" s="75">
        <f t="shared" si="25"/>
        <v>81.537819617910102</v>
      </c>
      <c r="N34" s="77">
        <f t="shared" si="25"/>
        <v>82.026967471521331</v>
      </c>
      <c r="O34" s="75">
        <f t="shared" si="25"/>
        <v>81.350431561457057</v>
      </c>
      <c r="P34" s="75">
        <f t="shared" si="25"/>
        <v>85.119769973559741</v>
      </c>
      <c r="Q34" s="75">
        <f t="shared" si="25"/>
        <v>18.823996846575426</v>
      </c>
      <c r="R34" s="75">
        <f t="shared" si="25"/>
        <v>9.5833183016988688</v>
      </c>
      <c r="S34" s="75">
        <f t="shared" si="25"/>
        <v>75.828430541137507</v>
      </c>
      <c r="U34" s="76">
        <f>SUM(U27:U33)</f>
        <v>1812227.9989148327</v>
      </c>
      <c r="V34" s="75">
        <f>SUM(V27:V33)</f>
        <v>82.76627447063116</v>
      </c>
      <c r="X34" s="76">
        <f>SUM(X27:X33)</f>
        <v>3239760.9692890462</v>
      </c>
      <c r="Y34" s="75">
        <f>SUM(Y27:Y33)</f>
        <v>81.024996036961269</v>
      </c>
    </row>
    <row r="35" spans="1:25" x14ac:dyDescent="0.25">
      <c r="A35" s="80"/>
      <c r="B35" s="64"/>
      <c r="C35" s="64"/>
      <c r="D35" s="64"/>
      <c r="E35" s="64"/>
      <c r="F35" s="64"/>
      <c r="G35" s="64"/>
      <c r="H35" s="64"/>
      <c r="I35" s="64"/>
      <c r="J35" s="64"/>
      <c r="L35" s="64"/>
      <c r="M35" s="64"/>
      <c r="N35" s="74"/>
      <c r="O35" s="64"/>
      <c r="P35" s="64"/>
      <c r="Q35" s="64"/>
      <c r="R35" s="64"/>
      <c r="S35" s="64"/>
      <c r="U35" s="64"/>
      <c r="V35" s="64"/>
      <c r="X35" s="64"/>
      <c r="Y35" s="64"/>
    </row>
    <row r="36" spans="1:25" x14ac:dyDescent="0.25">
      <c r="A36" s="79" t="s">
        <v>57</v>
      </c>
      <c r="B36" s="64">
        <f>B53*6.912691</f>
        <v>157424.71682338999</v>
      </c>
      <c r="C36" s="64">
        <f>C53*6.912691</f>
        <v>3799.6988619699996</v>
      </c>
      <c r="D36" s="64">
        <f>D53*6.912691</f>
        <v>115177.52926924999</v>
      </c>
      <c r="E36" s="64">
        <f>E53*6.912691</f>
        <v>6885.8697589199992</v>
      </c>
      <c r="F36" s="64">
        <f>F53*6.912691</f>
        <v>36180.886440179995</v>
      </c>
      <c r="G36" s="64">
        <v>8163</v>
      </c>
      <c r="H36" s="64">
        <f>Q36*0.5*$H$53</f>
        <v>361.70436164517724</v>
      </c>
      <c r="I36" s="64">
        <f>SUM(B36:H36)</f>
        <v>327993.40551535512</v>
      </c>
      <c r="J36" s="64"/>
      <c r="L36" s="47">
        <f t="shared" ref="L36:S36" si="26">B36/B$53</f>
        <v>6.9126909999999988</v>
      </c>
      <c r="M36" s="47">
        <f t="shared" si="26"/>
        <v>6.9126909999999997</v>
      </c>
      <c r="N36" s="58">
        <f t="shared" si="26"/>
        <v>6.9126909999999997</v>
      </c>
      <c r="O36" s="47">
        <f t="shared" si="26"/>
        <v>6.9126909999999997</v>
      </c>
      <c r="P36" s="47">
        <f t="shared" si="26"/>
        <v>6.9126909999999997</v>
      </c>
      <c r="Q36" s="47">
        <f t="shared" si="26"/>
        <v>1.9596075503585291</v>
      </c>
      <c r="R36" s="47">
        <f t="shared" si="26"/>
        <v>0.97980377517926442</v>
      </c>
      <c r="S36" s="47">
        <f t="shared" si="26"/>
        <v>6.4629751863138845</v>
      </c>
      <c r="U36" s="64">
        <f>D36+F36</f>
        <v>151358.41570943</v>
      </c>
      <c r="V36" s="47">
        <f>U36/$U$53</f>
        <v>6.9126910000000006</v>
      </c>
      <c r="X36" s="64">
        <f>SUM(B36:D36)</f>
        <v>276401.94495460996</v>
      </c>
      <c r="Y36" s="47">
        <f>X36/$X$53</f>
        <v>6.9126909999999988</v>
      </c>
    </row>
    <row r="37" spans="1:25" x14ac:dyDescent="0.25">
      <c r="A37" s="80"/>
      <c r="B37" s="64"/>
      <c r="C37" s="64"/>
      <c r="D37" s="64"/>
      <c r="E37" s="64"/>
      <c r="F37" s="64"/>
      <c r="G37" s="64"/>
      <c r="H37" s="64"/>
      <c r="I37" s="64"/>
      <c r="J37" s="64"/>
      <c r="L37" s="64"/>
      <c r="M37" s="64"/>
      <c r="N37" s="74"/>
      <c r="O37" s="64"/>
      <c r="P37" s="64"/>
      <c r="Q37" s="64"/>
      <c r="R37" s="64"/>
      <c r="S37" s="64"/>
      <c r="U37" s="64"/>
      <c r="V37" s="64"/>
      <c r="X37" s="64"/>
      <c r="Y37" s="64"/>
    </row>
    <row r="38" spans="1:25" x14ac:dyDescent="0.25">
      <c r="A38" s="82" t="s">
        <v>251</v>
      </c>
      <c r="B38" s="76">
        <f t="shared" ref="B38:I38" si="27">B36+B34</f>
        <v>1985653.9675344392</v>
      </c>
      <c r="C38" s="76">
        <f t="shared" si="27"/>
        <v>48618.592171346645</v>
      </c>
      <c r="D38" s="76">
        <f t="shared" si="27"/>
        <v>1481890.3545378703</v>
      </c>
      <c r="E38" s="76">
        <f t="shared" si="27"/>
        <v>87920.66164591859</v>
      </c>
      <c r="F38" s="76">
        <f t="shared" si="27"/>
        <v>481696.06008639216</v>
      </c>
      <c r="G38" s="76">
        <f t="shared" si="27"/>
        <v>86576.805984000006</v>
      </c>
      <c r="H38" s="76">
        <f t="shared" si="27"/>
        <v>3899.4821459003319</v>
      </c>
      <c r="I38" s="76">
        <f t="shared" si="27"/>
        <v>4176255.9241058668</v>
      </c>
      <c r="J38" s="64"/>
      <c r="K38" s="64">
        <f>I38/1000-7735</f>
        <v>-3558.7440758941329</v>
      </c>
      <c r="L38" s="75">
        <f t="shared" ref="L38:S38" si="28">L36+L34</f>
        <v>87.192231229411249</v>
      </c>
      <c r="M38" s="75">
        <f t="shared" si="28"/>
        <v>88.450510617910098</v>
      </c>
      <c r="N38" s="77">
        <f t="shared" si="28"/>
        <v>88.939658471521327</v>
      </c>
      <c r="O38" s="75">
        <f t="shared" si="28"/>
        <v>88.263122561457052</v>
      </c>
      <c r="P38" s="75">
        <f t="shared" si="28"/>
        <v>92.032460973559736</v>
      </c>
      <c r="Q38" s="75">
        <f t="shared" si="28"/>
        <v>20.783604396933956</v>
      </c>
      <c r="R38" s="75">
        <f t="shared" si="28"/>
        <v>10.563122076878134</v>
      </c>
      <c r="S38" s="75">
        <f t="shared" si="28"/>
        <v>82.291405727451391</v>
      </c>
      <c r="U38" s="76">
        <f>U36+U34</f>
        <v>1963586.4146242626</v>
      </c>
      <c r="V38" s="75">
        <f>V36+V34</f>
        <v>89.678965470631155</v>
      </c>
      <c r="X38" s="76">
        <f>X36+X34</f>
        <v>3516162.9142436562</v>
      </c>
      <c r="Y38" s="75">
        <f>Y36+Y34</f>
        <v>87.937687036961265</v>
      </c>
    </row>
    <row r="39" spans="1:25" x14ac:dyDescent="0.25">
      <c r="A39" s="80"/>
      <c r="B39" s="64"/>
      <c r="C39" s="64"/>
      <c r="D39" s="64"/>
      <c r="E39" s="64"/>
      <c r="F39" s="64"/>
      <c r="G39" s="64"/>
      <c r="H39" s="64"/>
      <c r="I39" s="64"/>
      <c r="J39" s="64"/>
      <c r="L39" s="64"/>
      <c r="M39" s="64"/>
      <c r="N39" s="74"/>
      <c r="O39" s="64"/>
      <c r="P39" s="64"/>
      <c r="Q39" s="64"/>
      <c r="R39" s="64"/>
      <c r="S39" s="64"/>
      <c r="U39" s="64"/>
      <c r="V39" s="64"/>
      <c r="X39" s="64"/>
      <c r="Y39" s="64"/>
    </row>
    <row r="40" spans="1:25" x14ac:dyDescent="0.25">
      <c r="A40" s="81" t="s">
        <v>250</v>
      </c>
      <c r="B40" s="76">
        <f t="shared" ref="B40:I40" si="29">B24-B38</f>
        <v>-180496.70284591615</v>
      </c>
      <c r="C40" s="76">
        <f t="shared" si="29"/>
        <v>4936.0825383777919</v>
      </c>
      <c r="D40" s="76">
        <f t="shared" si="29"/>
        <v>68406.420594031923</v>
      </c>
      <c r="E40" s="76">
        <f t="shared" si="29"/>
        <v>-39407.956523268447</v>
      </c>
      <c r="F40" s="76">
        <f t="shared" si="29"/>
        <v>-143676.38744065666</v>
      </c>
      <c r="G40" s="76">
        <f t="shared" si="29"/>
        <v>182859.80006195899</v>
      </c>
      <c r="H40" s="76">
        <f t="shared" si="29"/>
        <v>-1641.202390394868</v>
      </c>
      <c r="I40" s="76">
        <f t="shared" si="29"/>
        <v>-109019.94600586686</v>
      </c>
      <c r="J40" s="64"/>
      <c r="L40" s="75">
        <f t="shared" ref="L40:S40" si="30">L24-L38</f>
        <v>-7.9258070681011077</v>
      </c>
      <c r="M40" s="75">
        <f t="shared" si="30"/>
        <v>8.9800835744679262</v>
      </c>
      <c r="N40" s="77">
        <f t="shared" si="30"/>
        <v>4.1055963865759537</v>
      </c>
      <c r="O40" s="75">
        <f t="shared" si="30"/>
        <v>-39.561454968546407</v>
      </c>
      <c r="P40" s="75">
        <f t="shared" si="30"/>
        <v>-27.450694775420757</v>
      </c>
      <c r="Q40" s="75">
        <f t="shared" si="30"/>
        <v>43.897273656555896</v>
      </c>
      <c r="R40" s="75">
        <f t="shared" si="30"/>
        <v>-4.4457752475752166</v>
      </c>
      <c r="S40" s="75">
        <f t="shared" si="30"/>
        <v>-2.1481932075497809</v>
      </c>
      <c r="U40" s="76">
        <f>U24-U38</f>
        <v>-75269.966846625088</v>
      </c>
      <c r="V40" s="75">
        <f>V24-V38</f>
        <v>-3.4376550517669386</v>
      </c>
      <c r="X40" s="76">
        <f>X24-X38</f>
        <v>-107154.19971350674</v>
      </c>
      <c r="Y40" s="75">
        <f>Y24-Y38</f>
        <v>-2.6798793767293887</v>
      </c>
    </row>
    <row r="41" spans="1:25" x14ac:dyDescent="0.25">
      <c r="A41" s="80"/>
      <c r="B41" s="64"/>
      <c r="C41" s="64"/>
      <c r="D41" s="64"/>
      <c r="E41" s="64"/>
      <c r="F41" s="64"/>
      <c r="G41" s="64"/>
      <c r="H41" s="64"/>
      <c r="I41" s="64"/>
      <c r="J41" s="64"/>
      <c r="L41" s="64"/>
      <c r="M41" s="64"/>
      <c r="N41" s="74"/>
      <c r="O41" s="64"/>
      <c r="P41" s="64"/>
      <c r="Q41" s="64"/>
      <c r="R41" s="64"/>
      <c r="S41" s="64"/>
      <c r="U41" s="64"/>
      <c r="V41" s="64"/>
      <c r="X41" s="64"/>
      <c r="Y41" s="64"/>
    </row>
    <row r="42" spans="1:25" x14ac:dyDescent="0.25">
      <c r="A42" s="79" t="s">
        <v>249</v>
      </c>
      <c r="B42" s="64">
        <f t="shared" ref="B42:H42" si="31">107050/$I$53*B$53</f>
        <v>48037.43663989471</v>
      </c>
      <c r="C42" s="64">
        <f t="shared" si="31"/>
        <v>1159.460833188833</v>
      </c>
      <c r="D42" s="64">
        <f t="shared" si="31"/>
        <v>35145.899425808289</v>
      </c>
      <c r="E42" s="64">
        <f t="shared" si="31"/>
        <v>2101.1918517584377</v>
      </c>
      <c r="F42" s="64">
        <f t="shared" si="31"/>
        <v>11040.433008338983</v>
      </c>
      <c r="G42" s="64">
        <f t="shared" si="31"/>
        <v>8786.880911376642</v>
      </c>
      <c r="H42" s="64">
        <f t="shared" si="31"/>
        <v>778.69732963412525</v>
      </c>
      <c r="I42" s="64">
        <f>SUM(B42:H42)</f>
        <v>107050.00000000003</v>
      </c>
      <c r="J42" s="64"/>
      <c r="K42" s="64">
        <f>300249-10210</f>
        <v>290039</v>
      </c>
      <c r="L42" s="47">
        <f t="shared" ref="L42:S45" si="32">B42/B$53</f>
        <v>2.1093762315368005</v>
      </c>
      <c r="M42" s="47">
        <f t="shared" si="32"/>
        <v>2.1093762315368005</v>
      </c>
      <c r="N42" s="58">
        <f t="shared" si="32"/>
        <v>2.1093762315368005</v>
      </c>
      <c r="O42" s="47">
        <f t="shared" si="32"/>
        <v>2.1093762315368005</v>
      </c>
      <c r="P42" s="47">
        <f t="shared" si="32"/>
        <v>2.1093762315368005</v>
      </c>
      <c r="Q42" s="47">
        <f t="shared" si="32"/>
        <v>2.1093762315368005</v>
      </c>
      <c r="R42" s="47">
        <f t="shared" si="32"/>
        <v>2.1093762315368005</v>
      </c>
      <c r="S42" s="47">
        <f t="shared" si="32"/>
        <v>2.109376231536801</v>
      </c>
      <c r="U42" s="64">
        <f>D42+F42</f>
        <v>46186.332434147276</v>
      </c>
      <c r="V42" s="47">
        <f>U42/$U$53</f>
        <v>2.109376231536801</v>
      </c>
      <c r="X42" s="64">
        <f>SUM(B42:D42)</f>
        <v>84342.796898891829</v>
      </c>
      <c r="Y42" s="47">
        <f>X42/$X$53</f>
        <v>2.1093762315368005</v>
      </c>
    </row>
    <row r="43" spans="1:25" x14ac:dyDescent="0.25">
      <c r="A43" s="79" t="s">
        <v>41</v>
      </c>
      <c r="B43" s="64">
        <f t="shared" ref="B43:H43" si="33">(943)/$I$53*B$53</f>
        <v>423.16023121364503</v>
      </c>
      <c r="C43" s="64">
        <f t="shared" si="33"/>
        <v>10.213653112536846</v>
      </c>
      <c r="D43" s="64">
        <f t="shared" si="33"/>
        <v>309.59909536232794</v>
      </c>
      <c r="E43" s="64">
        <f t="shared" si="33"/>
        <v>18.509331305074323</v>
      </c>
      <c r="F43" s="64">
        <f t="shared" si="33"/>
        <v>97.254818560146276</v>
      </c>
      <c r="G43" s="64">
        <f t="shared" si="33"/>
        <v>77.403350765326223</v>
      </c>
      <c r="H43" s="64">
        <f t="shared" si="33"/>
        <v>6.859519680943297</v>
      </c>
      <c r="I43" s="64">
        <f>SUM(B43:H43)</f>
        <v>943</v>
      </c>
      <c r="J43" s="64"/>
      <c r="K43" s="64">
        <f>1017811-K42-K44-K45</f>
        <v>120012</v>
      </c>
      <c r="L43" s="47">
        <f t="shared" si="32"/>
        <v>1.8581427242776297E-2</v>
      </c>
      <c r="M43" s="47">
        <f t="shared" si="32"/>
        <v>1.8581427242776297E-2</v>
      </c>
      <c r="N43" s="58">
        <f t="shared" si="32"/>
        <v>1.8581427242776297E-2</v>
      </c>
      <c r="O43" s="47">
        <f t="shared" si="32"/>
        <v>1.8581427242776297E-2</v>
      </c>
      <c r="P43" s="47">
        <f t="shared" si="32"/>
        <v>1.8581427242776297E-2</v>
      </c>
      <c r="Q43" s="47">
        <f t="shared" si="32"/>
        <v>1.8581427242776297E-2</v>
      </c>
      <c r="R43" s="47">
        <f t="shared" si="32"/>
        <v>1.8581427242776297E-2</v>
      </c>
      <c r="S43" s="47">
        <f t="shared" si="32"/>
        <v>1.8581427242776297E-2</v>
      </c>
      <c r="U43" s="64">
        <f>D43+F43</f>
        <v>406.85391392247425</v>
      </c>
      <c r="V43" s="47">
        <f>U43/$U$53</f>
        <v>1.8581427242776297E-2</v>
      </c>
      <c r="X43" s="64">
        <f>SUM(B43:D43)</f>
        <v>742.97297968850989</v>
      </c>
      <c r="Y43" s="47">
        <f>X43/$X$53</f>
        <v>1.85814272427763E-2</v>
      </c>
    </row>
    <row r="44" spans="1:25" x14ac:dyDescent="0.25">
      <c r="A44" s="79" t="s">
        <v>39</v>
      </c>
      <c r="B44" s="64">
        <f t="shared" ref="B44:H44" si="34">-34057/$I$53*B$53</f>
        <v>-15282.680800045715</v>
      </c>
      <c r="C44" s="64">
        <f t="shared" si="34"/>
        <v>-368.8720933761054</v>
      </c>
      <c r="D44" s="64">
        <f t="shared" si="34"/>
        <v>-11181.353542688021</v>
      </c>
      <c r="E44" s="64">
        <f t="shared" si="34"/>
        <v>-668.47539369768424</v>
      </c>
      <c r="F44" s="64">
        <f t="shared" si="34"/>
        <v>-3512.4150113498431</v>
      </c>
      <c r="G44" s="64">
        <f t="shared" si="34"/>
        <v>-2795.4675684143326</v>
      </c>
      <c r="H44" s="64">
        <f t="shared" si="34"/>
        <v>-247.73559042829893</v>
      </c>
      <c r="I44" s="64">
        <f>SUM(B44:H44)</f>
        <v>-34057</v>
      </c>
      <c r="J44" s="64"/>
      <c r="K44" s="64">
        <v>12665</v>
      </c>
      <c r="L44" s="47">
        <f t="shared" si="32"/>
        <v>-0.67107918091965257</v>
      </c>
      <c r="M44" s="47">
        <f t="shared" si="32"/>
        <v>-0.67107918091965257</v>
      </c>
      <c r="N44" s="58">
        <f t="shared" si="32"/>
        <v>-0.67107918091965257</v>
      </c>
      <c r="O44" s="47">
        <f t="shared" si="32"/>
        <v>-0.67107918091965257</v>
      </c>
      <c r="P44" s="47">
        <f t="shared" si="32"/>
        <v>-0.67107918091965257</v>
      </c>
      <c r="Q44" s="47">
        <f t="shared" si="32"/>
        <v>-0.67107918091965257</v>
      </c>
      <c r="R44" s="47">
        <f t="shared" si="32"/>
        <v>-0.67107918091965257</v>
      </c>
      <c r="S44" s="47">
        <f t="shared" si="32"/>
        <v>-0.67107918091965257</v>
      </c>
      <c r="U44" s="64">
        <f>D44+F44</f>
        <v>-14693.768554037864</v>
      </c>
      <c r="V44" s="47">
        <f>U44/$U$53</f>
        <v>-0.67107918091965257</v>
      </c>
      <c r="X44" s="64">
        <f>SUM(B44:D44)</f>
        <v>-26832.906436109843</v>
      </c>
      <c r="Y44" s="47">
        <f>X44/$X$53</f>
        <v>-0.67107918091965257</v>
      </c>
    </row>
    <row r="45" spans="1:25" x14ac:dyDescent="0.25">
      <c r="A45" s="79" t="s">
        <v>248</v>
      </c>
      <c r="B45" s="64">
        <f t="shared" ref="B45:H45" si="35">259767/$I$53*B$53</f>
        <v>116567.40591906144</v>
      </c>
      <c r="C45" s="64">
        <f t="shared" si="35"/>
        <v>2813.5419173747182</v>
      </c>
      <c r="D45" s="64">
        <f t="shared" si="35"/>
        <v>85284.865540812141</v>
      </c>
      <c r="E45" s="64">
        <f t="shared" si="35"/>
        <v>5098.7417445654737</v>
      </c>
      <c r="F45" s="64">
        <f t="shared" si="35"/>
        <v>26790.660077320805</v>
      </c>
      <c r="G45" s="64">
        <f t="shared" si="35"/>
        <v>21322.201716072639</v>
      </c>
      <c r="H45" s="64">
        <f t="shared" si="35"/>
        <v>1889.5830847927864</v>
      </c>
      <c r="I45" s="64">
        <f>SUM(B45:H45)</f>
        <v>259767</v>
      </c>
      <c r="J45" s="64"/>
      <c r="K45" s="64">
        <f>665668-70573</f>
        <v>595095</v>
      </c>
      <c r="L45" s="47">
        <f t="shared" si="32"/>
        <v>5.1186019200151334</v>
      </c>
      <c r="M45" s="47">
        <f t="shared" si="32"/>
        <v>5.1186019200151334</v>
      </c>
      <c r="N45" s="58">
        <f t="shared" si="32"/>
        <v>5.1186019200151334</v>
      </c>
      <c r="O45" s="47">
        <f t="shared" si="32"/>
        <v>5.1186019200151334</v>
      </c>
      <c r="P45" s="47">
        <f t="shared" si="32"/>
        <v>5.1186019200151334</v>
      </c>
      <c r="Q45" s="47">
        <f t="shared" si="32"/>
        <v>5.1186019200151334</v>
      </c>
      <c r="R45" s="47">
        <f t="shared" si="32"/>
        <v>5.1186019200151334</v>
      </c>
      <c r="S45" s="47">
        <f t="shared" si="32"/>
        <v>5.1186019200151334</v>
      </c>
      <c r="U45" s="64">
        <f>D45+F45</f>
        <v>112075.52561813295</v>
      </c>
      <c r="V45" s="47">
        <f>U45/$U$53</f>
        <v>5.1186019200151334</v>
      </c>
      <c r="X45" s="64">
        <f>SUM(B45:D45)</f>
        <v>204665.8133772483</v>
      </c>
      <c r="Y45" s="47">
        <f>X45/$X$53</f>
        <v>5.1186019200151334</v>
      </c>
    </row>
    <row r="46" spans="1:25" x14ac:dyDescent="0.25">
      <c r="A46" s="78" t="s">
        <v>247</v>
      </c>
      <c r="B46" s="76">
        <f t="shared" ref="B46:I46" si="36">SUM(B42:B45)</f>
        <v>149745.32199012407</v>
      </c>
      <c r="C46" s="76">
        <f t="shared" si="36"/>
        <v>3614.3443102999827</v>
      </c>
      <c r="D46" s="76">
        <f t="shared" si="36"/>
        <v>109559.01051929474</v>
      </c>
      <c r="E46" s="76">
        <f t="shared" si="36"/>
        <v>6549.9675339313017</v>
      </c>
      <c r="F46" s="76">
        <f t="shared" si="36"/>
        <v>34415.932892870092</v>
      </c>
      <c r="G46" s="76">
        <f t="shared" si="36"/>
        <v>27391.018409800272</v>
      </c>
      <c r="H46" s="76">
        <f t="shared" si="36"/>
        <v>2427.404343679556</v>
      </c>
      <c r="I46" s="76">
        <f t="shared" si="36"/>
        <v>333703</v>
      </c>
      <c r="J46" s="64"/>
      <c r="L46" s="75">
        <f t="shared" ref="L46:S46" si="37">SUM(L42:L45)</f>
        <v>6.575480397875058</v>
      </c>
      <c r="M46" s="75">
        <f t="shared" si="37"/>
        <v>6.575480397875058</v>
      </c>
      <c r="N46" s="77">
        <f t="shared" si="37"/>
        <v>6.575480397875058</v>
      </c>
      <c r="O46" s="75">
        <f t="shared" si="37"/>
        <v>6.575480397875058</v>
      </c>
      <c r="P46" s="75">
        <f t="shared" si="37"/>
        <v>6.575480397875058</v>
      </c>
      <c r="Q46" s="75">
        <f t="shared" si="37"/>
        <v>6.575480397875058</v>
      </c>
      <c r="R46" s="75">
        <f t="shared" si="37"/>
        <v>6.575480397875058</v>
      </c>
      <c r="S46" s="75">
        <f t="shared" si="37"/>
        <v>6.575480397875058</v>
      </c>
      <c r="U46" s="76">
        <f>SUM(U42:U45)</f>
        <v>143974.94341216484</v>
      </c>
      <c r="V46" s="75">
        <f>SUM(V42:V45)</f>
        <v>6.575480397875058</v>
      </c>
      <c r="X46" s="76">
        <f>SUM(X42:X45)</f>
        <v>262918.67681971879</v>
      </c>
      <c r="Y46" s="75">
        <f>SUM(Y42:Y45)</f>
        <v>6.575480397875058</v>
      </c>
    </row>
    <row r="47" spans="1:25" x14ac:dyDescent="0.25">
      <c r="B47" s="64"/>
      <c r="C47" s="64"/>
      <c r="D47" s="64"/>
      <c r="E47" s="64"/>
      <c r="F47" s="64"/>
      <c r="G47" s="64"/>
      <c r="H47" s="64"/>
      <c r="I47" s="64"/>
      <c r="J47" s="64"/>
      <c r="L47" s="64"/>
      <c r="M47" s="64"/>
      <c r="N47" s="74"/>
      <c r="O47" s="64"/>
      <c r="P47" s="64"/>
      <c r="Q47" s="64"/>
      <c r="R47" s="64"/>
      <c r="S47" s="64"/>
      <c r="U47" s="64"/>
      <c r="V47" s="64"/>
      <c r="X47" s="64"/>
      <c r="Y47" s="64"/>
    </row>
    <row r="48" spans="1:25" ht="15.75" thickBot="1" x14ac:dyDescent="0.3">
      <c r="A48" s="73" t="s">
        <v>246</v>
      </c>
      <c r="B48" s="71">
        <f t="shared" ref="B48:I48" si="38">B40-B46</f>
        <v>-330242.02483604022</v>
      </c>
      <c r="C48" s="71">
        <f t="shared" si="38"/>
        <v>1321.7382280778093</v>
      </c>
      <c r="D48" s="71">
        <f t="shared" si="38"/>
        <v>-41152.589925262815</v>
      </c>
      <c r="E48" s="71">
        <f t="shared" si="38"/>
        <v>-45957.924057199751</v>
      </c>
      <c r="F48" s="71">
        <f t="shared" si="38"/>
        <v>-178092.32033352676</v>
      </c>
      <c r="G48" s="71">
        <f t="shared" si="38"/>
        <v>155468.78165215871</v>
      </c>
      <c r="H48" s="71">
        <f t="shared" si="38"/>
        <v>-4068.6067340744239</v>
      </c>
      <c r="I48" s="71">
        <f t="shared" si="38"/>
        <v>-442722.94600586686</v>
      </c>
      <c r="J48" s="64"/>
      <c r="L48" s="70">
        <f t="shared" ref="L48:S48" si="39">L40-L46</f>
        <v>-14.501287465976166</v>
      </c>
      <c r="M48" s="70">
        <f t="shared" si="39"/>
        <v>2.4046031765928682</v>
      </c>
      <c r="N48" s="72">
        <f t="shared" si="39"/>
        <v>-2.4698840112991043</v>
      </c>
      <c r="O48" s="70">
        <f t="shared" si="39"/>
        <v>-46.136935366421469</v>
      </c>
      <c r="P48" s="70">
        <f t="shared" si="39"/>
        <v>-34.026175173295812</v>
      </c>
      <c r="Q48" s="70">
        <f t="shared" si="39"/>
        <v>37.321793258680842</v>
      </c>
      <c r="R48" s="70">
        <f t="shared" si="39"/>
        <v>-11.021255645450275</v>
      </c>
      <c r="S48" s="70">
        <f t="shared" si="39"/>
        <v>-8.7236736054248389</v>
      </c>
      <c r="U48" s="71">
        <f>U40-U46</f>
        <v>-219244.91025878993</v>
      </c>
      <c r="V48" s="70">
        <f>V40-V46</f>
        <v>-10.013135449641997</v>
      </c>
      <c r="X48" s="71">
        <f>X40-X46</f>
        <v>-370072.87653322553</v>
      </c>
      <c r="Y48" s="70">
        <f>Y40-Y46</f>
        <v>-9.2553597746044467</v>
      </c>
    </row>
    <row r="49" spans="1:25" ht="15.75" thickTop="1" x14ac:dyDescent="0.25">
      <c r="L49" s="68">
        <f t="shared" ref="L49:S49" si="40">L48/L13</f>
        <v>-0.10421034464764754</v>
      </c>
      <c r="M49" s="68">
        <f t="shared" si="40"/>
        <v>1.7678909419177199E-2</v>
      </c>
      <c r="N49" s="69">
        <f t="shared" si="40"/>
        <v>-2.0229801083738376E-2</v>
      </c>
      <c r="O49" s="68">
        <f t="shared" si="40"/>
        <v>-0.4362979718933111</v>
      </c>
      <c r="P49" s="68">
        <f t="shared" si="40"/>
        <v>-0.31823687619156221</v>
      </c>
      <c r="Q49" s="68">
        <f t="shared" si="40"/>
        <v>0.2650834313494837</v>
      </c>
      <c r="R49" s="68">
        <f t="shared" si="40"/>
        <v>-0.10363764669811051</v>
      </c>
      <c r="S49" s="68">
        <f t="shared" si="40"/>
        <v>-6.7398663283242274E-2</v>
      </c>
      <c r="V49" s="68">
        <f>V48/V13</f>
        <v>-8.452399767131874E-2</v>
      </c>
      <c r="Y49" s="68">
        <f>Y48/Y13</f>
        <v>-7.0115933101584066E-2</v>
      </c>
    </row>
    <row r="50" spans="1:25" x14ac:dyDescent="0.25">
      <c r="A50" t="s">
        <v>245</v>
      </c>
      <c r="N50" s="63"/>
    </row>
    <row r="51" spans="1:25" x14ac:dyDescent="0.25">
      <c r="A51" t="s">
        <v>244</v>
      </c>
      <c r="B51" s="46">
        <v>22773.29</v>
      </c>
      <c r="C51" s="46">
        <v>549.66999999999996</v>
      </c>
      <c r="D51" s="46"/>
      <c r="E51" s="46">
        <v>996.11999999999989</v>
      </c>
      <c r="F51" s="46"/>
      <c r="G51" s="46">
        <v>1713.81</v>
      </c>
      <c r="H51" s="46">
        <v>369.15999999999997</v>
      </c>
      <c r="I51" s="46">
        <f>SUM(B51:H51)</f>
        <v>26402.05</v>
      </c>
      <c r="L51" s="62"/>
      <c r="M51" s="62"/>
      <c r="N51" s="66"/>
      <c r="O51" s="62"/>
      <c r="P51" s="62"/>
      <c r="Q51" s="62"/>
      <c r="R51" s="62"/>
      <c r="S51" s="62"/>
      <c r="U51" s="46"/>
      <c r="V51" s="62"/>
      <c r="X51" s="46"/>
      <c r="Y51" s="62"/>
    </row>
    <row r="52" spans="1:25" x14ac:dyDescent="0.25">
      <c r="A52" t="s">
        <v>243</v>
      </c>
      <c r="B52" s="46"/>
      <c r="C52" s="46"/>
      <c r="D52" s="46">
        <v>16661.75</v>
      </c>
      <c r="E52" s="46"/>
      <c r="F52" s="46">
        <v>5233.9799999999996</v>
      </c>
      <c r="G52" s="46">
        <v>2451.8200000000002</v>
      </c>
      <c r="H52" s="46"/>
      <c r="I52" s="46">
        <f>SUM(B52:H52)</f>
        <v>24347.55</v>
      </c>
      <c r="L52" s="62"/>
      <c r="M52" s="62"/>
      <c r="N52" s="66"/>
      <c r="O52" s="67"/>
      <c r="P52" s="67"/>
      <c r="Q52" s="62"/>
      <c r="R52" s="62"/>
      <c r="S52" s="62"/>
      <c r="U52" s="46">
        <f>SUM(D52:F52)</f>
        <v>21895.73</v>
      </c>
      <c r="V52" s="62"/>
      <c r="X52" s="46">
        <f>SUM(B53:D53)</f>
        <v>39984.71</v>
      </c>
      <c r="Y52" s="62"/>
    </row>
    <row r="53" spans="1:25" x14ac:dyDescent="0.25">
      <c r="A53" t="s">
        <v>242</v>
      </c>
      <c r="B53" s="65">
        <f t="shared" ref="B53:I53" si="41">SUM(B51:B52)</f>
        <v>22773.29</v>
      </c>
      <c r="C53" s="65">
        <f t="shared" si="41"/>
        <v>549.66999999999996</v>
      </c>
      <c r="D53" s="65">
        <f t="shared" si="41"/>
        <v>16661.75</v>
      </c>
      <c r="E53" s="65">
        <f t="shared" si="41"/>
        <v>996.11999999999989</v>
      </c>
      <c r="F53" s="65">
        <f t="shared" si="41"/>
        <v>5233.9799999999996</v>
      </c>
      <c r="G53" s="65">
        <f t="shared" si="41"/>
        <v>4165.63</v>
      </c>
      <c r="H53" s="65">
        <f t="shared" si="41"/>
        <v>369.15999999999997</v>
      </c>
      <c r="I53" s="65">
        <f t="shared" si="41"/>
        <v>50749.599999999999</v>
      </c>
      <c r="L53" s="62"/>
      <c r="M53" s="62"/>
      <c r="N53" s="66"/>
      <c r="O53" s="62"/>
      <c r="P53" s="62"/>
      <c r="Q53" s="62"/>
      <c r="R53" s="62"/>
      <c r="S53" s="62"/>
      <c r="U53" s="65">
        <f>SUM(U51:U52)</f>
        <v>21895.73</v>
      </c>
      <c r="V53" s="62"/>
      <c r="X53" s="65">
        <f>SUM(X51:X52)</f>
        <v>39984.71</v>
      </c>
      <c r="Y53" s="62"/>
    </row>
    <row r="54" spans="1:25" x14ac:dyDescent="0.25">
      <c r="B54" s="64"/>
      <c r="C54" s="64"/>
      <c r="D54" s="64"/>
      <c r="G54" s="47"/>
      <c r="N54" s="63"/>
      <c r="T54" s="52"/>
    </row>
    <row r="55" spans="1:25" s="52" customFormat="1" x14ac:dyDescent="0.25">
      <c r="A55" s="52" t="s">
        <v>241</v>
      </c>
      <c r="B55" s="62"/>
      <c r="C55" s="62"/>
      <c r="D55" s="62"/>
      <c r="L55" s="60">
        <f t="shared" ref="L55:S55" si="42">L38+L46</f>
        <v>93.767711627286303</v>
      </c>
      <c r="M55" s="60">
        <f t="shared" si="42"/>
        <v>95.025991015785152</v>
      </c>
      <c r="N55" s="61">
        <f>N38+N46</f>
        <v>95.515138869396381</v>
      </c>
      <c r="O55" s="60">
        <f t="shared" si="42"/>
        <v>94.838602959332107</v>
      </c>
      <c r="P55" s="60">
        <f t="shared" si="42"/>
        <v>98.607941371434791</v>
      </c>
      <c r="Q55" s="60">
        <f t="shared" si="42"/>
        <v>27.359084794809014</v>
      </c>
      <c r="R55" s="60">
        <f t="shared" si="42"/>
        <v>17.138602474753192</v>
      </c>
      <c r="S55" s="60">
        <f t="shared" si="42"/>
        <v>88.866886125326445</v>
      </c>
      <c r="V55" s="60">
        <f>V38+V46</f>
        <v>96.25444586850621</v>
      </c>
      <c r="Y55" s="60">
        <f>Y38+Y46</f>
        <v>94.513167434836319</v>
      </c>
    </row>
    <row r="56" spans="1:25" s="52" customFormat="1" x14ac:dyDescent="0.25">
      <c r="N56" s="59"/>
    </row>
    <row r="57" spans="1:25" x14ac:dyDescent="0.25">
      <c r="I57" s="47"/>
      <c r="L57" s="47"/>
      <c r="M57" s="47"/>
      <c r="N57" s="58"/>
      <c r="O57" s="47"/>
      <c r="P57" s="47"/>
      <c r="Q57" s="47"/>
    </row>
    <row r="58" spans="1:25" x14ac:dyDescent="0.25">
      <c r="B58" s="57"/>
      <c r="C58" s="57"/>
      <c r="D58" s="142"/>
      <c r="E58" s="56"/>
      <c r="F58" s="56"/>
      <c r="G58" s="52"/>
      <c r="I58" s="64"/>
      <c r="L58" s="47"/>
      <c r="M58" s="47"/>
      <c r="N58" s="47"/>
      <c r="O58" s="47"/>
      <c r="P58" s="47"/>
    </row>
    <row r="59" spans="1:25" x14ac:dyDescent="0.25">
      <c r="B59" s="52"/>
      <c r="C59" s="52"/>
      <c r="D59" s="52"/>
      <c r="E59" s="52"/>
      <c r="F59" s="52"/>
      <c r="G59" s="52"/>
      <c r="I59" s="47"/>
      <c r="L59" s="47"/>
      <c r="M59" s="47"/>
      <c r="N59" s="47"/>
      <c r="O59" s="47"/>
      <c r="P59" s="47"/>
    </row>
    <row r="60" spans="1:25" x14ac:dyDescent="0.25">
      <c r="B60" s="55"/>
      <c r="C60" s="55"/>
      <c r="D60" s="54"/>
      <c r="E60" s="53"/>
      <c r="F60" s="52"/>
      <c r="G60" s="52"/>
      <c r="I60" s="47"/>
      <c r="L60" s="51"/>
      <c r="M60" s="51"/>
      <c r="N60" s="45"/>
      <c r="O60" s="47"/>
      <c r="P60" s="47"/>
    </row>
    <row r="61" spans="1:25" x14ac:dyDescent="0.25">
      <c r="B61" s="44"/>
      <c r="C61" s="44"/>
      <c r="D61" s="50"/>
      <c r="E61" s="50"/>
      <c r="I61" s="47"/>
      <c r="L61" s="47"/>
      <c r="M61" s="47"/>
      <c r="N61" s="49"/>
      <c r="P61" s="47"/>
      <c r="S61" s="47"/>
    </row>
    <row r="62" spans="1:25" x14ac:dyDescent="0.25">
      <c r="B62" s="44"/>
      <c r="C62" s="44"/>
      <c r="E62" s="45"/>
      <c r="L62" s="47"/>
      <c r="M62" s="47"/>
      <c r="N62" s="49"/>
      <c r="P62" s="47"/>
    </row>
    <row r="63" spans="1:25" x14ac:dyDescent="0.25">
      <c r="B63" s="44"/>
      <c r="C63" s="44"/>
      <c r="D63" s="44"/>
      <c r="E63" s="44"/>
      <c r="F63" s="44"/>
      <c r="N63" s="49"/>
      <c r="P63" s="49"/>
    </row>
    <row r="64" spans="1:25" x14ac:dyDescent="0.25">
      <c r="B64" s="44"/>
      <c r="C64" s="44"/>
      <c r="D64" s="45"/>
      <c r="E64" s="45"/>
      <c r="F64" s="48"/>
      <c r="L64" s="47"/>
      <c r="M64" s="47"/>
      <c r="N64" s="47"/>
    </row>
    <row r="65" spans="2:6" x14ac:dyDescent="0.25">
      <c r="B65" s="44"/>
      <c r="C65" s="44"/>
      <c r="D65" s="44"/>
      <c r="E65" s="44"/>
      <c r="F65" s="45"/>
    </row>
    <row r="66" spans="2:6" x14ac:dyDescent="0.25">
      <c r="B66" s="44"/>
      <c r="C66" s="44"/>
      <c r="D66" s="44"/>
      <c r="E66" s="44"/>
      <c r="F66" s="46"/>
    </row>
    <row r="67" spans="2:6" x14ac:dyDescent="0.25">
      <c r="B67" s="44"/>
      <c r="C67" s="44"/>
      <c r="F67" s="46"/>
    </row>
    <row r="68" spans="2:6" x14ac:dyDescent="0.25">
      <c r="B68" s="44"/>
      <c r="C68" s="44"/>
      <c r="F68" s="45"/>
    </row>
    <row r="69" spans="2:6" x14ac:dyDescent="0.25">
      <c r="B69" s="44"/>
      <c r="C69" s="44"/>
    </row>
    <row r="70" spans="2:6" x14ac:dyDescent="0.25">
      <c r="B70" s="45"/>
      <c r="C70" s="45"/>
    </row>
    <row r="71" spans="2:6" x14ac:dyDescent="0.25">
      <c r="B71" s="44"/>
      <c r="C71" s="44"/>
    </row>
    <row r="72" spans="2:6" x14ac:dyDescent="0.25">
      <c r="B72" s="44"/>
      <c r="C72" s="44"/>
    </row>
    <row r="73" spans="2:6" x14ac:dyDescent="0.25">
      <c r="B73" s="44"/>
      <c r="C73" s="44"/>
    </row>
    <row r="74" spans="2:6" x14ac:dyDescent="0.25">
      <c r="B74" s="44"/>
      <c r="C74" s="44"/>
    </row>
    <row r="75" spans="2:6" x14ac:dyDescent="0.25">
      <c r="B75" s="44"/>
      <c r="C75" s="44"/>
    </row>
    <row r="76" spans="2:6" x14ac:dyDescent="0.25">
      <c r="B76" s="44"/>
      <c r="C76" s="44"/>
    </row>
    <row r="77" spans="2:6" x14ac:dyDescent="0.25">
      <c r="B77" s="44"/>
      <c r="C77" s="44"/>
    </row>
    <row r="78" spans="2:6" x14ac:dyDescent="0.25">
      <c r="B78" s="44"/>
      <c r="C78" s="44"/>
    </row>
  </sheetData>
  <mergeCells count="5">
    <mergeCell ref="U2:U4"/>
    <mergeCell ref="X2:X4"/>
    <mergeCell ref="N3:S3"/>
    <mergeCell ref="V3:V4"/>
    <mergeCell ref="Y3:Y4"/>
  </mergeCells>
  <pageMargins left="0.25" right="0.25" top="0.5" bottom="0.5" header="0.3" footer="0.3"/>
  <pageSetup scale="46" orientation="landscape"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9"/>
  <sheetViews>
    <sheetView zoomScale="110" zoomScaleNormal="110" workbookViewId="0">
      <selection activeCell="J35" sqref="J35"/>
    </sheetView>
  </sheetViews>
  <sheetFormatPr defaultRowHeight="15" x14ac:dyDescent="0.25"/>
  <cols>
    <col min="1" max="1" width="41" customWidth="1"/>
    <col min="2" max="3" width="16.28515625" customWidth="1"/>
    <col min="4" max="4" width="40.5703125" customWidth="1"/>
    <col min="5" max="5" width="17.42578125" customWidth="1"/>
    <col min="6" max="6" width="12.7109375" bestFit="1" customWidth="1"/>
    <col min="7" max="7" width="15" bestFit="1" customWidth="1"/>
  </cols>
  <sheetData>
    <row r="1" spans="1:8" x14ac:dyDescent="0.25">
      <c r="A1" t="s">
        <v>292</v>
      </c>
    </row>
    <row r="2" spans="1:8" x14ac:dyDescent="0.25">
      <c r="A2" t="s">
        <v>293</v>
      </c>
    </row>
    <row r="3" spans="1:8" x14ac:dyDescent="0.25">
      <c r="A3" t="s">
        <v>294</v>
      </c>
    </row>
    <row r="4" spans="1:8" x14ac:dyDescent="0.25">
      <c r="A4" s="99">
        <v>43279</v>
      </c>
    </row>
    <row r="5" spans="1:8" ht="18.75" customHeight="1" x14ac:dyDescent="0.3">
      <c r="A5" s="110" t="s">
        <v>290</v>
      </c>
      <c r="B5" s="111" t="s">
        <v>289</v>
      </c>
      <c r="C5" s="111"/>
      <c r="D5" s="100" t="s">
        <v>290</v>
      </c>
      <c r="E5" s="186" t="s">
        <v>297</v>
      </c>
      <c r="F5" s="101"/>
      <c r="G5" s="187" t="s">
        <v>298</v>
      </c>
      <c r="H5" s="187"/>
    </row>
    <row r="6" spans="1:8" ht="18.75" x14ac:dyDescent="0.3">
      <c r="A6" s="110" t="s">
        <v>288</v>
      </c>
      <c r="B6" s="111" t="s">
        <v>287</v>
      </c>
      <c r="C6" s="111"/>
      <c r="D6" s="100" t="s">
        <v>296</v>
      </c>
      <c r="E6" s="186"/>
      <c r="F6" s="101"/>
      <c r="G6" s="123" t="s">
        <v>299</v>
      </c>
      <c r="H6" s="123" t="s">
        <v>295</v>
      </c>
    </row>
    <row r="7" spans="1:8" x14ac:dyDescent="0.25">
      <c r="A7" s="112"/>
      <c r="B7" s="111" t="s">
        <v>284</v>
      </c>
      <c r="C7" s="111" t="s">
        <v>295</v>
      </c>
      <c r="D7" s="102"/>
      <c r="E7" s="186"/>
      <c r="F7" s="101" t="s">
        <v>295</v>
      </c>
      <c r="G7" s="123"/>
      <c r="H7" s="123"/>
    </row>
    <row r="8" spans="1:8" x14ac:dyDescent="0.25">
      <c r="A8" s="111"/>
      <c r="B8" s="111" t="s">
        <v>3</v>
      </c>
      <c r="C8" s="111" t="s">
        <v>278</v>
      </c>
      <c r="D8" s="101"/>
      <c r="E8" s="101" t="s">
        <v>3</v>
      </c>
      <c r="F8" s="101" t="s">
        <v>278</v>
      </c>
      <c r="G8" s="123"/>
      <c r="H8" s="123"/>
    </row>
    <row r="9" spans="1:8" x14ac:dyDescent="0.25">
      <c r="A9" s="111"/>
      <c r="B9" s="111"/>
      <c r="C9" s="111"/>
      <c r="D9" s="101"/>
      <c r="E9" s="101"/>
      <c r="F9" s="101"/>
      <c r="G9" s="123"/>
      <c r="H9" s="123"/>
    </row>
    <row r="10" spans="1:8" x14ac:dyDescent="0.25">
      <c r="A10" s="111" t="s">
        <v>273</v>
      </c>
      <c r="B10" s="111"/>
      <c r="C10" s="111"/>
      <c r="D10" s="101" t="s">
        <v>273</v>
      </c>
      <c r="E10" s="101"/>
      <c r="F10" s="101"/>
      <c r="G10" s="123"/>
      <c r="H10" s="123"/>
    </row>
    <row r="11" spans="1:8" x14ac:dyDescent="0.25">
      <c r="A11" s="113" t="s">
        <v>219</v>
      </c>
      <c r="B11" s="114">
        <v>6568719.9780999999</v>
      </c>
      <c r="C11" s="114">
        <v>122.09136417483157</v>
      </c>
      <c r="D11" s="103" t="s">
        <v>219</v>
      </c>
      <c r="E11" s="121">
        <v>11263627</v>
      </c>
      <c r="F11" s="121">
        <v>182.67463880903492</v>
      </c>
      <c r="G11" s="124">
        <f>B11-E11</f>
        <v>-4694907.0219000001</v>
      </c>
      <c r="H11" s="124">
        <f>C11-F11</f>
        <v>-60.583274634203349</v>
      </c>
    </row>
    <row r="12" spans="1:8" x14ac:dyDescent="0.25">
      <c r="A12" s="111"/>
      <c r="B12" s="114"/>
      <c r="C12" s="114"/>
      <c r="D12" s="101"/>
      <c r="E12" s="121"/>
      <c r="F12" s="121"/>
      <c r="G12" s="124"/>
      <c r="H12" s="124"/>
    </row>
    <row r="13" spans="1:8" x14ac:dyDescent="0.25">
      <c r="A13" s="113" t="s">
        <v>261</v>
      </c>
      <c r="B13" s="114">
        <v>2501484</v>
      </c>
      <c r="C13" s="114">
        <v>29.046109316734285</v>
      </c>
      <c r="D13" s="122" t="s">
        <v>261</v>
      </c>
      <c r="E13" s="121">
        <v>5178992.53</v>
      </c>
      <c r="F13" s="121">
        <v>81.434297592044373</v>
      </c>
      <c r="G13" s="124">
        <f>B13-E13</f>
        <v>-2677508.5300000003</v>
      </c>
      <c r="H13" s="124">
        <f>C13-F13</f>
        <v>-52.388188275310085</v>
      </c>
    </row>
    <row r="14" spans="1:8" x14ac:dyDescent="0.25">
      <c r="A14" s="111"/>
      <c r="B14" s="114"/>
      <c r="C14" s="114"/>
      <c r="D14" s="101"/>
      <c r="E14" s="121"/>
      <c r="F14" s="121"/>
      <c r="G14" s="124"/>
      <c r="H14" s="124"/>
    </row>
    <row r="15" spans="1:8" x14ac:dyDescent="0.25">
      <c r="A15" s="113" t="s">
        <v>260</v>
      </c>
      <c r="B15" s="114">
        <v>4067235.9780999999</v>
      </c>
      <c r="C15" s="114">
        <v>93.04525485809728</v>
      </c>
      <c r="D15" s="103" t="s">
        <v>260</v>
      </c>
      <c r="E15" s="121">
        <v>6084634.4699999997</v>
      </c>
      <c r="F15" s="121">
        <v>101.24034121699054</v>
      </c>
      <c r="G15" s="124">
        <f>B15-E15</f>
        <v>-2017398.4918999998</v>
      </c>
      <c r="H15" s="124">
        <f>C15-F15</f>
        <v>-8.1950863588932634</v>
      </c>
    </row>
    <row r="16" spans="1:8" x14ac:dyDescent="0.25">
      <c r="A16" s="111"/>
      <c r="B16" s="114"/>
      <c r="C16" s="114"/>
      <c r="D16" s="101"/>
      <c r="E16" s="121"/>
      <c r="F16" s="121"/>
      <c r="G16" s="124"/>
      <c r="H16" s="124"/>
    </row>
    <row r="17" spans="1:8" x14ac:dyDescent="0.25">
      <c r="A17" s="115" t="s">
        <v>195</v>
      </c>
      <c r="B17" s="114">
        <v>2270947.4566577286</v>
      </c>
      <c r="C17" s="114">
        <v>48.115000000000002</v>
      </c>
      <c r="D17" s="104" t="s">
        <v>195</v>
      </c>
      <c r="E17" s="121">
        <v>1919753.3867120121</v>
      </c>
      <c r="F17" s="121">
        <v>35.202120000000001</v>
      </c>
      <c r="G17" s="124">
        <f>B17-E17</f>
        <v>351194.06994571653</v>
      </c>
      <c r="H17" s="124">
        <f>C17-F17</f>
        <v>12.912880000000001</v>
      </c>
    </row>
    <row r="18" spans="1:8" x14ac:dyDescent="0.25">
      <c r="A18" s="115" t="s">
        <v>258</v>
      </c>
      <c r="B18" s="114">
        <v>116698.1553955</v>
      </c>
      <c r="C18" s="114">
        <v>2.5251000000000001</v>
      </c>
      <c r="D18" s="104" t="s">
        <v>258</v>
      </c>
      <c r="E18" s="121">
        <v>112371.73229999999</v>
      </c>
      <c r="F18" s="121">
        <v>2.0833499999999998</v>
      </c>
      <c r="G18" s="124">
        <f t="shared" ref="G18:G24" si="0">B18-E18</f>
        <v>4326.4230955000094</v>
      </c>
      <c r="H18" s="124">
        <f t="shared" ref="H18:H24" si="1">C18-F18</f>
        <v>0.44175000000000031</v>
      </c>
    </row>
    <row r="19" spans="1:8" x14ac:dyDescent="0.25">
      <c r="A19" s="115" t="s">
        <v>257</v>
      </c>
      <c r="B19" s="114">
        <v>176941.24788617701</v>
      </c>
      <c r="C19" s="114">
        <v>3.5931199999999999</v>
      </c>
      <c r="D19" s="104" t="s">
        <v>257</v>
      </c>
      <c r="E19" s="121">
        <v>116450.51470397317</v>
      </c>
      <c r="F19" s="121">
        <v>2.0922170000000002</v>
      </c>
      <c r="G19" s="124">
        <f t="shared" si="0"/>
        <v>60490.73318220384</v>
      </c>
      <c r="H19" s="124">
        <f t="shared" si="1"/>
        <v>1.5009029999999997</v>
      </c>
    </row>
    <row r="20" spans="1:8" x14ac:dyDescent="0.25">
      <c r="A20" s="115" t="s">
        <v>256</v>
      </c>
      <c r="B20" s="114">
        <v>660564.99972726463</v>
      </c>
      <c r="C20" s="114">
        <v>14.031689999999999</v>
      </c>
      <c r="D20" s="104" t="s">
        <v>256</v>
      </c>
      <c r="E20" s="121">
        <v>605459.95627216098</v>
      </c>
      <c r="F20" s="121">
        <v>11.14869</v>
      </c>
      <c r="G20" s="124">
        <f t="shared" si="0"/>
        <v>55105.043455103645</v>
      </c>
      <c r="H20" s="124">
        <f t="shared" si="1"/>
        <v>2.8829999999999991</v>
      </c>
    </row>
    <row r="21" spans="1:8" x14ac:dyDescent="0.25">
      <c r="A21" s="115" t="s">
        <v>255</v>
      </c>
      <c r="B21" s="114">
        <v>109886.43848060617</v>
      </c>
      <c r="C21" s="114">
        <v>2.3584117999999998</v>
      </c>
      <c r="D21" s="104" t="s">
        <v>255</v>
      </c>
      <c r="E21" s="121">
        <v>122646.5513748137</v>
      </c>
      <c r="F21" s="121">
        <v>2.2637499999999999</v>
      </c>
      <c r="G21" s="124">
        <f t="shared" si="0"/>
        <v>-12760.11289420753</v>
      </c>
      <c r="H21" s="124">
        <f t="shared" si="1"/>
        <v>9.4661799999999907E-2</v>
      </c>
    </row>
    <row r="22" spans="1:8" x14ac:dyDescent="0.25">
      <c r="A22" s="115" t="s">
        <v>254</v>
      </c>
      <c r="B22" s="114">
        <v>346514.74540189648</v>
      </c>
      <c r="C22" s="114">
        <v>7.3259759999999998</v>
      </c>
      <c r="D22" s="104" t="s">
        <v>254</v>
      </c>
      <c r="E22" s="121">
        <v>261424.46205821159</v>
      </c>
      <c r="F22" s="121">
        <v>4.7934700000000001</v>
      </c>
      <c r="G22" s="124">
        <f t="shared" si="0"/>
        <v>85090.283343684889</v>
      </c>
      <c r="H22" s="124">
        <f t="shared" si="1"/>
        <v>2.5325059999999997</v>
      </c>
    </row>
    <row r="23" spans="1:8" x14ac:dyDescent="0.25">
      <c r="A23" s="115" t="s">
        <v>253</v>
      </c>
      <c r="B23" s="114">
        <v>166709.47504133891</v>
      </c>
      <c r="C23" s="114">
        <v>4.0776696715213294</v>
      </c>
      <c r="D23" s="104" t="s">
        <v>253</v>
      </c>
      <c r="E23" s="121">
        <v>93233.683236141616</v>
      </c>
      <c r="F23" s="121">
        <v>1.6869512937839541</v>
      </c>
      <c r="G23" s="124">
        <f t="shared" si="0"/>
        <v>73475.791805197296</v>
      </c>
      <c r="H23" s="124">
        <f t="shared" si="1"/>
        <v>2.3907183777373753</v>
      </c>
    </row>
    <row r="24" spans="1:8" x14ac:dyDescent="0.25">
      <c r="A24" s="116" t="s">
        <v>252</v>
      </c>
      <c r="B24" s="114">
        <v>3848262.5185905118</v>
      </c>
      <c r="C24" s="114">
        <v>82.026967471521331</v>
      </c>
      <c r="D24" s="105" t="s">
        <v>252</v>
      </c>
      <c r="E24" s="121">
        <v>3231340.2866573134</v>
      </c>
      <c r="F24" s="121">
        <v>59.270548293783961</v>
      </c>
      <c r="G24" s="124">
        <f t="shared" si="0"/>
        <v>616922.2319331984</v>
      </c>
      <c r="H24" s="124">
        <f t="shared" si="1"/>
        <v>22.756419177737371</v>
      </c>
    </row>
    <row r="25" spans="1:8" x14ac:dyDescent="0.25">
      <c r="A25" s="115"/>
      <c r="B25" s="114"/>
      <c r="C25" s="114"/>
      <c r="D25" s="101"/>
      <c r="E25" s="121"/>
      <c r="F25" s="121"/>
      <c r="G25" s="124"/>
      <c r="H25" s="124"/>
    </row>
    <row r="26" spans="1:8" x14ac:dyDescent="0.25">
      <c r="A26" s="115" t="s">
        <v>57</v>
      </c>
      <c r="B26" s="114">
        <v>327993.40551535512</v>
      </c>
      <c r="C26" s="114">
        <v>6.9126909999999997</v>
      </c>
      <c r="D26" s="104" t="s">
        <v>57</v>
      </c>
      <c r="E26" s="121">
        <v>310337.59584201215</v>
      </c>
      <c r="F26" s="121">
        <v>5.7223848999999998</v>
      </c>
      <c r="G26" s="124">
        <f>B26-E26</f>
        <v>17655.80967334297</v>
      </c>
      <c r="H26" s="124">
        <f>C26-F26</f>
        <v>1.1903060999999999</v>
      </c>
    </row>
    <row r="27" spans="1:8" x14ac:dyDescent="0.25">
      <c r="A27" s="111"/>
      <c r="B27" s="114"/>
      <c r="C27" s="114"/>
      <c r="D27" s="101"/>
      <c r="E27" s="121"/>
      <c r="F27" s="121"/>
      <c r="G27" s="124"/>
      <c r="H27" s="124"/>
    </row>
    <row r="28" spans="1:8" x14ac:dyDescent="0.25">
      <c r="A28" s="117" t="s">
        <v>251</v>
      </c>
      <c r="B28" s="114">
        <v>4176255.9241058668</v>
      </c>
      <c r="C28" s="114">
        <v>88.939658471521327</v>
      </c>
      <c r="D28" s="106" t="s">
        <v>251</v>
      </c>
      <c r="E28" s="121">
        <v>3541677.8824993256</v>
      </c>
      <c r="F28" s="121">
        <v>64.992933193783955</v>
      </c>
      <c r="G28" s="124">
        <f>B28-E28</f>
        <v>634578.04160654126</v>
      </c>
      <c r="H28" s="124">
        <f>C28-F28</f>
        <v>23.946725277737372</v>
      </c>
    </row>
    <row r="29" spans="1:8" x14ac:dyDescent="0.25">
      <c r="A29" s="113"/>
      <c r="B29" s="114"/>
      <c r="C29" s="114"/>
      <c r="D29" s="101"/>
      <c r="E29" s="121"/>
      <c r="F29" s="121"/>
      <c r="G29" s="124"/>
      <c r="H29" s="124"/>
    </row>
    <row r="30" spans="1:8" x14ac:dyDescent="0.25">
      <c r="A30" s="118" t="s">
        <v>250</v>
      </c>
      <c r="B30" s="114">
        <v>-109019.94600586686</v>
      </c>
      <c r="C30" s="114">
        <v>4.1055963865759537</v>
      </c>
      <c r="D30" s="107" t="s">
        <v>250</v>
      </c>
      <c r="E30" s="121">
        <v>2542956.5875006742</v>
      </c>
      <c r="F30" s="121">
        <v>36.247408023206589</v>
      </c>
      <c r="G30" s="124">
        <f>B30-E30</f>
        <v>-2651976.533506541</v>
      </c>
      <c r="H30" s="124">
        <f>C30-F30</f>
        <v>-32.141811636630635</v>
      </c>
    </row>
    <row r="31" spans="1:8" x14ac:dyDescent="0.25">
      <c r="A31" s="115"/>
      <c r="B31" s="114"/>
      <c r="C31" s="114"/>
      <c r="D31" s="101"/>
      <c r="E31" s="121"/>
      <c r="F31" s="121"/>
      <c r="G31" s="124"/>
      <c r="H31" s="124"/>
    </row>
    <row r="32" spans="1:8" x14ac:dyDescent="0.25">
      <c r="A32" s="115" t="s">
        <v>249</v>
      </c>
      <c r="B32" s="114">
        <v>107050.00000000003</v>
      </c>
      <c r="C32" s="114">
        <v>2.1093762315368005</v>
      </c>
      <c r="D32" s="104" t="s">
        <v>249</v>
      </c>
      <c r="E32" s="121">
        <v>93804</v>
      </c>
      <c r="F32" s="121">
        <v>1.6651104996893582</v>
      </c>
      <c r="G32" s="124">
        <f>B32-E32</f>
        <v>13246.000000000029</v>
      </c>
      <c r="H32" s="124">
        <f>C32-F32</f>
        <v>0.44426573184744234</v>
      </c>
    </row>
    <row r="33" spans="1:8" x14ac:dyDescent="0.25">
      <c r="A33" s="115" t="s">
        <v>41</v>
      </c>
      <c r="B33" s="114">
        <v>943</v>
      </c>
      <c r="C33" s="114">
        <v>1.8581427242776297E-2</v>
      </c>
      <c r="D33" s="104" t="s">
        <v>41</v>
      </c>
      <c r="E33" s="121">
        <v>8692</v>
      </c>
      <c r="F33" s="121">
        <v>0.15429129315700718</v>
      </c>
      <c r="G33" s="124">
        <f t="shared" ref="G33:G36" si="2">B33-E33</f>
        <v>-7749</v>
      </c>
      <c r="H33" s="124">
        <f t="shared" ref="H33:H36" si="3">C33-F33</f>
        <v>-0.1357098659142309</v>
      </c>
    </row>
    <row r="34" spans="1:8" x14ac:dyDescent="0.25">
      <c r="A34" s="115" t="s">
        <v>39</v>
      </c>
      <c r="B34" s="114">
        <v>-34057</v>
      </c>
      <c r="C34" s="114">
        <v>-0.67107918091965257</v>
      </c>
      <c r="D34" s="104" t="s">
        <v>39</v>
      </c>
      <c r="E34" s="121">
        <v>-592</v>
      </c>
      <c r="F34" s="121">
        <v>-1.0508564835359901E-2</v>
      </c>
      <c r="G34" s="124">
        <f t="shared" si="2"/>
        <v>-33465</v>
      </c>
      <c r="H34" s="124">
        <f t="shared" si="3"/>
        <v>-0.66057061608429268</v>
      </c>
    </row>
    <row r="35" spans="1:8" x14ac:dyDescent="0.25">
      <c r="A35" s="115" t="s">
        <v>248</v>
      </c>
      <c r="B35" s="114">
        <v>259767</v>
      </c>
      <c r="C35" s="114">
        <v>5.1186019200151334</v>
      </c>
      <c r="D35" s="104" t="s">
        <v>248</v>
      </c>
      <c r="E35" s="121">
        <v>314785</v>
      </c>
      <c r="F35" s="121">
        <v>5.5877340907073751</v>
      </c>
      <c r="G35" s="124">
        <f t="shared" si="2"/>
        <v>-55018</v>
      </c>
      <c r="H35" s="124">
        <f t="shared" si="3"/>
        <v>-0.46913217069224178</v>
      </c>
    </row>
    <row r="36" spans="1:8" x14ac:dyDescent="0.25">
      <c r="A36" s="113" t="s">
        <v>247</v>
      </c>
      <c r="B36" s="114">
        <v>333703</v>
      </c>
      <c r="C36" s="114">
        <v>6.575480397875058</v>
      </c>
      <c r="D36" s="103" t="s">
        <v>247</v>
      </c>
      <c r="E36" s="121">
        <v>416689</v>
      </c>
      <c r="F36" s="121">
        <v>7.3966273187183802</v>
      </c>
      <c r="G36" s="124">
        <f t="shared" si="2"/>
        <v>-82986</v>
      </c>
      <c r="H36" s="124">
        <f t="shared" si="3"/>
        <v>-0.82114692084332219</v>
      </c>
    </row>
    <row r="37" spans="1:8" x14ac:dyDescent="0.25">
      <c r="A37" s="111"/>
      <c r="B37" s="114"/>
      <c r="C37" s="114"/>
      <c r="D37" s="101"/>
      <c r="E37" s="121"/>
      <c r="F37" s="121"/>
      <c r="G37" s="124"/>
      <c r="H37" s="124"/>
    </row>
    <row r="38" spans="1:8" x14ac:dyDescent="0.25">
      <c r="A38" s="119" t="s">
        <v>246</v>
      </c>
      <c r="B38" s="114">
        <v>-442722.94600586686</v>
      </c>
      <c r="C38" s="114">
        <v>-2.4698840112991043</v>
      </c>
      <c r="D38" s="108" t="s">
        <v>246</v>
      </c>
      <c r="E38" s="121">
        <v>2126267.5875006742</v>
      </c>
      <c r="F38" s="121">
        <v>28.850780704488209</v>
      </c>
      <c r="G38" s="124">
        <f>B38-E38</f>
        <v>-2568990.533506541</v>
      </c>
      <c r="H38" s="124">
        <f>C38-F38</f>
        <v>-31.320664715787313</v>
      </c>
    </row>
    <row r="39" spans="1:8" x14ac:dyDescent="0.25">
      <c r="A39" s="111"/>
      <c r="B39" s="114"/>
      <c r="C39" s="114">
        <v>-2.0229801083738376E-2</v>
      </c>
      <c r="D39" s="101"/>
      <c r="E39" s="121"/>
      <c r="F39" s="121">
        <v>0.15793533734394485</v>
      </c>
      <c r="G39" s="124"/>
      <c r="H39" s="124">
        <f>C39-F39</f>
        <v>-0.17816513842768322</v>
      </c>
    </row>
    <row r="40" spans="1:8" x14ac:dyDescent="0.25">
      <c r="A40" s="111" t="s">
        <v>245</v>
      </c>
      <c r="B40" s="114"/>
      <c r="C40" s="114"/>
      <c r="D40" s="101" t="s">
        <v>245</v>
      </c>
      <c r="E40" s="121"/>
      <c r="F40" s="121"/>
      <c r="G40" s="124"/>
      <c r="H40" s="124"/>
    </row>
    <row r="41" spans="1:8" x14ac:dyDescent="0.25">
      <c r="A41" s="111" t="s">
        <v>244</v>
      </c>
      <c r="B41" s="141">
        <v>26402.05</v>
      </c>
      <c r="C41" s="114"/>
      <c r="D41" s="101" t="s">
        <v>244</v>
      </c>
      <c r="E41" s="140">
        <v>26645</v>
      </c>
      <c r="F41" s="121"/>
      <c r="G41" s="124">
        <f>B41-E41</f>
        <v>-242.95000000000073</v>
      </c>
      <c r="H41" s="124"/>
    </row>
    <row r="42" spans="1:8" x14ac:dyDescent="0.25">
      <c r="A42" s="111" t="s">
        <v>243</v>
      </c>
      <c r="B42" s="141">
        <v>24347.55</v>
      </c>
      <c r="C42" s="114"/>
      <c r="D42" s="101" t="s">
        <v>243</v>
      </c>
      <c r="E42" s="140">
        <v>29690</v>
      </c>
      <c r="F42" s="121"/>
      <c r="G42" s="124">
        <f t="shared" ref="G42:G43" si="4">B42-E42</f>
        <v>-5342.4500000000007</v>
      </c>
      <c r="H42" s="124"/>
    </row>
    <row r="43" spans="1:8" x14ac:dyDescent="0.25">
      <c r="A43" s="111" t="s">
        <v>242</v>
      </c>
      <c r="B43" s="141">
        <v>50749.599999999999</v>
      </c>
      <c r="C43" s="114"/>
      <c r="D43" s="101" t="s">
        <v>242</v>
      </c>
      <c r="E43" s="140">
        <v>56335</v>
      </c>
      <c r="F43" s="121"/>
      <c r="G43" s="124">
        <f t="shared" si="4"/>
        <v>-5585.4000000000015</v>
      </c>
      <c r="H43" s="124"/>
    </row>
    <row r="44" spans="1:8" x14ac:dyDescent="0.25">
      <c r="A44" s="111"/>
      <c r="B44" s="114"/>
      <c r="C44" s="114"/>
      <c r="D44" s="101"/>
      <c r="E44" s="121"/>
      <c r="F44" s="121"/>
      <c r="G44" s="124"/>
      <c r="H44" s="124"/>
    </row>
    <row r="45" spans="1:8" x14ac:dyDescent="0.25">
      <c r="A45" s="120" t="s">
        <v>241</v>
      </c>
      <c r="B45" s="114"/>
      <c r="C45" s="114">
        <v>95.515138869396381</v>
      </c>
      <c r="D45" s="109" t="s">
        <v>241</v>
      </c>
      <c r="E45" s="121"/>
      <c r="F45" s="121">
        <v>72.389560512502328</v>
      </c>
      <c r="G45" s="124"/>
      <c r="H45" s="124">
        <f>C45-F45</f>
        <v>23.125578356894053</v>
      </c>
    </row>
    <row r="46" spans="1:8" x14ac:dyDescent="0.25">
      <c r="A46" s="79"/>
    </row>
    <row r="47" spans="1:8" x14ac:dyDescent="0.25">
      <c r="A47" s="79"/>
    </row>
    <row r="48" spans="1:8" x14ac:dyDescent="0.25">
      <c r="A48" s="79"/>
    </row>
    <row r="49" spans="1:1" x14ac:dyDescent="0.25">
      <c r="A49" s="79"/>
    </row>
    <row r="50" spans="1:1" x14ac:dyDescent="0.25">
      <c r="A50" s="78"/>
    </row>
    <row r="52" spans="1:1" x14ac:dyDescent="0.25">
      <c r="A52" s="73"/>
    </row>
    <row r="59" spans="1:1" x14ac:dyDescent="0.25">
      <c r="A59" s="52"/>
    </row>
  </sheetData>
  <mergeCells count="2">
    <mergeCell ref="E5:E7"/>
    <mergeCell ref="G5:H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71"/>
  <sheetViews>
    <sheetView workbookViewId="0">
      <selection activeCell="H62" sqref="H62:J63"/>
    </sheetView>
  </sheetViews>
  <sheetFormatPr defaultRowHeight="15" x14ac:dyDescent="0.25"/>
  <cols>
    <col min="2" max="2" width="10.85546875" customWidth="1"/>
    <col min="6" max="6" width="11.140625" customWidth="1"/>
    <col min="7" max="7" width="4.5703125" customWidth="1"/>
    <col min="9" max="9" width="10.5703125" customWidth="1"/>
    <col min="13" max="13" width="10.7109375" customWidth="1"/>
    <col min="16" max="16" width="10.28515625" customWidth="1"/>
    <col min="20" max="20" width="10.85546875" customWidth="1"/>
  </cols>
  <sheetData>
    <row r="1" spans="1:13" x14ac:dyDescent="0.25">
      <c r="A1" s="43" t="s">
        <v>240</v>
      </c>
      <c r="B1" s="43" t="s">
        <v>239</v>
      </c>
      <c r="H1" s="43" t="s">
        <v>240</v>
      </c>
      <c r="I1" s="43" t="s">
        <v>239</v>
      </c>
    </row>
    <row r="2" spans="1:13" x14ac:dyDescent="0.25">
      <c r="A2" s="184" t="s">
        <v>346</v>
      </c>
      <c r="B2" s="184"/>
      <c r="C2" s="184"/>
      <c r="D2" s="184"/>
      <c r="E2" s="184"/>
      <c r="F2" s="184"/>
      <c r="H2" s="185" t="s">
        <v>346</v>
      </c>
      <c r="I2" s="185"/>
      <c r="J2" s="185"/>
      <c r="K2" s="159"/>
      <c r="L2" s="159"/>
      <c r="M2" s="159"/>
    </row>
    <row r="3" spans="1:13" ht="39" x14ac:dyDescent="0.25">
      <c r="A3" s="28" t="s">
        <v>234</v>
      </c>
      <c r="B3" s="37" t="s">
        <v>230</v>
      </c>
      <c r="C3" s="37" t="s">
        <v>233</v>
      </c>
      <c r="D3" s="37" t="s">
        <v>238</v>
      </c>
      <c r="E3" s="36" t="s">
        <v>231</v>
      </c>
      <c r="F3" s="35" t="s">
        <v>230</v>
      </c>
      <c r="H3" s="28" t="s">
        <v>234</v>
      </c>
      <c r="I3" s="37" t="s">
        <v>238</v>
      </c>
      <c r="J3" s="36" t="s">
        <v>231</v>
      </c>
    </row>
    <row r="4" spans="1:13" x14ac:dyDescent="0.25">
      <c r="A4" s="34">
        <v>42856</v>
      </c>
      <c r="B4" s="40">
        <v>57.07</v>
      </c>
      <c r="C4" s="32">
        <f t="shared" ref="C4:C10" si="0">ROUND(B4/2,2)</f>
        <v>28.54</v>
      </c>
      <c r="D4" s="31">
        <v>1794</v>
      </c>
      <c r="E4" s="30">
        <v>28.98</v>
      </c>
      <c r="F4" s="32">
        <f t="shared" ref="F4:F15" si="1">+ROUND(+E4*C4,2)</f>
        <v>827.09</v>
      </c>
      <c r="H4" s="34">
        <v>43221</v>
      </c>
      <c r="I4" s="31">
        <v>1815.83</v>
      </c>
      <c r="J4" s="30">
        <v>36.93</v>
      </c>
    </row>
    <row r="5" spans="1:13" x14ac:dyDescent="0.25">
      <c r="A5" s="34">
        <v>42887</v>
      </c>
      <c r="B5" s="40">
        <v>72.73</v>
      </c>
      <c r="C5" s="32">
        <f t="shared" si="0"/>
        <v>36.369999999999997</v>
      </c>
      <c r="D5" s="31">
        <v>1794</v>
      </c>
      <c r="E5" s="30">
        <v>31.75</v>
      </c>
      <c r="F5" s="32">
        <f t="shared" si="1"/>
        <v>1154.75</v>
      </c>
      <c r="H5" s="34">
        <v>43252</v>
      </c>
      <c r="I5" s="31">
        <v>1815.83</v>
      </c>
      <c r="J5" s="30">
        <v>19.489999999999998</v>
      </c>
    </row>
    <row r="6" spans="1:13" x14ac:dyDescent="0.25">
      <c r="A6" s="34">
        <v>42917</v>
      </c>
      <c r="B6" s="40">
        <v>79.69</v>
      </c>
      <c r="C6" s="32">
        <f t="shared" si="0"/>
        <v>39.85</v>
      </c>
      <c r="D6" s="31">
        <v>1794</v>
      </c>
      <c r="E6" s="30">
        <v>27.73</v>
      </c>
      <c r="F6" s="32">
        <f t="shared" si="1"/>
        <v>1105.04</v>
      </c>
      <c r="H6" s="34">
        <v>43282</v>
      </c>
      <c r="I6" s="31">
        <v>1833.1499999999999</v>
      </c>
      <c r="J6" s="30">
        <v>33.53</v>
      </c>
    </row>
    <row r="7" spans="1:13" x14ac:dyDescent="0.25">
      <c r="A7" s="34">
        <v>42948</v>
      </c>
      <c r="B7" s="40">
        <v>69.790000000000006</v>
      </c>
      <c r="C7" s="32">
        <f t="shared" si="0"/>
        <v>34.9</v>
      </c>
      <c r="D7" s="31">
        <v>1794</v>
      </c>
      <c r="E7" s="30">
        <v>25.35</v>
      </c>
      <c r="F7" s="32">
        <f t="shared" si="1"/>
        <v>884.72</v>
      </c>
      <c r="H7" s="34">
        <v>43313</v>
      </c>
      <c r="I7" s="31">
        <v>1861.29</v>
      </c>
      <c r="J7" s="30">
        <v>26.94</v>
      </c>
    </row>
    <row r="8" spans="1:13" x14ac:dyDescent="0.25">
      <c r="A8" s="34">
        <v>42979</v>
      </c>
      <c r="B8" s="40">
        <v>53.47</v>
      </c>
      <c r="C8" s="32">
        <f t="shared" si="0"/>
        <v>26.74</v>
      </c>
      <c r="D8" s="31">
        <v>1811</v>
      </c>
      <c r="E8" s="30">
        <v>25.5</v>
      </c>
      <c r="F8" s="32">
        <f t="shared" si="1"/>
        <v>681.87</v>
      </c>
      <c r="H8" s="34">
        <v>43344</v>
      </c>
      <c r="I8" s="31">
        <v>1861.29</v>
      </c>
      <c r="J8" s="30">
        <v>25.630000000000003</v>
      </c>
    </row>
    <row r="9" spans="1:13" x14ac:dyDescent="0.25">
      <c r="A9" s="34">
        <v>43009</v>
      </c>
      <c r="B9" s="40">
        <v>37.99</v>
      </c>
      <c r="C9" s="32">
        <f t="shared" si="0"/>
        <v>19</v>
      </c>
      <c r="D9" s="31">
        <v>1799</v>
      </c>
      <c r="E9" s="30">
        <v>26.36</v>
      </c>
      <c r="F9" s="32">
        <f t="shared" si="1"/>
        <v>500.84</v>
      </c>
      <c r="H9" s="34">
        <v>43374</v>
      </c>
      <c r="I9" s="31">
        <v>1862.59</v>
      </c>
      <c r="J9" s="30">
        <v>26.52</v>
      </c>
    </row>
    <row r="10" spans="1:13" x14ac:dyDescent="0.25">
      <c r="A10" s="34">
        <v>43040</v>
      </c>
      <c r="B10" s="40">
        <v>52.61</v>
      </c>
      <c r="C10" s="32">
        <f t="shared" si="0"/>
        <v>26.31</v>
      </c>
      <c r="D10" s="31">
        <v>1817</v>
      </c>
      <c r="E10" s="30">
        <v>27.7</v>
      </c>
      <c r="F10" s="32">
        <f t="shared" si="1"/>
        <v>728.79</v>
      </c>
      <c r="H10" s="158"/>
      <c r="I10" s="25"/>
      <c r="J10" s="24"/>
    </row>
    <row r="11" spans="1:13" x14ac:dyDescent="0.25">
      <c r="A11" s="34">
        <v>43070</v>
      </c>
      <c r="B11" s="40">
        <v>45.83</v>
      </c>
      <c r="C11" s="32">
        <v>22.92</v>
      </c>
      <c r="D11" s="31">
        <v>1817</v>
      </c>
      <c r="E11" s="30">
        <v>27.79</v>
      </c>
      <c r="F11" s="32">
        <f t="shared" si="1"/>
        <v>636.95000000000005</v>
      </c>
      <c r="H11" s="158"/>
      <c r="I11" s="25"/>
      <c r="J11" s="24"/>
    </row>
    <row r="12" spans="1:13" x14ac:dyDescent="0.25">
      <c r="A12" s="34">
        <v>43101</v>
      </c>
      <c r="B12" s="40">
        <v>40.43</v>
      </c>
      <c r="C12" s="32">
        <f>ROUND(B12/2,2)</f>
        <v>20.22</v>
      </c>
      <c r="D12" s="31">
        <v>1819</v>
      </c>
      <c r="E12" s="30">
        <v>34.49</v>
      </c>
      <c r="F12" s="32">
        <f t="shared" si="1"/>
        <v>697.39</v>
      </c>
      <c r="H12" s="34"/>
      <c r="I12" s="31"/>
      <c r="J12" s="30"/>
    </row>
    <row r="13" spans="1:13" x14ac:dyDescent="0.25">
      <c r="A13" s="34">
        <v>43132</v>
      </c>
      <c r="B13" s="40">
        <v>6.62</v>
      </c>
      <c r="C13" s="32">
        <f>ROUND(B13/2,2)</f>
        <v>3.31</v>
      </c>
      <c r="D13" s="31">
        <v>1820</v>
      </c>
      <c r="E13" s="30">
        <v>28.15</v>
      </c>
      <c r="F13" s="32">
        <f t="shared" si="1"/>
        <v>93.18</v>
      </c>
      <c r="H13" s="34"/>
      <c r="I13" s="31"/>
      <c r="J13" s="30"/>
    </row>
    <row r="14" spans="1:13" x14ac:dyDescent="0.25">
      <c r="A14" s="34">
        <v>43160</v>
      </c>
      <c r="B14" s="40">
        <v>3.21</v>
      </c>
      <c r="C14" s="32">
        <f>ROUND(B14/2,2)</f>
        <v>1.61</v>
      </c>
      <c r="D14" s="31">
        <v>1820</v>
      </c>
      <c r="E14" s="30">
        <v>35.15</v>
      </c>
      <c r="F14" s="32">
        <f t="shared" si="1"/>
        <v>56.59</v>
      </c>
      <c r="H14" s="34"/>
      <c r="I14" s="31"/>
      <c r="J14" s="30"/>
    </row>
    <row r="15" spans="1:13" x14ac:dyDescent="0.25">
      <c r="A15" s="34">
        <v>43191</v>
      </c>
      <c r="B15" s="40">
        <v>3.91</v>
      </c>
      <c r="C15" s="32">
        <f>ROUND(B15/2,2)</f>
        <v>1.96</v>
      </c>
      <c r="D15" s="31">
        <v>1819.99</v>
      </c>
      <c r="E15" s="30">
        <v>34.909999999999997</v>
      </c>
      <c r="F15" s="32">
        <f t="shared" si="1"/>
        <v>68.42</v>
      </c>
      <c r="H15" s="34"/>
      <c r="I15" s="31"/>
      <c r="J15" s="30"/>
    </row>
    <row r="16" spans="1:13" ht="15.75" thickBot="1" x14ac:dyDescent="0.3">
      <c r="A16" s="28" t="s">
        <v>229</v>
      </c>
      <c r="B16" s="39">
        <f>AVERAGE(B4:B15)</f>
        <v>43.612500000000004</v>
      </c>
      <c r="C16" s="26"/>
      <c r="D16" s="25">
        <f>SUM(D4:D15)</f>
        <v>21698.99</v>
      </c>
      <c r="E16" s="24">
        <f>SUM(E4:E15)</f>
        <v>353.86</v>
      </c>
      <c r="F16" s="38">
        <f>SUM(F4:F15)</f>
        <v>7435.630000000001</v>
      </c>
      <c r="H16" s="28"/>
      <c r="I16" s="25"/>
      <c r="J16" s="24"/>
    </row>
    <row r="18" spans="1:13" x14ac:dyDescent="0.25">
      <c r="K18" s="161"/>
      <c r="L18" s="161"/>
      <c r="M18" s="161"/>
    </row>
    <row r="19" spans="1:13" x14ac:dyDescent="0.25">
      <c r="A19" s="185" t="s">
        <v>236</v>
      </c>
      <c r="B19" s="185"/>
      <c r="C19" s="185"/>
      <c r="D19" s="185"/>
      <c r="E19" s="185"/>
      <c r="F19" s="185"/>
      <c r="H19" s="185" t="s">
        <v>236</v>
      </c>
      <c r="I19" s="185"/>
      <c r="J19" s="185"/>
      <c r="K19" s="159"/>
      <c r="L19" s="159"/>
      <c r="M19" s="159"/>
    </row>
    <row r="20" spans="1:13" ht="39" x14ac:dyDescent="0.25">
      <c r="A20" s="28" t="s">
        <v>234</v>
      </c>
      <c r="B20" s="37" t="s">
        <v>230</v>
      </c>
      <c r="C20" s="37" t="s">
        <v>233</v>
      </c>
      <c r="D20" s="37" t="s">
        <v>238</v>
      </c>
      <c r="E20" s="36" t="s">
        <v>231</v>
      </c>
      <c r="F20" s="35" t="s">
        <v>230</v>
      </c>
      <c r="H20" s="28" t="s">
        <v>234</v>
      </c>
      <c r="I20" s="37" t="s">
        <v>238</v>
      </c>
      <c r="J20" s="160" t="s">
        <v>231</v>
      </c>
      <c r="K20" s="161"/>
      <c r="L20" s="161"/>
      <c r="M20" s="161"/>
    </row>
    <row r="21" spans="1:13" x14ac:dyDescent="0.25">
      <c r="A21" s="34">
        <v>42856</v>
      </c>
      <c r="B21" s="33">
        <v>57.07</v>
      </c>
      <c r="C21" s="32">
        <f t="shared" ref="C21:C32" si="2">ROUND(B21/2,2)</f>
        <v>28.54</v>
      </c>
      <c r="D21" s="42">
        <v>411.94</v>
      </c>
      <c r="E21" s="30">
        <v>3.1</v>
      </c>
      <c r="F21" s="32">
        <f t="shared" ref="F21:F32" si="3">+ROUND(+E21*C21,2)</f>
        <v>88.47</v>
      </c>
      <c r="H21" s="34">
        <v>43221</v>
      </c>
      <c r="I21" s="42">
        <v>326.98</v>
      </c>
      <c r="J21" s="30">
        <v>9.17</v>
      </c>
    </row>
    <row r="22" spans="1:13" x14ac:dyDescent="0.25">
      <c r="A22" s="34">
        <v>42887</v>
      </c>
      <c r="B22" s="33">
        <v>72.73</v>
      </c>
      <c r="C22" s="32">
        <f t="shared" si="2"/>
        <v>36.369999999999997</v>
      </c>
      <c r="D22" s="42">
        <v>411.94</v>
      </c>
      <c r="E22" s="30">
        <v>5.05</v>
      </c>
      <c r="F22" s="32">
        <f t="shared" si="3"/>
        <v>183.67</v>
      </c>
      <c r="H22" s="34">
        <v>43252</v>
      </c>
      <c r="I22" s="42">
        <v>326.98</v>
      </c>
      <c r="J22" s="30">
        <v>8.9700000000000006</v>
      </c>
    </row>
    <row r="23" spans="1:13" x14ac:dyDescent="0.25">
      <c r="A23" s="34">
        <v>42917</v>
      </c>
      <c r="B23" s="33">
        <v>79.69</v>
      </c>
      <c r="C23" s="32">
        <f t="shared" si="2"/>
        <v>39.85</v>
      </c>
      <c r="D23" s="42">
        <v>411.94</v>
      </c>
      <c r="E23" s="30">
        <v>3.41</v>
      </c>
      <c r="F23" s="32">
        <f t="shared" si="3"/>
        <v>135.88999999999999</v>
      </c>
      <c r="H23" s="34">
        <v>43282</v>
      </c>
      <c r="I23" s="42">
        <v>388.96</v>
      </c>
      <c r="J23" s="30">
        <v>5.47</v>
      </c>
    </row>
    <row r="24" spans="1:13" x14ac:dyDescent="0.25">
      <c r="A24" s="34">
        <v>42948</v>
      </c>
      <c r="B24" s="33">
        <v>69.790000000000006</v>
      </c>
      <c r="C24" s="32">
        <f t="shared" si="2"/>
        <v>34.9</v>
      </c>
      <c r="D24" s="42">
        <v>414.02</v>
      </c>
      <c r="E24" s="30">
        <v>4.97</v>
      </c>
      <c r="F24" s="32">
        <f t="shared" si="3"/>
        <v>173.45</v>
      </c>
      <c r="H24" s="34">
        <v>43313</v>
      </c>
      <c r="I24" s="42">
        <v>386.88</v>
      </c>
      <c r="J24" s="30">
        <v>5.3100000000000005</v>
      </c>
    </row>
    <row r="25" spans="1:13" x14ac:dyDescent="0.25">
      <c r="A25" s="34">
        <v>42979</v>
      </c>
      <c r="B25" s="33">
        <v>53.47</v>
      </c>
      <c r="C25" s="32">
        <f t="shared" si="2"/>
        <v>26.74</v>
      </c>
      <c r="D25" s="42">
        <v>414.02</v>
      </c>
      <c r="E25" s="30">
        <v>3.38</v>
      </c>
      <c r="F25" s="32">
        <f t="shared" si="3"/>
        <v>90.38</v>
      </c>
      <c r="H25" s="34">
        <v>43344</v>
      </c>
      <c r="I25" s="42">
        <v>391.43</v>
      </c>
      <c r="J25" s="30">
        <v>4.9799999999999995</v>
      </c>
    </row>
    <row r="26" spans="1:13" x14ac:dyDescent="0.25">
      <c r="A26" s="34">
        <v>43009</v>
      </c>
      <c r="B26" s="33">
        <v>45.35</v>
      </c>
      <c r="C26" s="32">
        <f t="shared" si="2"/>
        <v>22.68</v>
      </c>
      <c r="D26" s="42">
        <v>414.02</v>
      </c>
      <c r="E26" s="30">
        <v>3.51</v>
      </c>
      <c r="F26" s="32">
        <f t="shared" si="3"/>
        <v>79.61</v>
      </c>
      <c r="H26" s="34">
        <v>43374</v>
      </c>
      <c r="I26" s="42">
        <v>391.43</v>
      </c>
      <c r="J26" s="30">
        <v>5.2799999999999994</v>
      </c>
    </row>
    <row r="27" spans="1:13" x14ac:dyDescent="0.25">
      <c r="A27" s="34">
        <v>43040</v>
      </c>
      <c r="B27" s="33">
        <v>52.61</v>
      </c>
      <c r="C27" s="32">
        <f t="shared" si="2"/>
        <v>26.31</v>
      </c>
      <c r="D27" s="42">
        <v>414.02</v>
      </c>
      <c r="E27" s="30">
        <v>3.34</v>
      </c>
      <c r="F27" s="32">
        <f t="shared" si="3"/>
        <v>87.88</v>
      </c>
      <c r="H27" s="158"/>
      <c r="I27" s="162"/>
      <c r="J27" s="24"/>
    </row>
    <row r="28" spans="1:13" x14ac:dyDescent="0.25">
      <c r="A28" s="34">
        <v>43070</v>
      </c>
      <c r="B28" s="33">
        <v>45.26</v>
      </c>
      <c r="C28" s="32">
        <f t="shared" si="2"/>
        <v>22.63</v>
      </c>
      <c r="D28" s="42">
        <v>414.02</v>
      </c>
      <c r="E28" s="30">
        <v>3.21</v>
      </c>
      <c r="F28" s="32">
        <f t="shared" si="3"/>
        <v>72.64</v>
      </c>
      <c r="H28" s="158"/>
      <c r="I28" s="162"/>
      <c r="J28" s="24"/>
    </row>
    <row r="29" spans="1:13" x14ac:dyDescent="0.25">
      <c r="A29" s="34">
        <v>43101</v>
      </c>
      <c r="B29" s="33">
        <v>41.37</v>
      </c>
      <c r="C29" s="32">
        <f t="shared" si="2"/>
        <v>20.69</v>
      </c>
      <c r="D29" s="42">
        <v>414.02</v>
      </c>
      <c r="E29" s="30">
        <v>4.33</v>
      </c>
      <c r="F29" s="32">
        <f t="shared" si="3"/>
        <v>89.59</v>
      </c>
      <c r="H29" s="34"/>
      <c r="I29" s="42"/>
      <c r="J29" s="30"/>
    </row>
    <row r="30" spans="1:13" x14ac:dyDescent="0.25">
      <c r="A30" s="34">
        <v>43132</v>
      </c>
      <c r="B30" s="33">
        <v>2.59</v>
      </c>
      <c r="C30" s="32">
        <f t="shared" si="2"/>
        <v>1.3</v>
      </c>
      <c r="D30" s="42">
        <v>448.5</v>
      </c>
      <c r="E30" s="30">
        <v>3.15</v>
      </c>
      <c r="F30" s="32">
        <f t="shared" si="3"/>
        <v>4.0999999999999996</v>
      </c>
      <c r="H30" s="34"/>
      <c r="I30" s="42"/>
      <c r="J30" s="30"/>
    </row>
    <row r="31" spans="1:13" x14ac:dyDescent="0.25">
      <c r="A31" s="34">
        <v>43160</v>
      </c>
      <c r="B31" s="33">
        <v>2.27</v>
      </c>
      <c r="C31" s="32">
        <f t="shared" si="2"/>
        <v>1.1399999999999999</v>
      </c>
      <c r="D31" s="42">
        <v>438.76</v>
      </c>
      <c r="E31" s="30">
        <v>6.94</v>
      </c>
      <c r="F31" s="32">
        <f t="shared" si="3"/>
        <v>7.91</v>
      </c>
      <c r="H31" s="34"/>
      <c r="I31" s="42"/>
      <c r="J31" s="30"/>
    </row>
    <row r="32" spans="1:13" x14ac:dyDescent="0.25">
      <c r="A32" s="34">
        <v>43191</v>
      </c>
      <c r="B32" s="33">
        <v>2.73</v>
      </c>
      <c r="C32" s="32">
        <f t="shared" si="2"/>
        <v>1.37</v>
      </c>
      <c r="D32" s="42">
        <v>388.96</v>
      </c>
      <c r="E32" s="30">
        <v>10.08</v>
      </c>
      <c r="F32" s="29">
        <f t="shared" si="3"/>
        <v>13.81</v>
      </c>
      <c r="H32" s="34"/>
      <c r="I32" s="42"/>
      <c r="J32" s="30"/>
    </row>
    <row r="33" spans="1:14" ht="15.75" thickBot="1" x14ac:dyDescent="0.3">
      <c r="A33" s="28" t="s">
        <v>229</v>
      </c>
      <c r="B33" s="39">
        <f>AVERAGE(B21:B32)</f>
        <v>43.744166666666672</v>
      </c>
      <c r="C33" s="26"/>
      <c r="D33" s="25">
        <f>SUM(D21:D32)</f>
        <v>4996.16</v>
      </c>
      <c r="E33" s="24">
        <f>SUM(E21:E32)</f>
        <v>54.47</v>
      </c>
      <c r="F33" s="23">
        <f>SUM(F21:F32)</f>
        <v>1027.4000000000001</v>
      </c>
      <c r="H33" s="28"/>
      <c r="I33" s="25"/>
      <c r="J33" s="24"/>
    </row>
    <row r="34" spans="1:14" x14ac:dyDescent="0.25">
      <c r="K34" s="80"/>
      <c r="L34" s="80"/>
      <c r="M34" s="80"/>
    </row>
    <row r="35" spans="1:14" x14ac:dyDescent="0.25">
      <c r="K35" s="80"/>
      <c r="L35" s="80"/>
      <c r="M35" s="80"/>
    </row>
    <row r="36" spans="1:14" x14ac:dyDescent="0.25">
      <c r="K36" s="80"/>
      <c r="L36" s="80"/>
      <c r="M36" s="80"/>
    </row>
    <row r="37" spans="1:14" x14ac:dyDescent="0.25">
      <c r="A37" s="185" t="s">
        <v>235</v>
      </c>
      <c r="B37" s="185"/>
      <c r="C37" s="185"/>
      <c r="D37" s="185"/>
      <c r="E37" s="185"/>
      <c r="F37" s="185"/>
      <c r="H37" s="185" t="s">
        <v>235</v>
      </c>
      <c r="I37" s="185"/>
      <c r="J37" s="185"/>
      <c r="K37" s="159"/>
      <c r="L37" s="159"/>
      <c r="M37" s="159"/>
      <c r="N37" s="52"/>
    </row>
    <row r="38" spans="1:14" ht="39" x14ac:dyDescent="0.25">
      <c r="A38" s="28" t="s">
        <v>234</v>
      </c>
      <c r="B38" s="37" t="s">
        <v>230</v>
      </c>
      <c r="C38" s="37" t="s">
        <v>233</v>
      </c>
      <c r="D38" s="37" t="s">
        <v>238</v>
      </c>
      <c r="E38" s="36" t="s">
        <v>231</v>
      </c>
      <c r="F38" s="35" t="s">
        <v>230</v>
      </c>
      <c r="H38" s="28" t="s">
        <v>234</v>
      </c>
      <c r="I38" s="37" t="s">
        <v>238</v>
      </c>
      <c r="J38" s="160" t="s">
        <v>231</v>
      </c>
      <c r="K38" s="161"/>
      <c r="L38" s="161"/>
      <c r="M38" s="161"/>
      <c r="N38" s="52"/>
    </row>
    <row r="39" spans="1:14" x14ac:dyDescent="0.25">
      <c r="A39" s="34">
        <v>42856</v>
      </c>
      <c r="B39" s="33">
        <v>57.07</v>
      </c>
      <c r="C39" s="32">
        <f t="shared" ref="C39:C50" si="4">ROUND(B39/2,2)</f>
        <v>28.54</v>
      </c>
      <c r="D39" s="42">
        <v>519.16999999999996</v>
      </c>
      <c r="E39" s="30">
        <v>3.35</v>
      </c>
      <c r="F39" s="32">
        <f t="shared" ref="F39:F50" si="5">+ROUND(+E39*C39,2)</f>
        <v>95.61</v>
      </c>
      <c r="H39" s="34">
        <v>43221</v>
      </c>
      <c r="I39" s="42">
        <v>456.21</v>
      </c>
      <c r="J39" s="30">
        <v>6.11</v>
      </c>
    </row>
    <row r="40" spans="1:14" x14ac:dyDescent="0.25">
      <c r="A40" s="34">
        <v>42887</v>
      </c>
      <c r="B40" s="33">
        <v>72.73</v>
      </c>
      <c r="C40" s="32">
        <f t="shared" si="4"/>
        <v>36.369999999999997</v>
      </c>
      <c r="D40" s="42">
        <v>519.16999999999996</v>
      </c>
      <c r="E40" s="30">
        <v>3.31</v>
      </c>
      <c r="F40" s="32">
        <f t="shared" si="5"/>
        <v>120.38</v>
      </c>
      <c r="H40" s="34">
        <v>43252</v>
      </c>
      <c r="I40" s="42">
        <v>456.21</v>
      </c>
      <c r="J40" s="30">
        <v>4.5999999999999996</v>
      </c>
    </row>
    <row r="41" spans="1:14" x14ac:dyDescent="0.25">
      <c r="A41" s="34">
        <v>42917</v>
      </c>
      <c r="B41" s="33">
        <v>79.69</v>
      </c>
      <c r="C41" s="32">
        <f t="shared" si="4"/>
        <v>39.85</v>
      </c>
      <c r="D41" s="42">
        <v>467.21</v>
      </c>
      <c r="E41" s="30">
        <v>2.89</v>
      </c>
      <c r="F41" s="32">
        <f t="shared" si="5"/>
        <v>115.17</v>
      </c>
      <c r="H41" s="34">
        <v>43282</v>
      </c>
      <c r="I41" s="42">
        <v>456.21</v>
      </c>
      <c r="J41" s="30">
        <v>5.08</v>
      </c>
    </row>
    <row r="42" spans="1:14" x14ac:dyDescent="0.25">
      <c r="A42" s="34">
        <v>42948</v>
      </c>
      <c r="B42" s="33">
        <v>69.790000000000006</v>
      </c>
      <c r="C42" s="32">
        <f t="shared" si="4"/>
        <v>34.9</v>
      </c>
      <c r="D42" s="42">
        <v>467.21</v>
      </c>
      <c r="E42" s="30">
        <v>2.81</v>
      </c>
      <c r="F42" s="32">
        <f t="shared" si="5"/>
        <v>98.07</v>
      </c>
      <c r="H42" s="34">
        <v>43313</v>
      </c>
      <c r="I42" s="42">
        <v>456</v>
      </c>
      <c r="J42" s="30">
        <v>5.21</v>
      </c>
    </row>
    <row r="43" spans="1:14" x14ac:dyDescent="0.25">
      <c r="A43" s="34">
        <v>42979</v>
      </c>
      <c r="B43" s="33">
        <v>53.47</v>
      </c>
      <c r="C43" s="32">
        <f t="shared" si="4"/>
        <v>26.74</v>
      </c>
      <c r="D43" s="42">
        <v>467.21</v>
      </c>
      <c r="E43" s="30">
        <v>2.73</v>
      </c>
      <c r="F43" s="32">
        <f t="shared" si="5"/>
        <v>73</v>
      </c>
      <c r="H43" s="34">
        <v>43344</v>
      </c>
      <c r="I43" s="42">
        <v>456.21</v>
      </c>
      <c r="J43" s="30">
        <v>4.07</v>
      </c>
    </row>
    <row r="44" spans="1:14" x14ac:dyDescent="0.25">
      <c r="A44" s="34">
        <v>43009</v>
      </c>
      <c r="B44" s="33">
        <v>45.35</v>
      </c>
      <c r="C44" s="32">
        <f t="shared" si="4"/>
        <v>22.68</v>
      </c>
      <c r="D44" s="42">
        <v>467.21</v>
      </c>
      <c r="E44" s="30">
        <v>3.18</v>
      </c>
      <c r="F44" s="32">
        <f t="shared" si="5"/>
        <v>72.12</v>
      </c>
      <c r="H44" s="34">
        <v>43374</v>
      </c>
      <c r="I44" s="42">
        <v>456.21</v>
      </c>
      <c r="J44" s="24">
        <v>4.6400000000000006</v>
      </c>
    </row>
    <row r="45" spans="1:14" x14ac:dyDescent="0.25">
      <c r="A45" s="34">
        <v>43040</v>
      </c>
      <c r="B45" s="33">
        <v>52.61</v>
      </c>
      <c r="C45" s="32">
        <f t="shared" si="4"/>
        <v>26.31</v>
      </c>
      <c r="D45" s="42">
        <v>467.21</v>
      </c>
      <c r="E45" s="30">
        <v>3.03</v>
      </c>
      <c r="F45" s="32">
        <f t="shared" si="5"/>
        <v>79.72</v>
      </c>
      <c r="H45" s="158"/>
      <c r="I45" s="162"/>
      <c r="J45" s="24"/>
    </row>
    <row r="46" spans="1:14" x14ac:dyDescent="0.25">
      <c r="A46" s="34">
        <v>43070</v>
      </c>
      <c r="B46" s="33">
        <v>45.26</v>
      </c>
      <c r="C46" s="32">
        <f t="shared" si="4"/>
        <v>22.63</v>
      </c>
      <c r="D46" s="42">
        <v>463.3</v>
      </c>
      <c r="E46" s="30">
        <v>4.1900000000000004</v>
      </c>
      <c r="F46" s="32">
        <f t="shared" si="5"/>
        <v>94.82</v>
      </c>
      <c r="H46" s="158"/>
      <c r="I46" s="162"/>
      <c r="J46" s="24"/>
    </row>
    <row r="47" spans="1:14" x14ac:dyDescent="0.25">
      <c r="A47" s="34">
        <v>43101</v>
      </c>
      <c r="B47" s="33">
        <v>41.37</v>
      </c>
      <c r="C47" s="32">
        <f t="shared" si="4"/>
        <v>20.69</v>
      </c>
      <c r="D47" s="42">
        <v>463.31</v>
      </c>
      <c r="E47" s="30">
        <v>4.84</v>
      </c>
      <c r="F47" s="32">
        <f t="shared" si="5"/>
        <v>100.14</v>
      </c>
      <c r="H47" s="34"/>
      <c r="I47" s="42"/>
      <c r="J47" s="30"/>
    </row>
    <row r="48" spans="1:14" x14ac:dyDescent="0.25">
      <c r="A48" s="34">
        <v>43132</v>
      </c>
      <c r="B48" s="33">
        <v>2.64</v>
      </c>
      <c r="C48" s="32">
        <f t="shared" si="4"/>
        <v>1.32</v>
      </c>
      <c r="D48" s="42">
        <v>463.31</v>
      </c>
      <c r="E48" s="30">
        <v>3.72</v>
      </c>
      <c r="F48" s="32">
        <f t="shared" si="5"/>
        <v>4.91</v>
      </c>
      <c r="H48" s="34"/>
      <c r="I48" s="42"/>
      <c r="J48" s="30"/>
    </row>
    <row r="49" spans="1:14" x14ac:dyDescent="0.25">
      <c r="A49" s="34">
        <v>43160</v>
      </c>
      <c r="B49" s="33">
        <v>2.38</v>
      </c>
      <c r="C49" s="32">
        <f t="shared" si="4"/>
        <v>1.19</v>
      </c>
      <c r="D49" s="42">
        <v>462.7</v>
      </c>
      <c r="E49" s="30">
        <v>6.1</v>
      </c>
      <c r="F49" s="32">
        <f t="shared" si="5"/>
        <v>7.26</v>
      </c>
      <c r="H49" s="34"/>
      <c r="I49" s="42"/>
      <c r="J49" s="30"/>
    </row>
    <row r="50" spans="1:14" x14ac:dyDescent="0.25">
      <c r="A50" s="34">
        <v>43191</v>
      </c>
      <c r="B50" s="33">
        <v>2.46</v>
      </c>
      <c r="C50" s="32">
        <f t="shared" si="4"/>
        <v>1.23</v>
      </c>
      <c r="D50" s="42">
        <v>462.7</v>
      </c>
      <c r="E50" s="30">
        <v>6.27</v>
      </c>
      <c r="F50" s="29">
        <f t="shared" si="5"/>
        <v>7.71</v>
      </c>
      <c r="H50" s="34"/>
      <c r="I50" s="42"/>
      <c r="J50" s="30"/>
    </row>
    <row r="51" spans="1:14" ht="15.75" thickBot="1" x14ac:dyDescent="0.3">
      <c r="A51" s="28" t="s">
        <v>229</v>
      </c>
      <c r="B51" s="39">
        <f>AVERAGE(B39:B50)</f>
        <v>43.735000000000007</v>
      </c>
      <c r="C51" s="26"/>
      <c r="D51" s="25">
        <f>SUM(D39:D50)</f>
        <v>5689.71</v>
      </c>
      <c r="E51" s="24">
        <f>SUM(E39:E50)</f>
        <v>46.42</v>
      </c>
      <c r="F51" s="23">
        <f>SUM(F39:F50)</f>
        <v>868.91000000000008</v>
      </c>
      <c r="H51" s="28"/>
      <c r="I51" s="25"/>
      <c r="J51" s="24"/>
    </row>
    <row r="52" spans="1:14" x14ac:dyDescent="0.25">
      <c r="K52" s="80"/>
      <c r="L52" s="80"/>
      <c r="M52" s="80"/>
      <c r="N52" s="80"/>
    </row>
    <row r="53" spans="1:14" x14ac:dyDescent="0.25">
      <c r="K53" s="80"/>
      <c r="L53" s="80"/>
      <c r="M53" s="80"/>
      <c r="N53" s="80"/>
    </row>
    <row r="54" spans="1:14" x14ac:dyDescent="0.25">
      <c r="A54" s="184" t="s">
        <v>347</v>
      </c>
      <c r="B54" s="184"/>
      <c r="C54" s="184"/>
      <c r="D54" s="184"/>
      <c r="E54" s="184"/>
      <c r="F54" s="184"/>
      <c r="H54" s="185" t="s">
        <v>347</v>
      </c>
      <c r="I54" s="185"/>
      <c r="J54" s="185"/>
      <c r="K54" s="159"/>
      <c r="L54" s="159"/>
      <c r="M54" s="159"/>
      <c r="N54" s="80"/>
    </row>
    <row r="55" spans="1:14" ht="39" x14ac:dyDescent="0.25">
      <c r="A55" s="28" t="s">
        <v>234</v>
      </c>
      <c r="B55" s="37" t="s">
        <v>230</v>
      </c>
      <c r="C55" s="37" t="s">
        <v>233</v>
      </c>
      <c r="D55" s="37" t="s">
        <v>238</v>
      </c>
      <c r="E55" s="36" t="s">
        <v>231</v>
      </c>
      <c r="F55" s="35" t="s">
        <v>230</v>
      </c>
      <c r="H55" s="28" t="s">
        <v>234</v>
      </c>
      <c r="I55" s="37" t="s">
        <v>238</v>
      </c>
      <c r="J55" s="36" t="s">
        <v>231</v>
      </c>
      <c r="K55" s="80"/>
      <c r="L55" s="80"/>
      <c r="M55" s="80"/>
      <c r="N55" s="80"/>
    </row>
    <row r="56" spans="1:14" x14ac:dyDescent="0.25">
      <c r="A56" s="34">
        <v>42856</v>
      </c>
      <c r="B56" s="40">
        <v>57.07</v>
      </c>
      <c r="C56" s="32">
        <f>ROUND(B56/2,2)</f>
        <v>28.54</v>
      </c>
      <c r="D56" s="31">
        <v>7733</v>
      </c>
      <c r="E56" s="30">
        <v>83.68</v>
      </c>
      <c r="F56" s="32">
        <f>+ROUND(+E56*C56,2)</f>
        <v>2388.23</v>
      </c>
      <c r="H56" s="34">
        <v>43221</v>
      </c>
      <c r="I56" s="31">
        <v>7731.5700000000006</v>
      </c>
      <c r="J56" s="30">
        <v>72.5</v>
      </c>
    </row>
    <row r="57" spans="1:14" x14ac:dyDescent="0.25">
      <c r="A57" s="34">
        <v>42887</v>
      </c>
      <c r="B57" s="40">
        <v>72.3</v>
      </c>
      <c r="C57" s="32">
        <f t="shared" ref="C57:C67" si="6">ROUND(B57/2,2)</f>
        <v>36.15</v>
      </c>
      <c r="D57" s="31">
        <v>7861</v>
      </c>
      <c r="E57" s="30">
        <v>85.71</v>
      </c>
      <c r="F57" s="32">
        <f>+ROUND(+E57*C57,2)</f>
        <v>3098.42</v>
      </c>
      <c r="H57" s="34">
        <v>43252</v>
      </c>
      <c r="I57" s="31">
        <v>7766.6</v>
      </c>
      <c r="J57" s="30">
        <v>65.650000000000006</v>
      </c>
    </row>
    <row r="58" spans="1:14" x14ac:dyDescent="0.25">
      <c r="A58" s="34">
        <v>42917</v>
      </c>
      <c r="B58" s="40">
        <v>79.69</v>
      </c>
      <c r="C58" s="32">
        <f t="shared" si="6"/>
        <v>39.85</v>
      </c>
      <c r="D58" s="31">
        <v>7812</v>
      </c>
      <c r="E58" s="30">
        <v>78.489999999999995</v>
      </c>
      <c r="F58" s="32">
        <f t="shared" ref="F58:F67" si="7">+ROUND(+E58*C58,2)</f>
        <v>3127.83</v>
      </c>
      <c r="H58" s="34">
        <v>43282</v>
      </c>
      <c r="I58" s="31">
        <v>7749.28</v>
      </c>
      <c r="J58" s="30">
        <v>81.75</v>
      </c>
    </row>
    <row r="59" spans="1:14" x14ac:dyDescent="0.25">
      <c r="A59" s="34">
        <v>42948</v>
      </c>
      <c r="B59" s="40">
        <v>69.760000000000005</v>
      </c>
      <c r="C59" s="32">
        <f t="shared" si="6"/>
        <v>34.880000000000003</v>
      </c>
      <c r="D59" s="31">
        <v>7801</v>
      </c>
      <c r="E59" s="30">
        <v>96.62</v>
      </c>
      <c r="F59" s="32">
        <f>+ROUND(+E59*C59,2)</f>
        <v>3370.11</v>
      </c>
      <c r="H59" s="34">
        <v>43313</v>
      </c>
      <c r="I59" s="31">
        <v>7716.59</v>
      </c>
      <c r="J59" s="30">
        <v>80.260000000000005</v>
      </c>
    </row>
    <row r="60" spans="1:14" x14ac:dyDescent="0.25">
      <c r="A60" s="34">
        <v>42979</v>
      </c>
      <c r="B60" s="40">
        <v>53.47</v>
      </c>
      <c r="C60" s="32">
        <f t="shared" si="6"/>
        <v>26.74</v>
      </c>
      <c r="D60" s="31">
        <v>7753</v>
      </c>
      <c r="E60" s="30">
        <v>85.01</v>
      </c>
      <c r="F60" s="32">
        <f t="shared" si="7"/>
        <v>2273.17</v>
      </c>
      <c r="H60" s="34">
        <v>43344</v>
      </c>
      <c r="I60" s="31">
        <v>7725.25</v>
      </c>
      <c r="J60" s="30">
        <v>79.83</v>
      </c>
    </row>
    <row r="61" spans="1:14" x14ac:dyDescent="0.25">
      <c r="A61" s="34">
        <v>43009</v>
      </c>
      <c r="B61" s="40">
        <v>37.99</v>
      </c>
      <c r="C61" s="32">
        <f t="shared" si="6"/>
        <v>19</v>
      </c>
      <c r="D61" s="31">
        <v>7766</v>
      </c>
      <c r="E61" s="30">
        <v>90.71</v>
      </c>
      <c r="F61" s="32">
        <f t="shared" si="7"/>
        <v>1723.49</v>
      </c>
      <c r="H61" s="34">
        <v>43374</v>
      </c>
      <c r="I61" s="31">
        <v>7759.89</v>
      </c>
      <c r="J61" s="30">
        <v>134.54</v>
      </c>
    </row>
    <row r="62" spans="1:14" x14ac:dyDescent="0.25">
      <c r="A62" s="34">
        <v>43040</v>
      </c>
      <c r="B62" s="40">
        <v>52.61</v>
      </c>
      <c r="C62" s="32">
        <f t="shared" si="6"/>
        <v>26.31</v>
      </c>
      <c r="D62" s="31">
        <v>7744</v>
      </c>
      <c r="E62" s="30">
        <v>98.31</v>
      </c>
      <c r="F62" s="32">
        <f t="shared" si="7"/>
        <v>2586.54</v>
      </c>
      <c r="H62" s="176"/>
      <c r="I62" s="177"/>
      <c r="J62" s="178"/>
    </row>
    <row r="63" spans="1:14" x14ac:dyDescent="0.25">
      <c r="A63" s="34">
        <v>43070</v>
      </c>
      <c r="B63" s="40">
        <v>49.07</v>
      </c>
      <c r="C63" s="32">
        <f t="shared" si="6"/>
        <v>24.54</v>
      </c>
      <c r="D63" s="31">
        <v>7776</v>
      </c>
      <c r="E63" s="30">
        <v>89.29</v>
      </c>
      <c r="F63" s="32">
        <f t="shared" si="7"/>
        <v>2191.1799999999998</v>
      </c>
      <c r="H63" s="176"/>
      <c r="I63" s="177"/>
      <c r="J63" s="178"/>
    </row>
    <row r="64" spans="1:14" x14ac:dyDescent="0.25">
      <c r="A64" s="34">
        <v>43101</v>
      </c>
      <c r="B64" s="40">
        <v>41.37</v>
      </c>
      <c r="C64" s="32">
        <f t="shared" si="6"/>
        <v>20.69</v>
      </c>
      <c r="D64" s="31">
        <v>7736</v>
      </c>
      <c r="E64" s="30">
        <v>106.28</v>
      </c>
      <c r="F64" s="32">
        <f t="shared" si="7"/>
        <v>2198.9299999999998</v>
      </c>
      <c r="H64" s="34"/>
      <c r="I64" s="31"/>
      <c r="J64" s="30"/>
    </row>
    <row r="65" spans="1:10" x14ac:dyDescent="0.25">
      <c r="A65" s="34">
        <v>43132</v>
      </c>
      <c r="B65" s="40">
        <v>4</v>
      </c>
      <c r="C65" s="32">
        <f t="shared" si="6"/>
        <v>2</v>
      </c>
      <c r="D65" s="31">
        <v>7692</v>
      </c>
      <c r="E65" s="30">
        <v>74.39</v>
      </c>
      <c r="F65" s="32">
        <f t="shared" si="7"/>
        <v>148.78</v>
      </c>
      <c r="H65" s="34"/>
      <c r="I65" s="31"/>
      <c r="J65" s="30"/>
    </row>
    <row r="66" spans="1:10" x14ac:dyDescent="0.25">
      <c r="A66" s="34">
        <v>43160</v>
      </c>
      <c r="B66" s="40">
        <v>4.3</v>
      </c>
      <c r="C66" s="32">
        <f t="shared" si="6"/>
        <v>2.15</v>
      </c>
      <c r="D66" s="31">
        <v>7701</v>
      </c>
      <c r="E66" s="30">
        <v>75.81</v>
      </c>
      <c r="F66" s="32">
        <f t="shared" si="7"/>
        <v>162.99</v>
      </c>
      <c r="H66" s="34"/>
      <c r="I66" s="31"/>
      <c r="J66" s="30"/>
    </row>
    <row r="67" spans="1:10" x14ac:dyDescent="0.25">
      <c r="A67" s="34">
        <v>43191</v>
      </c>
      <c r="B67" s="40">
        <v>3.91</v>
      </c>
      <c r="C67" s="32">
        <f t="shared" si="6"/>
        <v>1.96</v>
      </c>
      <c r="D67" s="31">
        <v>7704.72</v>
      </c>
      <c r="E67" s="30">
        <v>93.55</v>
      </c>
      <c r="F67" s="32">
        <f t="shared" si="7"/>
        <v>183.36</v>
      </c>
      <c r="H67" s="34"/>
      <c r="I67" s="31"/>
      <c r="J67" s="30"/>
    </row>
    <row r="68" spans="1:10" ht="15.75" thickBot="1" x14ac:dyDescent="0.3">
      <c r="A68" s="28" t="s">
        <v>229</v>
      </c>
      <c r="B68" s="175">
        <f>AVERAGE(B56:B67)</f>
        <v>43.794999999999987</v>
      </c>
      <c r="C68" s="26"/>
      <c r="D68" s="25">
        <f>SUM(D56:D67)</f>
        <v>93079.72</v>
      </c>
      <c r="E68" s="24">
        <f>SUM(E56:E67)</f>
        <v>1057.8499999999999</v>
      </c>
      <c r="F68" s="38">
        <f>SUM(F56:F67)</f>
        <v>23453.030000000002</v>
      </c>
      <c r="H68" s="28"/>
      <c r="I68" s="25"/>
      <c r="J68" s="24"/>
    </row>
    <row r="70" spans="1:10" x14ac:dyDescent="0.25">
      <c r="A70" t="s">
        <v>228</v>
      </c>
    </row>
    <row r="71" spans="1:10" x14ac:dyDescent="0.25">
      <c r="A71" t="s">
        <v>227</v>
      </c>
    </row>
  </sheetData>
  <mergeCells count="8">
    <mergeCell ref="A54:F54"/>
    <mergeCell ref="H54:J54"/>
    <mergeCell ref="A2:F2"/>
    <mergeCell ref="A19:F19"/>
    <mergeCell ref="A37:F37"/>
    <mergeCell ref="H2:J2"/>
    <mergeCell ref="H19:J19"/>
    <mergeCell ref="H37:J37"/>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120" zoomScaleNormal="120" workbookViewId="0">
      <selection activeCell="C41" sqref="C41"/>
    </sheetView>
  </sheetViews>
  <sheetFormatPr defaultRowHeight="15" x14ac:dyDescent="0.25"/>
  <cols>
    <col min="1" max="1" width="36.5703125" bestFit="1" customWidth="1"/>
    <col min="2" max="2" width="2.28515625" customWidth="1"/>
    <col min="3" max="3" width="11.5703125" bestFit="1" customWidth="1"/>
    <col min="4" max="6" width="11.140625" customWidth="1"/>
    <col min="8" max="8" width="12.5703125" bestFit="1" customWidth="1"/>
    <col min="9" max="9" width="12.140625" customWidth="1"/>
    <col min="10" max="10" width="11.42578125" customWidth="1"/>
    <col min="11" max="11" width="12.42578125" customWidth="1"/>
  </cols>
  <sheetData>
    <row r="1" spans="1:11" ht="18.75" x14ac:dyDescent="0.3">
      <c r="A1" s="9" t="s">
        <v>4</v>
      </c>
    </row>
    <row r="2" spans="1:11" ht="18.75" x14ac:dyDescent="0.3">
      <c r="A2" s="9" t="s">
        <v>5</v>
      </c>
    </row>
    <row r="3" spans="1:11" ht="18.75" x14ac:dyDescent="0.3">
      <c r="A3" s="9" t="s">
        <v>18</v>
      </c>
    </row>
    <row r="4" spans="1:11" ht="11.25" customHeight="1" x14ac:dyDescent="0.3">
      <c r="A4" s="9"/>
    </row>
    <row r="5" spans="1:11" ht="16.5" customHeight="1" x14ac:dyDescent="0.3">
      <c r="A5" s="9"/>
      <c r="C5" s="10" t="s">
        <v>20</v>
      </c>
      <c r="D5" s="10" t="s">
        <v>24</v>
      </c>
      <c r="E5" s="10" t="s">
        <v>26</v>
      </c>
      <c r="F5" s="10" t="s">
        <v>28</v>
      </c>
    </row>
    <row r="6" spans="1:11" x14ac:dyDescent="0.25">
      <c r="C6" s="6" t="s">
        <v>21</v>
      </c>
      <c r="D6" s="6" t="s">
        <v>25</v>
      </c>
      <c r="E6" s="6" t="s">
        <v>21</v>
      </c>
      <c r="F6" s="6" t="s">
        <v>21</v>
      </c>
    </row>
    <row r="7" spans="1:11" x14ac:dyDescent="0.25">
      <c r="C7" s="6" t="s">
        <v>22</v>
      </c>
      <c r="D7" s="6" t="s">
        <v>23</v>
      </c>
      <c r="E7" s="6" t="s">
        <v>27</v>
      </c>
      <c r="F7" s="6" t="s">
        <v>29</v>
      </c>
    </row>
    <row r="8" spans="1:11" ht="5.25" customHeight="1" x14ac:dyDescent="0.25"/>
    <row r="9" spans="1:11" x14ac:dyDescent="0.25">
      <c r="A9" s="1" t="s">
        <v>6</v>
      </c>
      <c r="C9" s="2">
        <v>69.489999999999995</v>
      </c>
      <c r="D9" s="2">
        <v>72.77</v>
      </c>
      <c r="E9" s="2">
        <v>72.77</v>
      </c>
      <c r="F9" s="2">
        <v>72.77</v>
      </c>
    </row>
    <row r="10" spans="1:11" ht="5.25" customHeight="1" x14ac:dyDescent="0.25"/>
    <row r="11" spans="1:11" x14ac:dyDescent="0.25">
      <c r="A11" s="1" t="s">
        <v>0</v>
      </c>
      <c r="C11" s="2">
        <f>95.52*1.06</f>
        <v>101.2512</v>
      </c>
      <c r="D11" s="2">
        <f t="shared" ref="D11:F11" si="0">95.52*1.06</f>
        <v>101.2512</v>
      </c>
      <c r="E11" s="2">
        <f t="shared" si="0"/>
        <v>101.2512</v>
      </c>
      <c r="F11" s="2">
        <f t="shared" si="0"/>
        <v>101.2512</v>
      </c>
    </row>
    <row r="12" spans="1:11" ht="6.75" customHeight="1" x14ac:dyDescent="0.25"/>
    <row r="13" spans="1:11" x14ac:dyDescent="0.25">
      <c r="A13" t="s">
        <v>1</v>
      </c>
      <c r="C13" s="2">
        <f>C11-C9</f>
        <v>31.761200000000002</v>
      </c>
      <c r="D13" s="2">
        <f t="shared" ref="D13:F13" si="1">D11-D9</f>
        <v>28.481200000000001</v>
      </c>
      <c r="E13" s="2">
        <f t="shared" si="1"/>
        <v>28.481200000000001</v>
      </c>
      <c r="F13" s="2">
        <f t="shared" si="1"/>
        <v>28.481200000000001</v>
      </c>
      <c r="G13" s="2"/>
    </row>
    <row r="14" spans="1:11" ht="9" customHeight="1" x14ac:dyDescent="0.25"/>
    <row r="15" spans="1:11" x14ac:dyDescent="0.25">
      <c r="A15" s="8" t="s">
        <v>2</v>
      </c>
    </row>
    <row r="16" spans="1:11" x14ac:dyDescent="0.25">
      <c r="A16" t="s">
        <v>7</v>
      </c>
      <c r="C16" s="4">
        <v>6580.4</v>
      </c>
      <c r="D16" s="4">
        <v>7072.81</v>
      </c>
      <c r="E16" s="4">
        <v>1577.48</v>
      </c>
      <c r="F16" s="4">
        <v>4265.53</v>
      </c>
      <c r="H16" s="47"/>
      <c r="I16" s="47"/>
      <c r="J16" s="47"/>
      <c r="K16" s="47"/>
    </row>
    <row r="17" spans="1:11" x14ac:dyDescent="0.25">
      <c r="A17" t="s">
        <v>8</v>
      </c>
      <c r="C17" s="4">
        <v>1057.8499999999999</v>
      </c>
      <c r="D17" s="4">
        <v>54.47</v>
      </c>
      <c r="E17" s="4">
        <v>46.42</v>
      </c>
      <c r="F17" s="4">
        <v>353.86</v>
      </c>
      <c r="H17" s="47"/>
      <c r="I17" s="47"/>
      <c r="J17" s="47"/>
      <c r="K17" s="47"/>
    </row>
    <row r="18" spans="1:11" x14ac:dyDescent="0.25">
      <c r="A18" t="s">
        <v>9</v>
      </c>
      <c r="C18" s="7">
        <f>SUM(C16:C17)</f>
        <v>7638.25</v>
      </c>
      <c r="D18" s="7">
        <f t="shared" ref="D18:F18" si="2">SUM(D16:D17)</f>
        <v>7127.2800000000007</v>
      </c>
      <c r="E18" s="7">
        <f t="shared" si="2"/>
        <v>1623.9</v>
      </c>
      <c r="F18" s="7">
        <f t="shared" si="2"/>
        <v>4619.3899999999994</v>
      </c>
    </row>
    <row r="19" spans="1:11" ht="9" customHeight="1" x14ac:dyDescent="0.25"/>
    <row r="20" spans="1:11" x14ac:dyDescent="0.25">
      <c r="A20" s="10" t="s">
        <v>17</v>
      </c>
    </row>
    <row r="21" spans="1:11" x14ac:dyDescent="0.25">
      <c r="A21" t="s">
        <v>10</v>
      </c>
      <c r="C21" s="3">
        <f>C16*C13</f>
        <v>209001.40048000001</v>
      </c>
      <c r="D21" s="3">
        <f t="shared" ref="D21:F21" si="3">D16*D13</f>
        <v>201442.11617200001</v>
      </c>
      <c r="E21" s="3">
        <f t="shared" si="3"/>
        <v>44928.523376000005</v>
      </c>
      <c r="F21" s="3">
        <f t="shared" si="3"/>
        <v>121487.413036</v>
      </c>
    </row>
    <row r="22" spans="1:11" x14ac:dyDescent="0.25">
      <c r="A22" t="s">
        <v>11</v>
      </c>
      <c r="C22" s="3">
        <f>C17*C13</f>
        <v>33598.585420000003</v>
      </c>
      <c r="D22" s="3">
        <f t="shared" ref="D22:F22" si="4">D17*D13</f>
        <v>1551.370964</v>
      </c>
      <c r="E22" s="3">
        <f t="shared" si="4"/>
        <v>1322.0973040000001</v>
      </c>
      <c r="F22" s="3">
        <f t="shared" si="4"/>
        <v>10078.357432000001</v>
      </c>
    </row>
    <row r="23" spans="1:11" x14ac:dyDescent="0.25">
      <c r="A23" t="s">
        <v>3</v>
      </c>
      <c r="C23" s="11">
        <f>SUM(C21:C22)</f>
        <v>242599.98590000003</v>
      </c>
      <c r="D23" s="11">
        <f t="shared" ref="D23:F23" si="5">SUM(D21:D22)</f>
        <v>202993.48713600001</v>
      </c>
      <c r="E23" s="11">
        <f t="shared" si="5"/>
        <v>46250.620680000007</v>
      </c>
      <c r="F23" s="11">
        <f t="shared" si="5"/>
        <v>131565.770468</v>
      </c>
    </row>
    <row r="24" spans="1:11" x14ac:dyDescent="0.25">
      <c r="C24" s="5"/>
      <c r="D24" s="5"/>
      <c r="E24" s="5"/>
      <c r="F24" s="5"/>
    </row>
    <row r="25" spans="1:11" x14ac:dyDescent="0.25">
      <c r="A25" s="13" t="s">
        <v>19</v>
      </c>
      <c r="B25" s="14"/>
      <c r="C25" s="15">
        <f>SUM(C23:F23)</f>
        <v>623409.86418400006</v>
      </c>
      <c r="D25" s="5"/>
      <c r="E25" s="3">
        <f>C25/12</f>
        <v>51950.822015333339</v>
      </c>
      <c r="F25" s="5"/>
    </row>
    <row r="26" spans="1:11" ht="9.75" customHeight="1" x14ac:dyDescent="0.25"/>
    <row r="27" spans="1:11" x14ac:dyDescent="0.25">
      <c r="A27" s="10" t="s">
        <v>12</v>
      </c>
    </row>
    <row r="28" spans="1:11" x14ac:dyDescent="0.25">
      <c r="A28" t="s">
        <v>13</v>
      </c>
      <c r="C28" s="12">
        <v>218314</v>
      </c>
      <c r="D28" s="12">
        <v>245066</v>
      </c>
      <c r="E28" s="12">
        <v>58550</v>
      </c>
      <c r="F28" s="12">
        <v>130756</v>
      </c>
    </row>
    <row r="29" spans="1:11" x14ac:dyDescent="0.25">
      <c r="A29" t="s">
        <v>14</v>
      </c>
      <c r="C29" s="2">
        <f>C21/C28</f>
        <v>0.95734309517483995</v>
      </c>
      <c r="D29" s="2">
        <f t="shared" ref="D29:F29" si="6">D21/D28</f>
        <v>0.82199128468249372</v>
      </c>
      <c r="E29" s="2">
        <f t="shared" si="6"/>
        <v>0.76735308925704537</v>
      </c>
      <c r="F29" s="2">
        <f t="shared" si="6"/>
        <v>0.92911539842148738</v>
      </c>
    </row>
    <row r="30" spans="1:11" ht="6.75" customHeight="1" x14ac:dyDescent="0.25"/>
    <row r="31" spans="1:11" x14ac:dyDescent="0.25">
      <c r="A31" t="s">
        <v>15</v>
      </c>
      <c r="C31" s="12">
        <v>93080</v>
      </c>
      <c r="D31" s="12">
        <v>4996</v>
      </c>
      <c r="E31" s="12">
        <v>5690</v>
      </c>
      <c r="F31" s="12">
        <v>21699</v>
      </c>
    </row>
    <row r="32" spans="1:11" x14ac:dyDescent="0.25">
      <c r="A32" t="s">
        <v>16</v>
      </c>
      <c r="C32" s="2">
        <f>C22/C31</f>
        <v>0.36096460485603787</v>
      </c>
      <c r="D32" s="2">
        <f t="shared" ref="D32:F32" si="7">D22/D31</f>
        <v>0.31052261088871097</v>
      </c>
      <c r="E32" s="2">
        <f t="shared" si="7"/>
        <v>0.23235453497363798</v>
      </c>
      <c r="F32" s="2">
        <f t="shared" si="7"/>
        <v>0.46446183842573396</v>
      </c>
    </row>
    <row r="36" spans="1:6" x14ac:dyDescent="0.25">
      <c r="A36" s="16" t="s">
        <v>30</v>
      </c>
    </row>
    <row r="37" spans="1:6" x14ac:dyDescent="0.25">
      <c r="A37" t="s">
        <v>31</v>
      </c>
    </row>
    <row r="38" spans="1:6" x14ac:dyDescent="0.25">
      <c r="A38" t="s">
        <v>32</v>
      </c>
    </row>
    <row r="41" spans="1:6" x14ac:dyDescent="0.25">
      <c r="A41" t="s">
        <v>334</v>
      </c>
      <c r="C41" s="157">
        <f>(C16*2000)/C28</f>
        <v>60.283811390932328</v>
      </c>
      <c r="D41" s="157">
        <f t="shared" ref="D41:F41" si="8">(D16*2000)/D28</f>
        <v>57.72167497735304</v>
      </c>
      <c r="E41" s="157">
        <f t="shared" si="8"/>
        <v>53.884884713919725</v>
      </c>
      <c r="F41" s="157">
        <f t="shared" si="8"/>
        <v>65.244118816727337</v>
      </c>
    </row>
    <row r="42" spans="1:6" x14ac:dyDescent="0.25">
      <c r="A42" t="s">
        <v>335</v>
      </c>
      <c r="C42" s="157">
        <f>(C17*2000)/C31</f>
        <v>22.72990975504942</v>
      </c>
      <c r="D42" s="157">
        <f t="shared" ref="D42:F42" si="9">(D17*2000)/D31</f>
        <v>21.805444355484386</v>
      </c>
      <c r="E42" s="157">
        <f t="shared" si="9"/>
        <v>16.31634446397188</v>
      </c>
      <c r="F42" s="157">
        <f t="shared" si="9"/>
        <v>32.615327895294712</v>
      </c>
    </row>
    <row r="44" spans="1:6" x14ac:dyDescent="0.25">
      <c r="A44" t="s">
        <v>336</v>
      </c>
      <c r="C44" s="157">
        <f>'Staff Calculation'!B40</f>
        <v>59.73650115873798</v>
      </c>
      <c r="D44" s="157">
        <f>'Staff Calculation'!D40</f>
        <v>62.618568087318081</v>
      </c>
      <c r="E44" s="157">
        <f>'Staff Calculation'!F40</f>
        <v>51.802566365673172</v>
      </c>
      <c r="F44" s="157">
        <f>'Staff Calculation'!H40</f>
        <v>63.769228426086705</v>
      </c>
    </row>
    <row r="45" spans="1:6" x14ac:dyDescent="0.25">
      <c r="A45" t="s">
        <v>337</v>
      </c>
      <c r="C45" s="157">
        <f>'Staff Calculation'!C41</f>
        <v>22.164801451842891</v>
      </c>
      <c r="D45" s="157">
        <f>'Staff Calculation'!E41</f>
        <v>22.162793557112995</v>
      </c>
      <c r="E45" s="157">
        <f>'Staff Calculation'!G41</f>
        <v>21.10384936515706</v>
      </c>
      <c r="F45" s="157">
        <f>'Staff Calculation'!I41</f>
        <v>35.82714018527237</v>
      </c>
    </row>
  </sheetData>
  <pageMargins left="0.25" right="0.25" top="0.25" bottom="0.2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6:O47"/>
  <sheetViews>
    <sheetView tabSelected="1" zoomScaleNormal="100" workbookViewId="0">
      <selection activeCell="A45" sqref="A45:XFD47"/>
    </sheetView>
  </sheetViews>
  <sheetFormatPr defaultRowHeight="15" x14ac:dyDescent="0.25"/>
  <cols>
    <col min="1" max="1" width="44.85546875" customWidth="1"/>
    <col min="2" max="2" width="20.7109375" customWidth="1"/>
    <col min="3" max="3" width="12.5703125" customWidth="1"/>
    <col min="4" max="4" width="40.7109375" bestFit="1" customWidth="1"/>
    <col min="5" max="5" width="14.28515625" bestFit="1" customWidth="1"/>
    <col min="6" max="6" width="12.28515625" customWidth="1"/>
    <col min="7" max="7" width="12.5703125" bestFit="1" customWidth="1"/>
    <col min="8" max="8" width="11.5703125" customWidth="1"/>
    <col min="9" max="9" width="10.85546875" customWidth="1"/>
    <col min="10" max="10" width="8.7109375" bestFit="1" customWidth="1"/>
    <col min="11" max="11" width="41.140625" customWidth="1"/>
    <col min="12" max="12" width="10.85546875" bestFit="1" customWidth="1"/>
    <col min="14" max="14" width="12.5703125" bestFit="1" customWidth="1"/>
  </cols>
  <sheetData>
    <row r="6" spans="1:15" ht="90.75" x14ac:dyDescent="0.3">
      <c r="A6" s="110" t="s">
        <v>290</v>
      </c>
      <c r="B6" s="111" t="s">
        <v>289</v>
      </c>
      <c r="C6" s="111"/>
      <c r="D6" s="100" t="s">
        <v>290</v>
      </c>
      <c r="E6" s="186" t="s">
        <v>297</v>
      </c>
      <c r="F6" s="101"/>
      <c r="G6" s="187" t="s">
        <v>298</v>
      </c>
      <c r="H6" s="187"/>
      <c r="I6" s="146" t="s">
        <v>312</v>
      </c>
      <c r="J6" s="146" t="s">
        <v>316</v>
      </c>
      <c r="K6" s="170" t="s">
        <v>290</v>
      </c>
      <c r="N6" s="187" t="s">
        <v>298</v>
      </c>
      <c r="O6" s="187"/>
    </row>
    <row r="7" spans="1:15" ht="18.75" x14ac:dyDescent="0.3">
      <c r="A7" s="110" t="s">
        <v>288</v>
      </c>
      <c r="B7" s="111" t="s">
        <v>287</v>
      </c>
      <c r="C7" s="111"/>
      <c r="D7" s="100" t="s">
        <v>296</v>
      </c>
      <c r="E7" s="186"/>
      <c r="F7" s="101"/>
      <c r="G7" s="123" t="s">
        <v>299</v>
      </c>
      <c r="H7" s="123" t="s">
        <v>295</v>
      </c>
      <c r="I7" s="80"/>
      <c r="J7" s="80"/>
      <c r="K7" s="170" t="s">
        <v>339</v>
      </c>
      <c r="N7" s="123" t="s">
        <v>299</v>
      </c>
      <c r="O7" s="123" t="s">
        <v>295</v>
      </c>
    </row>
    <row r="8" spans="1:15" x14ac:dyDescent="0.25">
      <c r="A8" s="112"/>
      <c r="B8" s="111" t="s">
        <v>284</v>
      </c>
      <c r="C8" s="111" t="s">
        <v>295</v>
      </c>
      <c r="D8" s="102"/>
      <c r="E8" s="186"/>
      <c r="F8" s="101" t="s">
        <v>295</v>
      </c>
      <c r="G8" s="123"/>
      <c r="H8" s="123"/>
      <c r="I8" s="80"/>
      <c r="J8" s="80"/>
      <c r="K8" s="171"/>
      <c r="N8" s="123"/>
      <c r="O8" s="123"/>
    </row>
    <row r="9" spans="1:15" x14ac:dyDescent="0.25">
      <c r="A9" s="111"/>
      <c r="B9" s="111" t="s">
        <v>3</v>
      </c>
      <c r="C9" s="111" t="s">
        <v>278</v>
      </c>
      <c r="D9" s="101"/>
      <c r="E9" s="101" t="s">
        <v>3</v>
      </c>
      <c r="F9" s="101" t="s">
        <v>278</v>
      </c>
      <c r="G9" s="123"/>
      <c r="H9" s="123"/>
      <c r="I9" s="80"/>
      <c r="J9" s="80"/>
      <c r="K9" s="171"/>
      <c r="N9" s="123"/>
      <c r="O9" s="123"/>
    </row>
    <row r="10" spans="1:15" x14ac:dyDescent="0.25">
      <c r="A10" s="115" t="s">
        <v>195</v>
      </c>
      <c r="B10" s="114">
        <v>2270947.4566577286</v>
      </c>
      <c r="C10" s="114">
        <v>48.115000000000002</v>
      </c>
      <c r="D10" s="104" t="s">
        <v>195</v>
      </c>
      <c r="E10" s="121">
        <v>1919753.3867120121</v>
      </c>
      <c r="F10" s="121">
        <v>35.202120000000001</v>
      </c>
      <c r="G10" s="124">
        <f>B10-E10</f>
        <v>351194.06994571653</v>
      </c>
      <c r="H10" s="124">
        <f>C10-F10</f>
        <v>12.912880000000001</v>
      </c>
      <c r="I10" s="145" t="s">
        <v>313</v>
      </c>
      <c r="J10" s="145">
        <f>H10</f>
        <v>12.912880000000001</v>
      </c>
      <c r="K10" s="172" t="s">
        <v>195</v>
      </c>
      <c r="L10" s="64">
        <f>'2018 Oct Actual'!D28</f>
        <v>2356098.6472799997</v>
      </c>
      <c r="M10" s="47">
        <f>'2018 Oct Actual'!N28</f>
        <v>43.857239999999997</v>
      </c>
      <c r="N10" s="124">
        <f>L10-E10</f>
        <v>436345.26056798757</v>
      </c>
      <c r="O10" s="124">
        <f>M10-F10</f>
        <v>8.6551199999999966</v>
      </c>
    </row>
    <row r="11" spans="1:15" x14ac:dyDescent="0.25">
      <c r="A11" s="115" t="s">
        <v>258</v>
      </c>
      <c r="B11" s="114">
        <v>116698.1553955</v>
      </c>
      <c r="C11" s="114">
        <v>2.5251000000000001</v>
      </c>
      <c r="D11" s="104" t="s">
        <v>258</v>
      </c>
      <c r="E11" s="121">
        <v>112371.73229999999</v>
      </c>
      <c r="F11" s="121">
        <v>2.0833499999999998</v>
      </c>
      <c r="G11" s="124">
        <f t="shared" ref="G11:H17" si="0">B11-E11</f>
        <v>4326.4230955000094</v>
      </c>
      <c r="H11" s="124">
        <f t="shared" si="0"/>
        <v>0.44175000000000031</v>
      </c>
      <c r="I11" s="145" t="s">
        <v>314</v>
      </c>
      <c r="J11" s="145"/>
      <c r="K11" s="172" t="s">
        <v>258</v>
      </c>
      <c r="N11" s="124"/>
      <c r="O11" s="124"/>
    </row>
    <row r="12" spans="1:15" x14ac:dyDescent="0.25">
      <c r="A12" s="115" t="s">
        <v>257</v>
      </c>
      <c r="B12" s="114">
        <v>176941.24788617701</v>
      </c>
      <c r="C12" s="114">
        <v>3.5931199999999999</v>
      </c>
      <c r="D12" s="104" t="s">
        <v>257</v>
      </c>
      <c r="E12" s="121">
        <v>116450.51470397317</v>
      </c>
      <c r="F12" s="121">
        <v>2.0922170000000002</v>
      </c>
      <c r="G12" s="124">
        <f t="shared" si="0"/>
        <v>60490.73318220384</v>
      </c>
      <c r="H12" s="124">
        <f t="shared" si="0"/>
        <v>1.5009029999999997</v>
      </c>
      <c r="I12" s="145" t="s">
        <v>313</v>
      </c>
      <c r="J12" s="145">
        <f>H12</f>
        <v>1.5009029999999997</v>
      </c>
      <c r="K12" s="172" t="s">
        <v>257</v>
      </c>
      <c r="L12" s="64">
        <f>'2018 Oct Actual'!D30</f>
        <v>165259.88501</v>
      </c>
      <c r="M12" s="47">
        <f>'2018 Oct Actual'!N30</f>
        <v>3.0762049999999999</v>
      </c>
      <c r="N12" s="124">
        <f t="shared" ref="N12:N14" si="1">L12-E12</f>
        <v>48809.370306026831</v>
      </c>
      <c r="O12" s="124">
        <f t="shared" ref="O12:O14" si="2">M12-F12</f>
        <v>0.98398799999999964</v>
      </c>
    </row>
    <row r="13" spans="1:15" x14ac:dyDescent="0.25">
      <c r="A13" s="115" t="s">
        <v>256</v>
      </c>
      <c r="B13" s="114">
        <v>660564.99972726463</v>
      </c>
      <c r="C13" s="114">
        <v>14.031689999999999</v>
      </c>
      <c r="D13" s="104" t="s">
        <v>256</v>
      </c>
      <c r="E13" s="121">
        <v>605459.95627216098</v>
      </c>
      <c r="F13" s="121">
        <v>11.14869</v>
      </c>
      <c r="G13" s="124">
        <f t="shared" si="0"/>
        <v>55105.043455103645</v>
      </c>
      <c r="H13" s="124">
        <f t="shared" si="0"/>
        <v>2.8829999999999991</v>
      </c>
      <c r="I13" s="145" t="s">
        <v>313</v>
      </c>
      <c r="J13" s="145">
        <f>H13</f>
        <v>2.8829999999999991</v>
      </c>
      <c r="K13" s="172" t="s">
        <v>256</v>
      </c>
      <c r="L13" s="64">
        <f>'2018 Oct Actual'!D31</f>
        <v>790930.90168600006</v>
      </c>
      <c r="M13" s="47">
        <f>'2018 Oct Actual'!N31</f>
        <v>14.722663000000001</v>
      </c>
      <c r="N13" s="124">
        <f t="shared" si="1"/>
        <v>185470.94541383907</v>
      </c>
      <c r="O13" s="124">
        <f t="shared" si="2"/>
        <v>3.5739730000000005</v>
      </c>
    </row>
    <row r="14" spans="1:15" x14ac:dyDescent="0.25">
      <c r="A14" s="115" t="s">
        <v>255</v>
      </c>
      <c r="B14" s="114">
        <v>109886.43848060617</v>
      </c>
      <c r="C14" s="114">
        <v>2.3584117999999998</v>
      </c>
      <c r="D14" s="104" t="s">
        <v>255</v>
      </c>
      <c r="E14" s="121">
        <v>122646.5513748137</v>
      </c>
      <c r="F14" s="121">
        <v>2.2637499999999999</v>
      </c>
      <c r="G14" s="124">
        <f t="shared" si="0"/>
        <v>-12760.11289420753</v>
      </c>
      <c r="H14" s="124">
        <f t="shared" si="0"/>
        <v>9.4661799999999907E-2</v>
      </c>
      <c r="I14" s="145" t="s">
        <v>313</v>
      </c>
      <c r="J14" s="145">
        <f>H14</f>
        <v>9.4661799999999907E-2</v>
      </c>
      <c r="K14" s="172" t="s">
        <v>255</v>
      </c>
      <c r="L14" s="64">
        <f>'2018 Oct Actual'!D32</f>
        <v>131634.21077000001</v>
      </c>
      <c r="M14" s="47">
        <f>'2018 Oct Actual'!N32</f>
        <v>2.450285</v>
      </c>
      <c r="N14" s="124">
        <f t="shared" si="1"/>
        <v>8987.6593951863033</v>
      </c>
      <c r="O14" s="124">
        <f t="shared" si="2"/>
        <v>0.18653500000000012</v>
      </c>
    </row>
    <row r="15" spans="1:15" x14ac:dyDescent="0.25">
      <c r="A15" s="115" t="s">
        <v>254</v>
      </c>
      <c r="B15" s="114">
        <v>346514.74540189648</v>
      </c>
      <c r="C15" s="114">
        <v>7.3259759999999998</v>
      </c>
      <c r="D15" s="104" t="s">
        <v>254</v>
      </c>
      <c r="E15" s="121">
        <v>261424.46205821159</v>
      </c>
      <c r="F15" s="121">
        <v>4.7934700000000001</v>
      </c>
      <c r="G15" s="124">
        <f t="shared" si="0"/>
        <v>85090.283343684889</v>
      </c>
      <c r="H15" s="124">
        <f t="shared" si="0"/>
        <v>2.5325059999999997</v>
      </c>
      <c r="I15" s="145" t="s">
        <v>314</v>
      </c>
      <c r="J15" s="145"/>
      <c r="K15" s="172" t="s">
        <v>254</v>
      </c>
      <c r="N15" s="124"/>
      <c r="O15" s="124"/>
    </row>
    <row r="16" spans="1:15" x14ac:dyDescent="0.25">
      <c r="A16" s="115" t="s">
        <v>253</v>
      </c>
      <c r="B16" s="114">
        <v>166709.47504133891</v>
      </c>
      <c r="C16" s="114">
        <v>4.0776696715213294</v>
      </c>
      <c r="D16" s="104" t="s">
        <v>253</v>
      </c>
      <c r="E16" s="121">
        <v>93233.683236141616</v>
      </c>
      <c r="F16" s="121">
        <v>1.6869512937839541</v>
      </c>
      <c r="G16" s="124">
        <f t="shared" si="0"/>
        <v>73475.791805197296</v>
      </c>
      <c r="H16" s="124">
        <f t="shared" si="0"/>
        <v>2.3907183777373753</v>
      </c>
      <c r="I16" s="145" t="s">
        <v>314</v>
      </c>
      <c r="J16" s="145"/>
      <c r="K16" s="172" t="s">
        <v>253</v>
      </c>
      <c r="N16" s="124"/>
      <c r="O16" s="124"/>
    </row>
    <row r="17" spans="1:15" ht="45" x14ac:dyDescent="0.25">
      <c r="A17" s="152" t="s">
        <v>252</v>
      </c>
      <c r="B17" s="153">
        <v>3848262.5185905118</v>
      </c>
      <c r="C17" s="153">
        <v>82.026967471521331</v>
      </c>
      <c r="D17" s="154" t="s">
        <v>252</v>
      </c>
      <c r="E17" s="155">
        <v>3231340.2866573134</v>
      </c>
      <c r="F17" s="155">
        <v>59.270548293783961</v>
      </c>
      <c r="G17" s="156">
        <f t="shared" si="0"/>
        <v>616922.2319331984</v>
      </c>
      <c r="H17" s="156">
        <f t="shared" si="0"/>
        <v>22.756419177737371</v>
      </c>
      <c r="I17" s="151"/>
      <c r="J17" s="151">
        <f>SUM(J10:J16)</f>
        <v>17.391444799999999</v>
      </c>
      <c r="K17" s="171"/>
      <c r="N17" s="156"/>
      <c r="O17" s="156">
        <f>SUM(O10:O16)</f>
        <v>13.399615999999998</v>
      </c>
    </row>
    <row r="19" spans="1:15" x14ac:dyDescent="0.25">
      <c r="O19" s="180">
        <f>(J17-O17)/O17</f>
        <v>0.29790620865553169</v>
      </c>
    </row>
    <row r="20" spans="1:15" x14ac:dyDescent="0.25">
      <c r="B20" s="188" t="s">
        <v>319</v>
      </c>
      <c r="C20" s="188"/>
      <c r="D20" s="189" t="s">
        <v>320</v>
      </c>
      <c r="E20" s="189"/>
      <c r="F20" s="190" t="s">
        <v>321</v>
      </c>
      <c r="G20" s="190"/>
      <c r="H20" s="191" t="s">
        <v>322</v>
      </c>
      <c r="I20" s="191"/>
    </row>
    <row r="21" spans="1:15" x14ac:dyDescent="0.25">
      <c r="A21" t="s">
        <v>317</v>
      </c>
      <c r="B21" t="s">
        <v>10</v>
      </c>
      <c r="C21" t="s">
        <v>318</v>
      </c>
      <c r="D21" t="s">
        <v>10</v>
      </c>
      <c r="E21" t="s">
        <v>318</v>
      </c>
      <c r="F21" t="s">
        <v>10</v>
      </c>
      <c r="G21" t="s">
        <v>318</v>
      </c>
      <c r="H21" t="s">
        <v>10</v>
      </c>
      <c r="I21" t="s">
        <v>318</v>
      </c>
    </row>
    <row r="22" spans="1:15" x14ac:dyDescent="0.25">
      <c r="A22" s="147">
        <v>43221</v>
      </c>
      <c r="B22" s="49">
        <f>'Single Family'!J54</f>
        <v>548.56999999999994</v>
      </c>
      <c r="C22" s="49">
        <f>'Multi-Family'!J56</f>
        <v>72.5</v>
      </c>
      <c r="D22" s="49">
        <f>'Single Family'!J21</f>
        <v>623.16</v>
      </c>
      <c r="E22" s="49">
        <f>'Multi-Family'!J21</f>
        <v>9.17</v>
      </c>
      <c r="F22" s="49">
        <f>'Single Family'!J38</f>
        <v>145.68</v>
      </c>
      <c r="G22" s="49">
        <f>'Multi-Family'!J39</f>
        <v>6.11</v>
      </c>
      <c r="H22" s="49">
        <f>'Single Family'!J4</f>
        <v>344.72</v>
      </c>
      <c r="I22" s="49">
        <f>'Multi-Family'!J4</f>
        <v>36.93</v>
      </c>
    </row>
    <row r="23" spans="1:15" x14ac:dyDescent="0.25">
      <c r="A23" s="147">
        <v>43252</v>
      </c>
      <c r="B23" s="49">
        <f>'Single Family'!J55</f>
        <v>502.09999999999997</v>
      </c>
      <c r="C23" s="49">
        <f>'Multi-Family'!J57</f>
        <v>65.650000000000006</v>
      </c>
      <c r="D23" s="49">
        <f>'Single Family'!J22</f>
        <v>620.62</v>
      </c>
      <c r="E23" s="49">
        <f>'Multi-Family'!J22</f>
        <v>8.9700000000000006</v>
      </c>
      <c r="F23" s="49">
        <f>'Single Family'!J39</f>
        <v>144.49</v>
      </c>
      <c r="G23" s="49">
        <f>'Multi-Family'!J40</f>
        <v>4.5999999999999996</v>
      </c>
      <c r="H23" s="49">
        <f>'Single Family'!J5</f>
        <v>306.7</v>
      </c>
      <c r="I23" s="49">
        <f>'Multi-Family'!J5</f>
        <v>19.489999999999998</v>
      </c>
    </row>
    <row r="24" spans="1:15" x14ac:dyDescent="0.25">
      <c r="A24" s="147">
        <v>43282</v>
      </c>
      <c r="B24" s="49">
        <f>'Single Family'!J56</f>
        <v>525.57000000000005</v>
      </c>
      <c r="C24" s="49">
        <f>'Multi-Family'!J58</f>
        <v>81.75</v>
      </c>
      <c r="D24" s="49">
        <f>'Single Family'!J23</f>
        <v>648.62</v>
      </c>
      <c r="E24" s="49">
        <f>'Multi-Family'!J23</f>
        <v>5.47</v>
      </c>
      <c r="F24" s="49">
        <f>'Single Family'!J40</f>
        <v>116.01</v>
      </c>
      <c r="G24" s="49">
        <f>'Multi-Family'!J41</f>
        <v>5.08</v>
      </c>
      <c r="H24" s="49">
        <f>'Single Family'!J6</f>
        <v>340.15999999999997</v>
      </c>
      <c r="I24" s="49">
        <f>'Multi-Family'!J6</f>
        <v>33.53</v>
      </c>
    </row>
    <row r="25" spans="1:15" x14ac:dyDescent="0.25">
      <c r="A25" s="147">
        <v>43313</v>
      </c>
      <c r="B25" s="49">
        <f>'Single Family'!J57</f>
        <v>438.71000000000004</v>
      </c>
      <c r="C25" s="49">
        <f>'Multi-Family'!J59</f>
        <v>80.260000000000005</v>
      </c>
      <c r="D25" s="49">
        <f>'Single Family'!J24</f>
        <v>674.98</v>
      </c>
      <c r="E25" s="49">
        <f>'Multi-Family'!J24</f>
        <v>5.3100000000000005</v>
      </c>
      <c r="F25" s="49">
        <f>'Single Family'!J41</f>
        <v>118.57000000000001</v>
      </c>
      <c r="G25" s="49">
        <f>'Multi-Family'!J42</f>
        <v>5.21</v>
      </c>
      <c r="H25" s="49">
        <f>'Single Family'!J7</f>
        <v>352.53</v>
      </c>
      <c r="I25" s="49">
        <f>'Multi-Family'!J7</f>
        <v>26.94</v>
      </c>
    </row>
    <row r="26" spans="1:15" x14ac:dyDescent="0.25">
      <c r="A26" s="147">
        <v>43344</v>
      </c>
      <c r="B26" s="49">
        <f>'Single Family'!J58</f>
        <v>457.66</v>
      </c>
      <c r="C26" s="49">
        <f>'Multi-Family'!J60</f>
        <v>79.83</v>
      </c>
      <c r="D26" s="49">
        <f>'Single Family'!J25</f>
        <v>550.18999999999994</v>
      </c>
      <c r="E26" s="49">
        <f>'Multi-Family'!J25</f>
        <v>4.9799999999999995</v>
      </c>
      <c r="F26" s="49">
        <f>'Single Family'!J42</f>
        <v>121.38</v>
      </c>
      <c r="G26" s="49">
        <f>'Multi-Family'!J43</f>
        <v>4.07</v>
      </c>
      <c r="H26" s="49">
        <f>'Single Family'!J8</f>
        <v>310.79000000000002</v>
      </c>
      <c r="I26" s="49">
        <f>'Multi-Family'!J8</f>
        <v>25.630000000000003</v>
      </c>
    </row>
    <row r="27" spans="1:15" x14ac:dyDescent="0.25">
      <c r="A27" s="147">
        <v>43374</v>
      </c>
      <c r="B27" s="49">
        <f>'Single Family'!J59</f>
        <v>562.73</v>
      </c>
      <c r="C27" s="49">
        <f>'Multi-Family'!J61</f>
        <v>134.54</v>
      </c>
      <c r="D27" s="49">
        <f>'Single Family'!J26</f>
        <v>657.09</v>
      </c>
      <c r="E27" s="49">
        <f>'Multi-Family'!J26</f>
        <v>5.2799999999999994</v>
      </c>
      <c r="F27" s="49">
        <f>'Single Family'!J43</f>
        <v>119.97499999999999</v>
      </c>
      <c r="G27" s="49">
        <f>'Multi-Family'!J44</f>
        <v>4.6400000000000006</v>
      </c>
      <c r="H27" s="49">
        <f>'Single Family'!J9</f>
        <v>299.35000000000002</v>
      </c>
      <c r="I27" s="49">
        <f>'Multi-Family'!J9</f>
        <v>26.52</v>
      </c>
    </row>
    <row r="28" spans="1:15" x14ac:dyDescent="0.25">
      <c r="A28" s="150" t="s">
        <v>328</v>
      </c>
      <c r="B28" s="179">
        <f t="shared" ref="B28:I28" si="3">SUM(B22:B27)</f>
        <v>3035.3399999999997</v>
      </c>
      <c r="C28" s="179">
        <f t="shared" si="3"/>
        <v>514.53</v>
      </c>
      <c r="D28" s="179">
        <f t="shared" si="3"/>
        <v>3774.6600000000003</v>
      </c>
      <c r="E28" s="179">
        <f t="shared" si="3"/>
        <v>39.18</v>
      </c>
      <c r="F28" s="179">
        <f t="shared" si="3"/>
        <v>766.10500000000002</v>
      </c>
      <c r="G28" s="179">
        <f t="shared" si="3"/>
        <v>29.71</v>
      </c>
      <c r="H28" s="179">
        <f t="shared" si="3"/>
        <v>1954.25</v>
      </c>
      <c r="I28" s="179">
        <f t="shared" si="3"/>
        <v>169.04000000000002</v>
      </c>
    </row>
    <row r="29" spans="1:15" x14ac:dyDescent="0.25">
      <c r="A29" s="147" t="s">
        <v>329</v>
      </c>
      <c r="B29" s="2">
        <f t="shared" ref="B29:C29" si="4">$O$17</f>
        <v>13.399615999999998</v>
      </c>
      <c r="C29" s="2">
        <f t="shared" si="4"/>
        <v>13.399615999999998</v>
      </c>
      <c r="D29" s="2">
        <f>$O$17</f>
        <v>13.399615999999998</v>
      </c>
      <c r="E29" s="2">
        <f t="shared" ref="E29:I29" si="5">$O$17</f>
        <v>13.399615999999998</v>
      </c>
      <c r="F29" s="2">
        <f t="shared" si="5"/>
        <v>13.399615999999998</v>
      </c>
      <c r="G29" s="2">
        <f t="shared" si="5"/>
        <v>13.399615999999998</v>
      </c>
      <c r="H29" s="2">
        <f t="shared" si="5"/>
        <v>13.399615999999998</v>
      </c>
      <c r="I29" s="2">
        <f t="shared" si="5"/>
        <v>13.399615999999998</v>
      </c>
    </row>
    <row r="30" spans="1:15" x14ac:dyDescent="0.25">
      <c r="A30" s="147" t="s">
        <v>331</v>
      </c>
      <c r="B30" s="2">
        <f t="shared" ref="B30:C30" si="6">B28*B29</f>
        <v>40672.390429439991</v>
      </c>
      <c r="C30" s="2">
        <f t="shared" si="6"/>
        <v>6894.5044204799988</v>
      </c>
      <c r="D30" s="2">
        <f>D28*D29</f>
        <v>50578.994530559998</v>
      </c>
      <c r="E30" s="2">
        <f t="shared" ref="E30:I30" si="7">E28*E29</f>
        <v>524.99695487999998</v>
      </c>
      <c r="F30" s="2">
        <f t="shared" si="7"/>
        <v>10265.512815679998</v>
      </c>
      <c r="G30" s="2">
        <f t="shared" si="7"/>
        <v>398.10259135999996</v>
      </c>
      <c r="H30" s="2">
        <f t="shared" si="7"/>
        <v>26186.199567999996</v>
      </c>
      <c r="I30" s="2">
        <f t="shared" si="7"/>
        <v>2265.0710886399997</v>
      </c>
    </row>
    <row r="32" spans="1:15" x14ac:dyDescent="0.25">
      <c r="B32" s="188" t="s">
        <v>327</v>
      </c>
      <c r="C32" s="188"/>
      <c r="D32" s="189" t="s">
        <v>323</v>
      </c>
      <c r="E32" s="189"/>
      <c r="F32" s="190" t="s">
        <v>324</v>
      </c>
      <c r="G32" s="190"/>
      <c r="H32" s="191" t="s">
        <v>325</v>
      </c>
      <c r="I32" s="191"/>
    </row>
    <row r="33" spans="1:9" x14ac:dyDescent="0.25">
      <c r="A33" t="s">
        <v>317</v>
      </c>
      <c r="B33" t="s">
        <v>10</v>
      </c>
      <c r="C33" t="s">
        <v>318</v>
      </c>
      <c r="D33" t="s">
        <v>10</v>
      </c>
      <c r="E33" t="s">
        <v>318</v>
      </c>
      <c r="F33" t="s">
        <v>10</v>
      </c>
      <c r="G33" t="s">
        <v>318</v>
      </c>
      <c r="H33" t="s">
        <v>10</v>
      </c>
      <c r="I33" t="s">
        <v>318</v>
      </c>
    </row>
    <row r="34" spans="1:9" x14ac:dyDescent="0.25">
      <c r="A34" s="147">
        <v>43221</v>
      </c>
      <c r="B34">
        <f>'Single Family'!I54</f>
        <v>18459</v>
      </c>
      <c r="C34">
        <f>'Multi-Family'!I56</f>
        <v>7731.5700000000006</v>
      </c>
      <c r="D34">
        <f>'Single Family'!I21</f>
        <v>20539</v>
      </c>
      <c r="E34" s="49">
        <f>'Multi-Family'!I21</f>
        <v>326.98</v>
      </c>
      <c r="F34">
        <f>'Single Family'!I38</f>
        <v>4913</v>
      </c>
      <c r="G34" s="49">
        <f>'Multi-Family'!I39</f>
        <v>456.21</v>
      </c>
      <c r="H34">
        <f>'Single Family'!I4</f>
        <v>10938</v>
      </c>
      <c r="I34">
        <f>'Multi-Family'!I4</f>
        <v>1815.83</v>
      </c>
    </row>
    <row r="35" spans="1:9" x14ac:dyDescent="0.25">
      <c r="A35" s="147">
        <v>43252</v>
      </c>
      <c r="B35">
        <f>'Single Family'!I55</f>
        <v>18468</v>
      </c>
      <c r="C35">
        <f>'Multi-Family'!I57</f>
        <v>7766.6</v>
      </c>
      <c r="D35">
        <f>'Single Family'!I22</f>
        <v>20706</v>
      </c>
      <c r="E35" s="49">
        <f>'Multi-Family'!I22</f>
        <v>326.98</v>
      </c>
      <c r="F35">
        <f>'Single Family'!I39</f>
        <v>4960</v>
      </c>
      <c r="G35" s="49">
        <f>'Multi-Family'!I40</f>
        <v>456.21</v>
      </c>
      <c r="H35">
        <f>'Single Family'!I5</f>
        <v>10944</v>
      </c>
      <c r="I35">
        <f>'Multi-Family'!I5</f>
        <v>1815.83</v>
      </c>
    </row>
    <row r="36" spans="1:9" x14ac:dyDescent="0.25">
      <c r="A36" s="147">
        <v>43282</v>
      </c>
      <c r="B36">
        <f>'Single Family'!I56</f>
        <v>18505</v>
      </c>
      <c r="C36">
        <f>'Multi-Family'!I58</f>
        <v>7749.28</v>
      </c>
      <c r="D36">
        <f>'Single Family'!I23</f>
        <v>20749</v>
      </c>
      <c r="E36" s="49">
        <f>'Multi-Family'!I23</f>
        <v>388.96</v>
      </c>
      <c r="F36">
        <f>'Single Family'!I40</f>
        <v>4966</v>
      </c>
      <c r="G36" s="49">
        <f>'Multi-Family'!I41</f>
        <v>456.21</v>
      </c>
      <c r="H36">
        <f>'Single Family'!I6</f>
        <v>10965</v>
      </c>
      <c r="I36">
        <f>'Multi-Family'!I6</f>
        <v>1833.1499999999999</v>
      </c>
    </row>
    <row r="37" spans="1:9" x14ac:dyDescent="0.25">
      <c r="A37" s="147">
        <v>43313</v>
      </c>
      <c r="B37">
        <f>'Single Family'!I57</f>
        <v>18546</v>
      </c>
      <c r="C37">
        <f>'Multi-Family'!I59</f>
        <v>7716.59</v>
      </c>
      <c r="D37">
        <f>'Single Family'!I24</f>
        <v>20732</v>
      </c>
      <c r="E37" s="49">
        <f>'Multi-Family'!I24</f>
        <v>386.88</v>
      </c>
      <c r="F37">
        <f>'Single Family'!I41</f>
        <v>4894</v>
      </c>
      <c r="G37" s="49">
        <f>'Multi-Family'!I42</f>
        <v>456</v>
      </c>
      <c r="H37">
        <f>'Single Family'!I7</f>
        <v>10938</v>
      </c>
      <c r="I37">
        <f>'Multi-Family'!I7</f>
        <v>1861.29</v>
      </c>
    </row>
    <row r="38" spans="1:9" x14ac:dyDescent="0.25">
      <c r="A38" s="147">
        <v>43344</v>
      </c>
      <c r="B38">
        <f>'Single Family'!I58</f>
        <v>18444</v>
      </c>
      <c r="C38">
        <f>'Multi-Family'!I60</f>
        <v>7725.25</v>
      </c>
      <c r="D38">
        <f>'Single Family'!I25</f>
        <v>20737</v>
      </c>
      <c r="E38" s="49">
        <f>'Multi-Family'!I25</f>
        <v>391.43</v>
      </c>
      <c r="F38">
        <f>'Single Family'!I42</f>
        <v>4965</v>
      </c>
      <c r="G38" s="49">
        <f>'Multi-Family'!I43</f>
        <v>456.21</v>
      </c>
      <c r="H38">
        <f>'Single Family'!I8</f>
        <v>10953</v>
      </c>
      <c r="I38">
        <f>'Multi-Family'!I8</f>
        <v>1861.29</v>
      </c>
    </row>
    <row r="39" spans="1:9" x14ac:dyDescent="0.25">
      <c r="A39" s="147">
        <v>43374</v>
      </c>
      <c r="B39">
        <f>'Single Family'!I59</f>
        <v>18459</v>
      </c>
      <c r="C39">
        <f>'Multi-Family'!I61</f>
        <v>7759.89</v>
      </c>
      <c r="D39" s="95">
        <f>'Single Family'!I26</f>
        <v>20756</v>
      </c>
      <c r="E39" s="173">
        <f>'Multi-Family'!I26</f>
        <v>391.43</v>
      </c>
      <c r="F39" s="95">
        <f>'Single Family'!I43</f>
        <v>4927</v>
      </c>
      <c r="G39" s="173">
        <f>'Multi-Family'!I44</f>
        <v>456.21</v>
      </c>
      <c r="H39" s="95">
        <f>'Single Family'!I9</f>
        <v>10940</v>
      </c>
      <c r="I39" s="95">
        <f>'Multi-Family'!I9</f>
        <v>1862.59</v>
      </c>
    </row>
    <row r="40" spans="1:9" x14ac:dyDescent="0.25">
      <c r="A40" s="150" t="s">
        <v>330</v>
      </c>
      <c r="B40" s="149">
        <f t="shared" ref="B40:I40" si="8">SUM(B34:B39)</f>
        <v>110881</v>
      </c>
      <c r="C40" s="149">
        <f t="shared" si="8"/>
        <v>46449.18</v>
      </c>
      <c r="D40">
        <f t="shared" si="8"/>
        <v>124219</v>
      </c>
      <c r="E40" s="49">
        <f t="shared" si="8"/>
        <v>2212.6600000000003</v>
      </c>
      <c r="F40">
        <f t="shared" si="8"/>
        <v>29625</v>
      </c>
      <c r="G40" s="49">
        <f t="shared" si="8"/>
        <v>2737.0499999999997</v>
      </c>
      <c r="H40">
        <f t="shared" si="8"/>
        <v>65678</v>
      </c>
      <c r="I40">
        <f t="shared" si="8"/>
        <v>11049.98</v>
      </c>
    </row>
    <row r="41" spans="1:9" x14ac:dyDescent="0.25">
      <c r="B41" s="188" t="s">
        <v>22</v>
      </c>
      <c r="C41" s="188"/>
      <c r="D41" s="189" t="s">
        <v>23</v>
      </c>
      <c r="E41" s="189"/>
      <c r="F41" s="190" t="s">
        <v>27</v>
      </c>
      <c r="G41" s="190"/>
      <c r="H41" s="191" t="s">
        <v>29</v>
      </c>
      <c r="I41" s="191"/>
    </row>
    <row r="42" spans="1:9" x14ac:dyDescent="0.25">
      <c r="A42" s="136" t="s">
        <v>332</v>
      </c>
      <c r="B42" s="148">
        <f t="shared" ref="B42:I42" si="9">B30/B40</f>
        <v>0.36681117981836375</v>
      </c>
      <c r="C42" s="148">
        <f t="shared" si="9"/>
        <v>0.14843113313259779</v>
      </c>
      <c r="D42" s="148">
        <f t="shared" si="9"/>
        <v>0.40717599184150571</v>
      </c>
      <c r="E42" s="148">
        <f t="shared" si="9"/>
        <v>0.23726960078819154</v>
      </c>
      <c r="F42" s="148">
        <f t="shared" si="9"/>
        <v>0.34651520052928264</v>
      </c>
      <c r="G42" s="148">
        <f t="shared" si="9"/>
        <v>0.1454495136588663</v>
      </c>
      <c r="H42" s="148">
        <f t="shared" si="9"/>
        <v>0.39870580054203836</v>
      </c>
      <c r="I42" s="148">
        <f t="shared" si="9"/>
        <v>0.2049841799387872</v>
      </c>
    </row>
    <row r="45" spans="1:9" x14ac:dyDescent="0.25">
      <c r="A45">
        <v>35</v>
      </c>
    </row>
    <row r="47" spans="1:9" x14ac:dyDescent="0.25">
      <c r="B47" s="180"/>
      <c r="C47" s="180"/>
      <c r="D47" s="180"/>
      <c r="E47" s="180"/>
      <c r="F47" s="180"/>
      <c r="G47" s="180"/>
      <c r="H47" s="180"/>
      <c r="I47" s="180"/>
    </row>
  </sheetData>
  <mergeCells count="15">
    <mergeCell ref="E6:E8"/>
    <mergeCell ref="G6:H6"/>
    <mergeCell ref="N6:O6"/>
    <mergeCell ref="B41:C41"/>
    <mergeCell ref="D41:E41"/>
    <mergeCell ref="F41:G41"/>
    <mergeCell ref="H41:I41"/>
    <mergeCell ref="B20:C20"/>
    <mergeCell ref="D20:E20"/>
    <mergeCell ref="F20:G20"/>
    <mergeCell ref="H20:I20"/>
    <mergeCell ref="B32:C32"/>
    <mergeCell ref="D32:E32"/>
    <mergeCell ref="F32:G32"/>
    <mergeCell ref="H32:I32"/>
  </mergeCells>
  <pageMargins left="0.7" right="0.7" top="0.75" bottom="0.75" header="0.3" footer="0.3"/>
  <pageSetup paperSize="5" scale="89" orientation="landscape" r:id="rId1"/>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3"/>
  <sheetViews>
    <sheetView topLeftCell="A26" workbookViewId="0">
      <selection activeCell="C49" sqref="C49"/>
    </sheetView>
  </sheetViews>
  <sheetFormatPr defaultRowHeight="15" x14ac:dyDescent="0.25"/>
  <cols>
    <col min="1" max="1" width="26" customWidth="1"/>
    <col min="2" max="2" width="14.42578125" customWidth="1"/>
    <col min="3" max="3" width="10.5703125" bestFit="1" customWidth="1"/>
    <col min="4" max="4" width="25.85546875" customWidth="1"/>
    <col min="5" max="5" width="14.85546875" customWidth="1"/>
    <col min="6" max="6" width="10.7109375" customWidth="1"/>
    <col min="7" max="7" width="12.5703125" bestFit="1" customWidth="1"/>
    <col min="8" max="8" width="12.42578125" bestFit="1" customWidth="1"/>
    <col min="9" max="9" width="15.85546875" customWidth="1"/>
    <col min="10" max="10" width="11.140625" customWidth="1"/>
    <col min="11" max="11" width="63.28515625" customWidth="1"/>
    <col min="12" max="12" width="94.7109375" customWidth="1"/>
  </cols>
  <sheetData>
    <row r="1" spans="1:12" x14ac:dyDescent="0.25">
      <c r="A1" t="s">
        <v>292</v>
      </c>
    </row>
    <row r="2" spans="1:12" x14ac:dyDescent="0.25">
      <c r="A2" t="s">
        <v>293</v>
      </c>
    </row>
    <row r="3" spans="1:12" x14ac:dyDescent="0.25">
      <c r="A3" t="s">
        <v>294</v>
      </c>
      <c r="B3" t="s">
        <v>345</v>
      </c>
    </row>
    <row r="4" spans="1:12" x14ac:dyDescent="0.25">
      <c r="A4" s="99">
        <v>43279</v>
      </c>
      <c r="B4" s="99">
        <v>43418</v>
      </c>
    </row>
    <row r="6" spans="1:12" ht="60.75" x14ac:dyDescent="0.3">
      <c r="A6" s="110" t="s">
        <v>290</v>
      </c>
      <c r="B6" s="111" t="s">
        <v>289</v>
      </c>
      <c r="C6" s="111"/>
      <c r="D6" s="100" t="s">
        <v>290</v>
      </c>
      <c r="E6" s="186" t="s">
        <v>297</v>
      </c>
      <c r="F6" s="101"/>
      <c r="G6" s="187" t="s">
        <v>298</v>
      </c>
      <c r="H6" s="187"/>
      <c r="I6" s="146" t="s">
        <v>312</v>
      </c>
      <c r="J6" s="146" t="s">
        <v>316</v>
      </c>
      <c r="K6" s="10" t="s">
        <v>307</v>
      </c>
      <c r="L6" s="10" t="s">
        <v>315</v>
      </c>
    </row>
    <row r="7" spans="1:12" ht="18.75" x14ac:dyDescent="0.3">
      <c r="A7" s="110" t="s">
        <v>288</v>
      </c>
      <c r="B7" s="111" t="s">
        <v>287</v>
      </c>
      <c r="C7" s="111"/>
      <c r="D7" s="100" t="s">
        <v>296</v>
      </c>
      <c r="E7" s="186"/>
      <c r="F7" s="101"/>
      <c r="G7" s="123" t="s">
        <v>299</v>
      </c>
      <c r="H7" s="123" t="s">
        <v>295</v>
      </c>
      <c r="I7" s="80"/>
      <c r="J7" s="80"/>
    </row>
    <row r="8" spans="1:12" x14ac:dyDescent="0.25">
      <c r="A8" s="112"/>
      <c r="B8" s="111" t="s">
        <v>284</v>
      </c>
      <c r="C8" s="111" t="s">
        <v>295</v>
      </c>
      <c r="D8" s="102"/>
      <c r="E8" s="186"/>
      <c r="F8" s="101" t="s">
        <v>295</v>
      </c>
      <c r="G8" s="123"/>
      <c r="H8" s="123"/>
      <c r="I8" s="80"/>
      <c r="J8" s="80"/>
    </row>
    <row r="9" spans="1:12" x14ac:dyDescent="0.25">
      <c r="A9" s="111"/>
      <c r="B9" s="111" t="s">
        <v>3</v>
      </c>
      <c r="C9" s="111" t="s">
        <v>278</v>
      </c>
      <c r="D9" s="101"/>
      <c r="E9" s="101" t="s">
        <v>3</v>
      </c>
      <c r="F9" s="101" t="s">
        <v>278</v>
      </c>
      <c r="G9" s="123"/>
      <c r="H9" s="123"/>
      <c r="I9" s="80"/>
      <c r="J9" s="80"/>
    </row>
    <row r="10" spans="1:12" ht="45" x14ac:dyDescent="0.25">
      <c r="A10" s="115" t="s">
        <v>195</v>
      </c>
      <c r="B10" s="114">
        <v>2270947.4566577286</v>
      </c>
      <c r="C10" s="114">
        <v>48.115000000000002</v>
      </c>
      <c r="D10" s="104" t="s">
        <v>195</v>
      </c>
      <c r="E10" s="121">
        <v>1919753.3867120121</v>
      </c>
      <c r="F10" s="121">
        <v>35.202120000000001</v>
      </c>
      <c r="G10" s="124">
        <f>B10-E10</f>
        <v>351194.06994571653</v>
      </c>
      <c r="H10" s="124">
        <f>C10-F10</f>
        <v>12.912880000000001</v>
      </c>
      <c r="I10" s="145" t="s">
        <v>313</v>
      </c>
      <c r="J10" s="145">
        <f>H10</f>
        <v>12.912880000000001</v>
      </c>
      <c r="K10" s="144" t="s">
        <v>308</v>
      </c>
      <c r="L10" s="143" t="s">
        <v>300</v>
      </c>
    </row>
    <row r="11" spans="1:12" ht="30" x14ac:dyDescent="0.25">
      <c r="A11" s="115" t="s">
        <v>258</v>
      </c>
      <c r="B11" s="114">
        <v>116698.1553955</v>
      </c>
      <c r="C11" s="114">
        <v>2.5251000000000001</v>
      </c>
      <c r="D11" s="104" t="s">
        <v>258</v>
      </c>
      <c r="E11" s="121">
        <v>112371.73229999999</v>
      </c>
      <c r="F11" s="121">
        <v>2.0833499999999998</v>
      </c>
      <c r="G11" s="124">
        <f t="shared" ref="G11:H17" si="0">B11-E11</f>
        <v>4326.4230955000094</v>
      </c>
      <c r="H11" s="124">
        <f t="shared" ref="H11:H14" si="1">C11-F11</f>
        <v>0.44175000000000031</v>
      </c>
      <c r="I11" s="145" t="s">
        <v>314</v>
      </c>
      <c r="J11" s="145"/>
      <c r="K11" s="144" t="s">
        <v>311</v>
      </c>
      <c r="L11" s="143" t="s">
        <v>301</v>
      </c>
    </row>
    <row r="12" spans="1:12" ht="30" x14ac:dyDescent="0.25">
      <c r="A12" s="115" t="s">
        <v>257</v>
      </c>
      <c r="B12" s="114">
        <v>176941.24788617701</v>
      </c>
      <c r="C12" s="114">
        <v>3.5931199999999999</v>
      </c>
      <c r="D12" s="104" t="s">
        <v>257</v>
      </c>
      <c r="E12" s="121">
        <v>116450.51470397317</v>
      </c>
      <c r="F12" s="121">
        <v>2.0922170000000002</v>
      </c>
      <c r="G12" s="124">
        <f t="shared" si="0"/>
        <v>60490.73318220384</v>
      </c>
      <c r="H12" s="124">
        <f t="shared" si="1"/>
        <v>1.5009029999999997</v>
      </c>
      <c r="I12" s="145" t="s">
        <v>313</v>
      </c>
      <c r="J12" s="145">
        <f>H12</f>
        <v>1.5009029999999997</v>
      </c>
      <c r="K12" s="144" t="s">
        <v>333</v>
      </c>
      <c r="L12" s="143" t="s">
        <v>302</v>
      </c>
    </row>
    <row r="13" spans="1:12" ht="30" x14ac:dyDescent="0.25">
      <c r="A13" s="115" t="s">
        <v>256</v>
      </c>
      <c r="B13" s="114">
        <v>660564.99972726463</v>
      </c>
      <c r="C13" s="114">
        <v>14.031689999999999</v>
      </c>
      <c r="D13" s="104" t="s">
        <v>256</v>
      </c>
      <c r="E13" s="121">
        <v>605459.95627216098</v>
      </c>
      <c r="F13" s="121">
        <v>11.14869</v>
      </c>
      <c r="G13" s="124">
        <f t="shared" si="0"/>
        <v>55105.043455103645</v>
      </c>
      <c r="H13" s="124">
        <f t="shared" si="1"/>
        <v>2.8829999999999991</v>
      </c>
      <c r="I13" s="145" t="s">
        <v>313</v>
      </c>
      <c r="J13" s="145">
        <f>H13</f>
        <v>2.8829999999999991</v>
      </c>
      <c r="K13" s="144" t="s">
        <v>333</v>
      </c>
      <c r="L13" s="143" t="s">
        <v>303</v>
      </c>
    </row>
    <row r="14" spans="1:12" ht="60" x14ac:dyDescent="0.25">
      <c r="A14" s="115" t="s">
        <v>255</v>
      </c>
      <c r="B14" s="114">
        <v>109886.43848060617</v>
      </c>
      <c r="C14" s="114">
        <v>2.3584117999999998</v>
      </c>
      <c r="D14" s="104" t="s">
        <v>255</v>
      </c>
      <c r="E14" s="121">
        <v>122646.5513748137</v>
      </c>
      <c r="F14" s="121">
        <v>2.2637499999999999</v>
      </c>
      <c r="G14" s="124">
        <f t="shared" si="0"/>
        <v>-12760.11289420753</v>
      </c>
      <c r="H14" s="124">
        <f t="shared" si="1"/>
        <v>9.4661799999999907E-2</v>
      </c>
      <c r="I14" s="145" t="s">
        <v>313</v>
      </c>
      <c r="J14" s="145">
        <f>H14</f>
        <v>9.4661799999999907E-2</v>
      </c>
      <c r="K14" s="144" t="s">
        <v>309</v>
      </c>
      <c r="L14" s="143" t="s">
        <v>304</v>
      </c>
    </row>
    <row r="15" spans="1:12" ht="30" x14ac:dyDescent="0.25">
      <c r="A15" s="115" t="s">
        <v>254</v>
      </c>
      <c r="B15" s="114">
        <v>346514.74540189648</v>
      </c>
      <c r="C15" s="114">
        <v>7.3259759999999998</v>
      </c>
      <c r="D15" s="104" t="s">
        <v>254</v>
      </c>
      <c r="E15" s="121">
        <v>261424.46205821159</v>
      </c>
      <c r="F15" s="121">
        <v>4.7934700000000001</v>
      </c>
      <c r="G15" s="124">
        <f t="shared" si="0"/>
        <v>85090.283343684889</v>
      </c>
      <c r="H15" s="124">
        <f t="shared" si="0"/>
        <v>2.5325059999999997</v>
      </c>
      <c r="I15" s="145" t="s">
        <v>314</v>
      </c>
      <c r="J15" s="145"/>
      <c r="K15" s="144" t="s">
        <v>310</v>
      </c>
      <c r="L15" s="143" t="s">
        <v>305</v>
      </c>
    </row>
    <row r="16" spans="1:12" ht="30" x14ac:dyDescent="0.25">
      <c r="A16" s="115" t="s">
        <v>253</v>
      </c>
      <c r="B16" s="114">
        <v>166709.47504133891</v>
      </c>
      <c r="C16" s="114">
        <v>4.0776696715213294</v>
      </c>
      <c r="D16" s="104" t="s">
        <v>253</v>
      </c>
      <c r="E16" s="121">
        <v>93233.683236141616</v>
      </c>
      <c r="F16" s="121">
        <v>1.6869512937839541</v>
      </c>
      <c r="G16" s="124">
        <f t="shared" si="0"/>
        <v>73475.791805197296</v>
      </c>
      <c r="H16" s="124">
        <f t="shared" si="0"/>
        <v>2.3907183777373753</v>
      </c>
      <c r="I16" s="145" t="s">
        <v>314</v>
      </c>
      <c r="J16" s="145"/>
      <c r="K16" s="144" t="s">
        <v>310</v>
      </c>
      <c r="L16" s="143" t="s">
        <v>306</v>
      </c>
    </row>
    <row r="17" spans="1:10" x14ac:dyDescent="0.25">
      <c r="A17" s="152" t="s">
        <v>252</v>
      </c>
      <c r="B17" s="153">
        <v>3848262.5185905118</v>
      </c>
      <c r="C17" s="153">
        <v>82.026967471521331</v>
      </c>
      <c r="D17" s="154" t="s">
        <v>252</v>
      </c>
      <c r="E17" s="155">
        <v>3231340.2866573134</v>
      </c>
      <c r="F17" s="155">
        <v>59.270548293783961</v>
      </c>
      <c r="G17" s="156">
        <f t="shared" si="0"/>
        <v>616922.2319331984</v>
      </c>
      <c r="H17" s="156">
        <f t="shared" si="0"/>
        <v>22.756419177737371</v>
      </c>
      <c r="I17" s="151"/>
      <c r="J17" s="151">
        <f>SUM(J10:J16)</f>
        <v>17.391444799999999</v>
      </c>
    </row>
    <row r="20" spans="1:10" x14ac:dyDescent="0.25">
      <c r="A20" s="192" t="s">
        <v>326</v>
      </c>
      <c r="B20" s="192"/>
      <c r="C20" s="192"/>
      <c r="D20" s="192"/>
      <c r="E20" s="192"/>
      <c r="F20" s="192"/>
      <c r="G20" s="192"/>
      <c r="H20" s="192"/>
      <c r="I20" s="192"/>
    </row>
    <row r="21" spans="1:10" x14ac:dyDescent="0.25">
      <c r="B21" s="188" t="s">
        <v>319</v>
      </c>
      <c r="C21" s="188"/>
      <c r="D21" s="189" t="s">
        <v>320</v>
      </c>
      <c r="E21" s="189"/>
      <c r="F21" s="190" t="s">
        <v>321</v>
      </c>
      <c r="G21" s="190"/>
      <c r="H21" s="191" t="s">
        <v>322</v>
      </c>
      <c r="I21" s="191"/>
    </row>
    <row r="22" spans="1:10" x14ac:dyDescent="0.25">
      <c r="A22" t="s">
        <v>317</v>
      </c>
      <c r="B22" t="s">
        <v>10</v>
      </c>
      <c r="C22" t="s">
        <v>318</v>
      </c>
      <c r="D22" t="s">
        <v>10</v>
      </c>
      <c r="E22" t="s">
        <v>318</v>
      </c>
      <c r="F22" t="s">
        <v>10</v>
      </c>
      <c r="G22" t="s">
        <v>318</v>
      </c>
      <c r="H22" t="s">
        <v>10</v>
      </c>
      <c r="I22" t="s">
        <v>318</v>
      </c>
    </row>
    <row r="23" spans="1:10" x14ac:dyDescent="0.25">
      <c r="A23" s="147">
        <v>43101</v>
      </c>
      <c r="B23">
        <v>628.53</v>
      </c>
      <c r="C23">
        <v>106.28000000000002</v>
      </c>
      <c r="D23">
        <v>780.83999999999992</v>
      </c>
      <c r="E23">
        <v>4.3299999999999992</v>
      </c>
      <c r="F23">
        <v>145.52000000000004</v>
      </c>
      <c r="G23">
        <v>4.8400000000000007</v>
      </c>
      <c r="H23">
        <v>436.71000000000015</v>
      </c>
      <c r="I23">
        <v>34.49</v>
      </c>
    </row>
    <row r="24" spans="1:10" x14ac:dyDescent="0.25">
      <c r="A24" s="147">
        <v>43132</v>
      </c>
      <c r="B24">
        <v>481.22</v>
      </c>
      <c r="C24">
        <v>74.390000000000015</v>
      </c>
      <c r="D24">
        <v>531.54999999999995</v>
      </c>
      <c r="E24">
        <v>3.15</v>
      </c>
      <c r="F24">
        <v>101.32000000000002</v>
      </c>
      <c r="G24">
        <v>3.7200000000000006</v>
      </c>
      <c r="H24">
        <v>297.15000000000003</v>
      </c>
      <c r="I24">
        <v>28.15</v>
      </c>
    </row>
    <row r="25" spans="1:10" x14ac:dyDescent="0.25">
      <c r="A25" s="147">
        <v>43160</v>
      </c>
      <c r="B25">
        <v>527.06000000000006</v>
      </c>
      <c r="C25">
        <v>75.81</v>
      </c>
      <c r="D25">
        <v>615.26</v>
      </c>
      <c r="E25">
        <v>6.94</v>
      </c>
      <c r="F25">
        <v>134.66</v>
      </c>
      <c r="G25">
        <v>6.1</v>
      </c>
      <c r="H25">
        <v>312.88000000000011</v>
      </c>
      <c r="I25">
        <v>35.150000000000006</v>
      </c>
    </row>
    <row r="26" spans="1:10" x14ac:dyDescent="0.25">
      <c r="A26" s="150" t="s">
        <v>328</v>
      </c>
      <c r="B26" s="149">
        <f>SUM(B23:B25)</f>
        <v>1636.81</v>
      </c>
      <c r="C26" s="149">
        <f t="shared" ref="C26:I26" si="2">SUM(C23:C25)</f>
        <v>256.48</v>
      </c>
      <c r="D26" s="149">
        <f t="shared" si="2"/>
        <v>1927.6499999999999</v>
      </c>
      <c r="E26" s="149">
        <f t="shared" si="2"/>
        <v>14.419999999999998</v>
      </c>
      <c r="F26" s="149">
        <f t="shared" si="2"/>
        <v>381.50000000000006</v>
      </c>
      <c r="G26" s="149">
        <f t="shared" si="2"/>
        <v>14.660000000000002</v>
      </c>
      <c r="H26" s="149">
        <f t="shared" si="2"/>
        <v>1046.7400000000002</v>
      </c>
      <c r="I26" s="149">
        <f t="shared" si="2"/>
        <v>97.79</v>
      </c>
    </row>
    <row r="27" spans="1:10" x14ac:dyDescent="0.25">
      <c r="A27" s="147" t="s">
        <v>329</v>
      </c>
      <c r="B27" s="2">
        <f>$J$17</f>
        <v>17.391444799999999</v>
      </c>
      <c r="C27" s="2">
        <f t="shared" ref="C27:I27" si="3">$J$17</f>
        <v>17.391444799999999</v>
      </c>
      <c r="D27" s="2">
        <f t="shared" si="3"/>
        <v>17.391444799999999</v>
      </c>
      <c r="E27" s="2">
        <f t="shared" si="3"/>
        <v>17.391444799999999</v>
      </c>
      <c r="F27" s="2">
        <f t="shared" si="3"/>
        <v>17.391444799999999</v>
      </c>
      <c r="G27" s="2">
        <f t="shared" si="3"/>
        <v>17.391444799999999</v>
      </c>
      <c r="H27" s="2">
        <f t="shared" si="3"/>
        <v>17.391444799999999</v>
      </c>
      <c r="I27" s="2">
        <f t="shared" si="3"/>
        <v>17.391444799999999</v>
      </c>
    </row>
    <row r="28" spans="1:10" x14ac:dyDescent="0.25">
      <c r="A28" s="147" t="s">
        <v>331</v>
      </c>
      <c r="B28" s="2">
        <f>B26*B27</f>
        <v>28466.490763087997</v>
      </c>
      <c r="C28" s="2">
        <f t="shared" ref="C28:I28" si="4">C26*C27</f>
        <v>4460.5577623039999</v>
      </c>
      <c r="D28" s="2">
        <f t="shared" si="4"/>
        <v>33524.618568719998</v>
      </c>
      <c r="E28" s="2">
        <f t="shared" si="4"/>
        <v>250.78463401599996</v>
      </c>
      <c r="F28" s="2">
        <f t="shared" si="4"/>
        <v>6634.8361912</v>
      </c>
      <c r="G28" s="2">
        <f t="shared" si="4"/>
        <v>254.95858076800002</v>
      </c>
      <c r="H28" s="2">
        <f t="shared" si="4"/>
        <v>18204.320929952002</v>
      </c>
      <c r="I28" s="2">
        <f t="shared" si="4"/>
        <v>1700.709386992</v>
      </c>
    </row>
    <row r="30" spans="1:10" x14ac:dyDescent="0.25">
      <c r="B30" s="188" t="s">
        <v>327</v>
      </c>
      <c r="C30" s="188"/>
      <c r="D30" s="189" t="s">
        <v>323</v>
      </c>
      <c r="E30" s="189"/>
      <c r="F30" s="190" t="s">
        <v>324</v>
      </c>
      <c r="G30" s="190"/>
      <c r="H30" s="191" t="s">
        <v>325</v>
      </c>
      <c r="I30" s="191"/>
    </row>
    <row r="31" spans="1:10" x14ac:dyDescent="0.25">
      <c r="A31" t="s">
        <v>317</v>
      </c>
      <c r="B31" t="s">
        <v>10</v>
      </c>
      <c r="C31" t="s">
        <v>318</v>
      </c>
      <c r="D31" t="s">
        <v>10</v>
      </c>
      <c r="E31" t="s">
        <v>318</v>
      </c>
      <c r="F31" t="s">
        <v>10</v>
      </c>
      <c r="G31" t="s">
        <v>318</v>
      </c>
      <c r="H31" t="s">
        <v>10</v>
      </c>
      <c r="I31" t="s">
        <v>318</v>
      </c>
    </row>
    <row r="32" spans="1:10" x14ac:dyDescent="0.25">
      <c r="A32" s="147">
        <v>43101</v>
      </c>
      <c r="B32">
        <v>18283</v>
      </c>
      <c r="C32">
        <v>7741</v>
      </c>
      <c r="D32">
        <v>20534</v>
      </c>
      <c r="E32">
        <v>414.02</v>
      </c>
      <c r="F32">
        <v>4910</v>
      </c>
      <c r="G32">
        <v>463.31</v>
      </c>
      <c r="H32">
        <v>10948</v>
      </c>
      <c r="I32">
        <v>1819</v>
      </c>
    </row>
    <row r="33" spans="1:9" x14ac:dyDescent="0.25">
      <c r="A33" s="147">
        <v>43132</v>
      </c>
      <c r="B33">
        <v>18200</v>
      </c>
      <c r="C33">
        <v>7697</v>
      </c>
      <c r="D33">
        <v>20452</v>
      </c>
      <c r="E33">
        <v>448.5</v>
      </c>
      <c r="F33">
        <v>4895</v>
      </c>
      <c r="G33">
        <v>463.31</v>
      </c>
      <c r="H33">
        <v>10944</v>
      </c>
      <c r="I33">
        <v>1820</v>
      </c>
    </row>
    <row r="34" spans="1:9" x14ac:dyDescent="0.25">
      <c r="A34" s="147">
        <v>43160</v>
      </c>
      <c r="B34">
        <v>18318</v>
      </c>
      <c r="C34">
        <v>7705</v>
      </c>
      <c r="D34">
        <v>20582</v>
      </c>
      <c r="E34">
        <v>438.76</v>
      </c>
      <c r="F34">
        <v>4924</v>
      </c>
      <c r="G34">
        <v>462.7</v>
      </c>
      <c r="H34">
        <v>10937</v>
      </c>
      <c r="I34">
        <v>1819.99</v>
      </c>
    </row>
    <row r="35" spans="1:9" x14ac:dyDescent="0.25">
      <c r="A35" s="150" t="s">
        <v>330</v>
      </c>
      <c r="B35" s="149">
        <f>SUM(B32:B34)</f>
        <v>54801</v>
      </c>
      <c r="C35" s="149">
        <f t="shared" ref="C35:I35" si="5">SUM(C32:C34)</f>
        <v>23143</v>
      </c>
      <c r="D35" s="149">
        <f t="shared" si="5"/>
        <v>61568</v>
      </c>
      <c r="E35" s="149">
        <f t="shared" si="5"/>
        <v>1301.28</v>
      </c>
      <c r="F35" s="149">
        <f t="shared" si="5"/>
        <v>14729</v>
      </c>
      <c r="G35" s="149">
        <f t="shared" si="5"/>
        <v>1389.32</v>
      </c>
      <c r="H35" s="149">
        <f t="shared" si="5"/>
        <v>32829</v>
      </c>
      <c r="I35" s="149">
        <f t="shared" si="5"/>
        <v>5458.99</v>
      </c>
    </row>
    <row r="36" spans="1:9" x14ac:dyDescent="0.25">
      <c r="B36" s="188" t="s">
        <v>22</v>
      </c>
      <c r="C36" s="188"/>
      <c r="D36" s="189" t="s">
        <v>23</v>
      </c>
      <c r="E36" s="189"/>
      <c r="F36" s="190" t="s">
        <v>27</v>
      </c>
      <c r="G36" s="190"/>
      <c r="H36" s="191" t="s">
        <v>29</v>
      </c>
      <c r="I36" s="191"/>
    </row>
    <row r="37" spans="1:9" x14ac:dyDescent="0.25">
      <c r="A37" s="136" t="s">
        <v>332</v>
      </c>
      <c r="B37" s="148">
        <f>B28/B35</f>
        <v>0.51945203122366379</v>
      </c>
      <c r="C37" s="148">
        <f t="shared" ref="C37:I37" si="6">C28/C35</f>
        <v>0.19273896047634273</v>
      </c>
      <c r="D37" s="148">
        <f t="shared" si="6"/>
        <v>0.54451368517281706</v>
      </c>
      <c r="E37" s="148">
        <f t="shared" si="6"/>
        <v>0.19272150038116312</v>
      </c>
      <c r="F37" s="148">
        <f t="shared" si="6"/>
        <v>0.4504607367234707</v>
      </c>
      <c r="G37" s="148">
        <f t="shared" si="6"/>
        <v>0.18351321565082201</v>
      </c>
      <c r="H37" s="148">
        <f t="shared" si="6"/>
        <v>0.55451950805543881</v>
      </c>
      <c r="I37" s="148">
        <f t="shared" si="6"/>
        <v>0.31154286543701309</v>
      </c>
    </row>
    <row r="40" spans="1:9" x14ac:dyDescent="0.25">
      <c r="A40" t="s">
        <v>334</v>
      </c>
      <c r="B40" s="157">
        <f>(B26*2000)/B35</f>
        <v>59.73650115873798</v>
      </c>
      <c r="D40" s="157">
        <f>(D26*2000)/D35</f>
        <v>62.618568087318081</v>
      </c>
      <c r="F40" s="157">
        <f>(F26*2000)/F35</f>
        <v>51.802566365673172</v>
      </c>
      <c r="H40" s="157">
        <f>(H26*2000)/H35</f>
        <v>63.769228426086705</v>
      </c>
    </row>
    <row r="41" spans="1:9" x14ac:dyDescent="0.25">
      <c r="A41" t="s">
        <v>335</v>
      </c>
      <c r="C41" s="157">
        <f>(C26*2000)/C35</f>
        <v>22.164801451842891</v>
      </c>
      <c r="E41" s="157">
        <f>(E26*2000)/E35</f>
        <v>22.162793557112995</v>
      </c>
      <c r="G41" s="157">
        <f>(G26*2000)/G35</f>
        <v>21.10384936515706</v>
      </c>
      <c r="I41" s="157">
        <f>(I26*2000)/I35</f>
        <v>35.82714018527237</v>
      </c>
    </row>
    <row r="43" spans="1:9" x14ac:dyDescent="0.25">
      <c r="A43" t="s">
        <v>338</v>
      </c>
      <c r="B43" s="2">
        <f>B37*B34</f>
        <v>9515.3223079550735</v>
      </c>
      <c r="C43" s="2">
        <f t="shared" ref="C43:I43" si="7">C37*C34</f>
        <v>1485.0536904702208</v>
      </c>
      <c r="D43" s="2">
        <f t="shared" si="7"/>
        <v>11207.180668226922</v>
      </c>
      <c r="E43" s="2">
        <f t="shared" si="7"/>
        <v>84.558485507239126</v>
      </c>
      <c r="F43" s="2">
        <f t="shared" si="7"/>
        <v>2218.0686676263699</v>
      </c>
      <c r="G43" s="2">
        <f t="shared" si="7"/>
        <v>84.911564881635343</v>
      </c>
      <c r="H43" s="2">
        <f t="shared" si="7"/>
        <v>6064.779859602334</v>
      </c>
      <c r="I43" s="2">
        <f t="shared" si="7"/>
        <v>567.00489966670943</v>
      </c>
    </row>
  </sheetData>
  <mergeCells count="15">
    <mergeCell ref="H36:I36"/>
    <mergeCell ref="F36:G36"/>
    <mergeCell ref="D36:E36"/>
    <mergeCell ref="B36:C36"/>
    <mergeCell ref="B21:C21"/>
    <mergeCell ref="H30:I30"/>
    <mergeCell ref="F30:G30"/>
    <mergeCell ref="D30:E30"/>
    <mergeCell ref="B30:C30"/>
    <mergeCell ref="A20:I20"/>
    <mergeCell ref="E6:E8"/>
    <mergeCell ref="G6:H6"/>
    <mergeCell ref="H21:I21"/>
    <mergeCell ref="F21:G21"/>
    <mergeCell ref="D21:E21"/>
  </mergeCells>
  <pageMargins left="0.25" right="0.25" top="0.25" bottom="0.25" header="0" footer="0"/>
  <pageSetup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91"/>
  <sheetViews>
    <sheetView workbookViewId="0">
      <selection activeCell="G26" sqref="G26"/>
    </sheetView>
  </sheetViews>
  <sheetFormatPr defaultRowHeight="15" x14ac:dyDescent="0.25"/>
  <cols>
    <col min="2" max="2" width="36.85546875" customWidth="1"/>
    <col min="3" max="3" width="18.5703125" customWidth="1"/>
  </cols>
  <sheetData>
    <row r="1" spans="1:3" x14ac:dyDescent="0.25">
      <c r="B1" s="22" t="s">
        <v>226</v>
      </c>
      <c r="C1" s="18" t="s">
        <v>225</v>
      </c>
    </row>
    <row r="2" spans="1:3" x14ac:dyDescent="0.25">
      <c r="B2" s="21" t="s">
        <v>224</v>
      </c>
      <c r="C2" s="18" t="s">
        <v>348</v>
      </c>
    </row>
    <row r="3" spans="1:3" x14ac:dyDescent="0.25">
      <c r="B3" s="20" t="s">
        <v>222</v>
      </c>
      <c r="C3" s="16" t="s">
        <v>221</v>
      </c>
    </row>
    <row r="4" spans="1:3" ht="45" x14ac:dyDescent="0.25">
      <c r="C4" s="19" t="s">
        <v>220</v>
      </c>
    </row>
    <row r="5" spans="1:3" x14ac:dyDescent="0.25">
      <c r="A5" t="s">
        <v>34</v>
      </c>
      <c r="B5" s="18" t="s">
        <v>219</v>
      </c>
      <c r="C5" s="181">
        <v>16626415.399999999</v>
      </c>
    </row>
    <row r="6" spans="1:3" x14ac:dyDescent="0.25">
      <c r="A6" t="s">
        <v>34</v>
      </c>
      <c r="B6" t="s">
        <v>218</v>
      </c>
      <c r="C6" s="157">
        <v>1812426.04</v>
      </c>
    </row>
    <row r="7" spans="1:3" x14ac:dyDescent="0.25">
      <c r="A7" t="s">
        <v>34</v>
      </c>
      <c r="B7" t="s">
        <v>217</v>
      </c>
      <c r="C7" s="157">
        <v>14813989.359999999</v>
      </c>
    </row>
    <row r="8" spans="1:3" x14ac:dyDescent="0.25">
      <c r="A8" t="s">
        <v>34</v>
      </c>
      <c r="B8" s="16" t="s">
        <v>216</v>
      </c>
      <c r="C8" s="157">
        <v>0</v>
      </c>
    </row>
    <row r="9" spans="1:3" x14ac:dyDescent="0.25">
      <c r="A9" t="s">
        <v>34</v>
      </c>
      <c r="B9" s="16" t="s">
        <v>215</v>
      </c>
      <c r="C9" s="157">
        <v>113685.83999999998</v>
      </c>
    </row>
    <row r="10" spans="1:3" x14ac:dyDescent="0.25">
      <c r="A10" t="s">
        <v>34</v>
      </c>
      <c r="B10" s="16" t="s">
        <v>214</v>
      </c>
      <c r="C10" s="157">
        <v>0</v>
      </c>
    </row>
    <row r="11" spans="1:3" x14ac:dyDescent="0.25">
      <c r="A11" t="s">
        <v>34</v>
      </c>
      <c r="B11" s="16" t="s">
        <v>213</v>
      </c>
      <c r="C11" s="157">
        <v>659665.25</v>
      </c>
    </row>
    <row r="12" spans="1:3" x14ac:dyDescent="0.25">
      <c r="A12" t="s">
        <v>34</v>
      </c>
      <c r="B12" s="16" t="s">
        <v>212</v>
      </c>
      <c r="C12" s="157">
        <v>1829588.05</v>
      </c>
    </row>
    <row r="13" spans="1:3" x14ac:dyDescent="0.25">
      <c r="A13" t="s">
        <v>34</v>
      </c>
      <c r="B13" s="16" t="s">
        <v>211</v>
      </c>
      <c r="C13" s="157">
        <v>0</v>
      </c>
    </row>
    <row r="14" spans="1:3" x14ac:dyDescent="0.25">
      <c r="A14" t="s">
        <v>34</v>
      </c>
      <c r="B14" t="s">
        <v>210</v>
      </c>
      <c r="C14" s="157">
        <v>2890270.63</v>
      </c>
    </row>
    <row r="15" spans="1:3" x14ac:dyDescent="0.25">
      <c r="A15" t="s">
        <v>34</v>
      </c>
      <c r="B15" t="s">
        <v>209</v>
      </c>
      <c r="C15" s="157">
        <v>0</v>
      </c>
    </row>
    <row r="16" spans="1:3" x14ac:dyDescent="0.25">
      <c r="A16" t="s">
        <v>34</v>
      </c>
      <c r="B16" t="s">
        <v>208</v>
      </c>
      <c r="C16" s="157">
        <v>0</v>
      </c>
    </row>
    <row r="17" spans="1:3" x14ac:dyDescent="0.25">
      <c r="A17" t="s">
        <v>34</v>
      </c>
      <c r="B17" t="s">
        <v>207</v>
      </c>
      <c r="C17" s="157">
        <v>232948.59000000003</v>
      </c>
    </row>
    <row r="18" spans="1:3" x14ac:dyDescent="0.25">
      <c r="A18" t="s">
        <v>34</v>
      </c>
      <c r="B18" s="16" t="s">
        <v>206</v>
      </c>
      <c r="C18" s="157">
        <v>1383.12</v>
      </c>
    </row>
    <row r="19" spans="1:3" x14ac:dyDescent="0.25">
      <c r="A19" t="s">
        <v>34</v>
      </c>
      <c r="B19" t="s">
        <v>205</v>
      </c>
      <c r="C19" s="157">
        <v>59353.490000000005</v>
      </c>
    </row>
    <row r="20" spans="1:3" x14ac:dyDescent="0.25">
      <c r="A20" t="s">
        <v>34</v>
      </c>
      <c r="B20" s="16" t="s">
        <v>204</v>
      </c>
      <c r="C20" s="157">
        <v>284572.5</v>
      </c>
    </row>
    <row r="21" spans="1:3" x14ac:dyDescent="0.25">
      <c r="A21" t="s">
        <v>34</v>
      </c>
      <c r="B21" s="16" t="s">
        <v>203</v>
      </c>
      <c r="C21" s="157">
        <v>263820.44999999995</v>
      </c>
    </row>
    <row r="22" spans="1:3" x14ac:dyDescent="0.25">
      <c r="A22" t="s">
        <v>34</v>
      </c>
      <c r="B22" t="s">
        <v>202</v>
      </c>
      <c r="C22" s="157">
        <v>459682.55</v>
      </c>
    </row>
    <row r="23" spans="1:3" x14ac:dyDescent="0.25">
      <c r="A23" t="s">
        <v>34</v>
      </c>
      <c r="B23" t="s">
        <v>201</v>
      </c>
      <c r="C23" s="157">
        <v>42107.360000000001</v>
      </c>
    </row>
    <row r="24" spans="1:3" x14ac:dyDescent="0.25">
      <c r="A24" t="s">
        <v>34</v>
      </c>
      <c r="B24" t="s">
        <v>200</v>
      </c>
      <c r="C24" s="157">
        <v>0</v>
      </c>
    </row>
    <row r="25" spans="1:3" x14ac:dyDescent="0.25">
      <c r="A25" t="s">
        <v>34</v>
      </c>
      <c r="B25" t="s">
        <v>199</v>
      </c>
      <c r="C25" s="157">
        <v>13902.3</v>
      </c>
    </row>
    <row r="26" spans="1:3" x14ac:dyDescent="0.25">
      <c r="A26" t="s">
        <v>34</v>
      </c>
      <c r="B26" t="s">
        <v>198</v>
      </c>
      <c r="C26" s="157">
        <v>0</v>
      </c>
    </row>
    <row r="27" spans="1:3" x14ac:dyDescent="0.25">
      <c r="A27" t="s">
        <v>34</v>
      </c>
      <c r="B27" s="16" t="s">
        <v>197</v>
      </c>
      <c r="C27" s="157">
        <v>6848092.6299999999</v>
      </c>
    </row>
    <row r="28" spans="1:3" x14ac:dyDescent="0.25">
      <c r="A28" t="s">
        <v>34</v>
      </c>
      <c r="B28" t="s">
        <v>196</v>
      </c>
      <c r="C28" s="157">
        <v>-6848092.6299999999</v>
      </c>
    </row>
    <row r="29" spans="1:3" ht="15.75" x14ac:dyDescent="0.25">
      <c r="A29" s="17" t="s">
        <v>34</v>
      </c>
      <c r="B29" s="17" t="s">
        <v>195</v>
      </c>
      <c r="C29" s="182">
        <v>6850980.1300000008</v>
      </c>
    </row>
    <row r="30" spans="1:3" x14ac:dyDescent="0.25">
      <c r="A30" t="s">
        <v>34</v>
      </c>
      <c r="B30" s="16" t="s">
        <v>194</v>
      </c>
      <c r="C30" s="157">
        <v>271212.15999999997</v>
      </c>
    </row>
    <row r="31" spans="1:3" x14ac:dyDescent="0.25">
      <c r="A31" t="s">
        <v>34</v>
      </c>
      <c r="B31" s="16" t="s">
        <v>193</v>
      </c>
      <c r="C31" s="157">
        <v>0</v>
      </c>
    </row>
    <row r="32" spans="1:3" x14ac:dyDescent="0.25">
      <c r="A32" t="s">
        <v>34</v>
      </c>
      <c r="B32" t="s">
        <v>192</v>
      </c>
      <c r="C32" s="157">
        <v>0</v>
      </c>
    </row>
    <row r="33" spans="1:3" x14ac:dyDescent="0.25">
      <c r="A33" t="s">
        <v>34</v>
      </c>
      <c r="B33" t="s">
        <v>191</v>
      </c>
      <c r="C33" s="157">
        <v>0</v>
      </c>
    </row>
    <row r="34" spans="1:3" x14ac:dyDescent="0.25">
      <c r="A34" t="s">
        <v>34</v>
      </c>
      <c r="B34" t="s">
        <v>190</v>
      </c>
      <c r="C34" s="157">
        <v>40961.839999999997</v>
      </c>
    </row>
    <row r="35" spans="1:3" x14ac:dyDescent="0.25">
      <c r="A35" t="s">
        <v>34</v>
      </c>
      <c r="B35" t="s">
        <v>189</v>
      </c>
      <c r="C35" s="157">
        <v>25951.52</v>
      </c>
    </row>
    <row r="36" spans="1:3" x14ac:dyDescent="0.25">
      <c r="A36" t="s">
        <v>34</v>
      </c>
      <c r="B36" s="16" t="s">
        <v>188</v>
      </c>
      <c r="C36" s="157">
        <v>0</v>
      </c>
    </row>
    <row r="37" spans="1:3" x14ac:dyDescent="0.25">
      <c r="A37" t="s">
        <v>34</v>
      </c>
      <c r="B37" t="s">
        <v>187</v>
      </c>
      <c r="C37" s="157">
        <v>0</v>
      </c>
    </row>
    <row r="38" spans="1:3" x14ac:dyDescent="0.25">
      <c r="A38" t="s">
        <v>34</v>
      </c>
      <c r="B38" s="16" t="s">
        <v>186</v>
      </c>
      <c r="C38" s="157">
        <v>22453.109999999997</v>
      </c>
    </row>
    <row r="39" spans="1:3" x14ac:dyDescent="0.25">
      <c r="A39" t="s">
        <v>34</v>
      </c>
      <c r="B39" s="16" t="s">
        <v>185</v>
      </c>
      <c r="C39" s="157">
        <v>0</v>
      </c>
    </row>
    <row r="40" spans="1:3" x14ac:dyDescent="0.25">
      <c r="A40" t="s">
        <v>34</v>
      </c>
      <c r="B40" t="s">
        <v>184</v>
      </c>
      <c r="C40" s="157">
        <v>21999.920000000002</v>
      </c>
    </row>
    <row r="41" spans="1:3" x14ac:dyDescent="0.25">
      <c r="A41" t="s">
        <v>34</v>
      </c>
      <c r="B41" t="s">
        <v>183</v>
      </c>
      <c r="C41" s="157">
        <v>7673.08</v>
      </c>
    </row>
    <row r="42" spans="1:3" x14ac:dyDescent="0.25">
      <c r="A42" t="s">
        <v>34</v>
      </c>
      <c r="B42" t="s">
        <v>182</v>
      </c>
      <c r="C42" s="157">
        <v>0</v>
      </c>
    </row>
    <row r="43" spans="1:3" x14ac:dyDescent="0.25">
      <c r="A43" t="s">
        <v>34</v>
      </c>
      <c r="B43" t="s">
        <v>181</v>
      </c>
      <c r="C43" s="157">
        <v>0</v>
      </c>
    </row>
    <row r="44" spans="1:3" x14ac:dyDescent="0.25">
      <c r="A44" t="s">
        <v>34</v>
      </c>
      <c r="B44" s="16" t="s">
        <v>180</v>
      </c>
      <c r="C44" s="157">
        <v>393139.13</v>
      </c>
    </row>
    <row r="45" spans="1:3" x14ac:dyDescent="0.25">
      <c r="A45" t="s">
        <v>34</v>
      </c>
      <c r="B45" t="s">
        <v>179</v>
      </c>
      <c r="C45" s="157">
        <v>-393139.13</v>
      </c>
    </row>
    <row r="46" spans="1:3" ht="15.75" x14ac:dyDescent="0.25">
      <c r="A46" s="17" t="s">
        <v>34</v>
      </c>
      <c r="B46" s="17" t="s">
        <v>178</v>
      </c>
      <c r="C46" s="182">
        <v>390251.62999999995</v>
      </c>
    </row>
    <row r="47" spans="1:3" x14ac:dyDescent="0.25">
      <c r="A47" t="s">
        <v>34</v>
      </c>
      <c r="B47" t="s">
        <v>177</v>
      </c>
      <c r="C47" s="157">
        <v>1.4551915228366852E-11</v>
      </c>
    </row>
    <row r="48" spans="1:3" x14ac:dyDescent="0.25">
      <c r="A48" t="s">
        <v>34</v>
      </c>
      <c r="B48" t="s">
        <v>176</v>
      </c>
      <c r="C48" s="157">
        <v>0</v>
      </c>
    </row>
    <row r="49" spans="1:3" x14ac:dyDescent="0.25">
      <c r="A49" t="s">
        <v>34</v>
      </c>
      <c r="B49" s="16" t="s">
        <v>175</v>
      </c>
      <c r="C49" s="157">
        <v>118070.29999999999</v>
      </c>
    </row>
    <row r="50" spans="1:3" x14ac:dyDescent="0.25">
      <c r="A50" t="s">
        <v>34</v>
      </c>
      <c r="B50" t="s">
        <v>174</v>
      </c>
      <c r="C50" s="157">
        <v>3050.4300000000003</v>
      </c>
    </row>
    <row r="51" spans="1:3" x14ac:dyDescent="0.25">
      <c r="A51" t="s">
        <v>34</v>
      </c>
      <c r="B51" t="s">
        <v>173</v>
      </c>
      <c r="C51" s="157">
        <v>0</v>
      </c>
    </row>
    <row r="52" spans="1:3" x14ac:dyDescent="0.25">
      <c r="A52" t="s">
        <v>34</v>
      </c>
      <c r="B52" t="s">
        <v>172</v>
      </c>
      <c r="C52" s="157">
        <v>235506.16</v>
      </c>
    </row>
    <row r="53" spans="1:3" x14ac:dyDescent="0.25">
      <c r="A53" t="s">
        <v>34</v>
      </c>
      <c r="B53" t="s">
        <v>171</v>
      </c>
      <c r="C53" s="157">
        <v>0</v>
      </c>
    </row>
    <row r="54" spans="1:3" x14ac:dyDescent="0.25">
      <c r="A54" t="s">
        <v>34</v>
      </c>
      <c r="B54" t="s">
        <v>170</v>
      </c>
      <c r="C54" s="157">
        <v>0</v>
      </c>
    </row>
    <row r="55" spans="1:3" x14ac:dyDescent="0.25">
      <c r="A55" t="s">
        <v>34</v>
      </c>
      <c r="B55" s="16" t="s">
        <v>169</v>
      </c>
      <c r="C55" s="157">
        <v>0</v>
      </c>
    </row>
    <row r="56" spans="1:3" x14ac:dyDescent="0.25">
      <c r="A56" t="s">
        <v>34</v>
      </c>
      <c r="B56" t="s">
        <v>168</v>
      </c>
      <c r="C56" s="157">
        <v>0</v>
      </c>
    </row>
    <row r="57" spans="1:3" x14ac:dyDescent="0.25">
      <c r="A57" t="s">
        <v>34</v>
      </c>
      <c r="B57" t="s">
        <v>167</v>
      </c>
      <c r="C57" s="157">
        <v>0</v>
      </c>
    </row>
    <row r="58" spans="1:3" x14ac:dyDescent="0.25">
      <c r="A58" t="s">
        <v>34</v>
      </c>
      <c r="B58" t="s">
        <v>166</v>
      </c>
      <c r="C58" s="157">
        <v>78827.179999999978</v>
      </c>
    </row>
    <row r="59" spans="1:3" x14ac:dyDescent="0.25">
      <c r="A59" t="s">
        <v>34</v>
      </c>
      <c r="B59" t="s">
        <v>165</v>
      </c>
      <c r="C59" s="157">
        <v>0</v>
      </c>
    </row>
    <row r="60" spans="1:3" x14ac:dyDescent="0.25">
      <c r="A60" t="s">
        <v>34</v>
      </c>
      <c r="B60" t="s">
        <v>164</v>
      </c>
      <c r="C60" s="157">
        <v>0</v>
      </c>
    </row>
    <row r="61" spans="1:3" x14ac:dyDescent="0.25">
      <c r="A61" t="s">
        <v>34</v>
      </c>
      <c r="B61" t="s">
        <v>163</v>
      </c>
      <c r="C61" s="157">
        <v>0</v>
      </c>
    </row>
    <row r="62" spans="1:3" x14ac:dyDescent="0.25">
      <c r="A62" t="s">
        <v>34</v>
      </c>
      <c r="B62" t="s">
        <v>162</v>
      </c>
      <c r="C62" s="157">
        <v>0</v>
      </c>
    </row>
    <row r="63" spans="1:3" x14ac:dyDescent="0.25">
      <c r="A63" t="s">
        <v>34</v>
      </c>
      <c r="B63" t="s">
        <v>161</v>
      </c>
      <c r="C63" s="157">
        <v>101.61999999999999</v>
      </c>
    </row>
    <row r="64" spans="1:3" x14ac:dyDescent="0.25">
      <c r="A64" t="s">
        <v>34</v>
      </c>
      <c r="B64" t="s">
        <v>160</v>
      </c>
      <c r="C64" s="157">
        <v>33401.97</v>
      </c>
    </row>
    <row r="65" spans="1:3" x14ac:dyDescent="0.25">
      <c r="A65" t="s">
        <v>34</v>
      </c>
      <c r="B65" t="s">
        <v>159</v>
      </c>
      <c r="C65" s="157">
        <v>0</v>
      </c>
    </row>
    <row r="66" spans="1:3" x14ac:dyDescent="0.25">
      <c r="A66" t="s">
        <v>34</v>
      </c>
      <c r="B66" s="16" t="s">
        <v>158</v>
      </c>
      <c r="C66" s="157">
        <v>542058.97</v>
      </c>
    </row>
    <row r="67" spans="1:3" x14ac:dyDescent="0.25">
      <c r="A67" t="s">
        <v>34</v>
      </c>
      <c r="B67" s="16" t="s">
        <v>157</v>
      </c>
      <c r="C67" s="157">
        <v>-509627.73</v>
      </c>
    </row>
    <row r="68" spans="1:3" ht="15.75" x14ac:dyDescent="0.25">
      <c r="A68" s="17" t="s">
        <v>34</v>
      </c>
      <c r="B68" s="17" t="s">
        <v>156</v>
      </c>
      <c r="C68" s="182">
        <v>501388.9</v>
      </c>
    </row>
    <row r="69" spans="1:3" x14ac:dyDescent="0.25">
      <c r="A69" t="s">
        <v>34</v>
      </c>
      <c r="B69" t="s">
        <v>155</v>
      </c>
      <c r="C69" s="157">
        <v>660171.15999999992</v>
      </c>
    </row>
    <row r="70" spans="1:3" x14ac:dyDescent="0.25">
      <c r="A70" t="s">
        <v>34</v>
      </c>
      <c r="B70" t="s">
        <v>154</v>
      </c>
      <c r="C70" s="157">
        <v>0</v>
      </c>
    </row>
    <row r="71" spans="1:3" x14ac:dyDescent="0.25">
      <c r="A71" t="s">
        <v>34</v>
      </c>
      <c r="B71" t="s">
        <v>153</v>
      </c>
      <c r="C71" s="157">
        <v>0</v>
      </c>
    </row>
    <row r="72" spans="1:3" x14ac:dyDescent="0.25">
      <c r="A72" t="s">
        <v>34</v>
      </c>
      <c r="B72" t="s">
        <v>152</v>
      </c>
      <c r="C72" s="157">
        <v>57674.349999999991</v>
      </c>
    </row>
    <row r="73" spans="1:3" x14ac:dyDescent="0.25">
      <c r="A73" t="s">
        <v>34</v>
      </c>
      <c r="B73" t="s">
        <v>151</v>
      </c>
      <c r="C73" s="157">
        <v>70267.780000000013</v>
      </c>
    </row>
    <row r="74" spans="1:3" x14ac:dyDescent="0.25">
      <c r="A74" t="s">
        <v>34</v>
      </c>
      <c r="B74" t="s">
        <v>150</v>
      </c>
      <c r="C74" s="157">
        <v>21979.77</v>
      </c>
    </row>
    <row r="75" spans="1:3" x14ac:dyDescent="0.25">
      <c r="A75" t="s">
        <v>34</v>
      </c>
      <c r="B75" t="s">
        <v>149</v>
      </c>
      <c r="C75" s="157">
        <v>0</v>
      </c>
    </row>
    <row r="76" spans="1:3" x14ac:dyDescent="0.25">
      <c r="A76" t="s">
        <v>34</v>
      </c>
      <c r="B76" t="s">
        <v>148</v>
      </c>
      <c r="C76" s="157">
        <v>0</v>
      </c>
    </row>
    <row r="77" spans="1:3" x14ac:dyDescent="0.25">
      <c r="A77" t="s">
        <v>34</v>
      </c>
      <c r="B77" s="16" t="s">
        <v>147</v>
      </c>
      <c r="C77" s="157">
        <v>0</v>
      </c>
    </row>
    <row r="78" spans="1:3" x14ac:dyDescent="0.25">
      <c r="A78" t="s">
        <v>34</v>
      </c>
      <c r="B78" t="s">
        <v>146</v>
      </c>
      <c r="C78" s="157">
        <v>0</v>
      </c>
    </row>
    <row r="79" spans="1:3" x14ac:dyDescent="0.25">
      <c r="A79" t="s">
        <v>34</v>
      </c>
      <c r="B79" t="s">
        <v>145</v>
      </c>
      <c r="C79" s="157">
        <v>132522.53</v>
      </c>
    </row>
    <row r="80" spans="1:3" x14ac:dyDescent="0.25">
      <c r="A80" t="s">
        <v>34</v>
      </c>
      <c r="B80" t="s">
        <v>144</v>
      </c>
      <c r="C80" s="157">
        <v>170758.97</v>
      </c>
    </row>
    <row r="81" spans="1:3" x14ac:dyDescent="0.25">
      <c r="A81" t="s">
        <v>34</v>
      </c>
      <c r="B81" t="s">
        <v>143</v>
      </c>
      <c r="C81" s="157">
        <v>0</v>
      </c>
    </row>
    <row r="82" spans="1:3" x14ac:dyDescent="0.25">
      <c r="A82" t="s">
        <v>34</v>
      </c>
      <c r="B82" t="s">
        <v>142</v>
      </c>
      <c r="C82" s="157">
        <v>0</v>
      </c>
    </row>
    <row r="83" spans="1:3" x14ac:dyDescent="0.25">
      <c r="A83" t="s">
        <v>34</v>
      </c>
      <c r="B83" t="s">
        <v>141</v>
      </c>
      <c r="C83" s="157">
        <v>0</v>
      </c>
    </row>
    <row r="84" spans="1:3" x14ac:dyDescent="0.25">
      <c r="A84" t="s">
        <v>34</v>
      </c>
      <c r="B84" t="s">
        <v>140</v>
      </c>
      <c r="C84" s="157">
        <v>0</v>
      </c>
    </row>
    <row r="85" spans="1:3" x14ac:dyDescent="0.25">
      <c r="A85" t="s">
        <v>34</v>
      </c>
      <c r="B85" t="s">
        <v>139</v>
      </c>
      <c r="C85" s="157">
        <v>0</v>
      </c>
    </row>
    <row r="86" spans="1:3" x14ac:dyDescent="0.25">
      <c r="A86" t="s">
        <v>34</v>
      </c>
      <c r="B86" t="s">
        <v>138</v>
      </c>
      <c r="C86" s="157">
        <v>0</v>
      </c>
    </row>
    <row r="87" spans="1:3" x14ac:dyDescent="0.25">
      <c r="A87" t="s">
        <v>34</v>
      </c>
      <c r="B87" t="s">
        <v>137</v>
      </c>
      <c r="C87" s="157">
        <v>0</v>
      </c>
    </row>
    <row r="88" spans="1:3" x14ac:dyDescent="0.25">
      <c r="A88" t="s">
        <v>34</v>
      </c>
      <c r="B88" s="16" t="s">
        <v>136</v>
      </c>
      <c r="C88" s="157">
        <v>0</v>
      </c>
    </row>
    <row r="89" spans="1:3" x14ac:dyDescent="0.25">
      <c r="A89" t="s">
        <v>34</v>
      </c>
      <c r="B89" s="16" t="s">
        <v>135</v>
      </c>
      <c r="C89" s="157">
        <v>1177248.6300000001</v>
      </c>
    </row>
    <row r="90" spans="1:3" x14ac:dyDescent="0.25">
      <c r="A90" t="s">
        <v>34</v>
      </c>
      <c r="B90" s="16" t="s">
        <v>134</v>
      </c>
      <c r="C90" s="157">
        <v>2322372.38</v>
      </c>
    </row>
    <row r="91" spans="1:3" x14ac:dyDescent="0.25">
      <c r="A91" t="s">
        <v>34</v>
      </c>
      <c r="B91" s="16" t="s">
        <v>133</v>
      </c>
      <c r="C91" s="157">
        <v>-2335334.96</v>
      </c>
    </row>
    <row r="92" spans="1:3" ht="15.75" x14ac:dyDescent="0.25">
      <c r="A92" s="17" t="s">
        <v>34</v>
      </c>
      <c r="B92" s="17" t="s">
        <v>132</v>
      </c>
      <c r="C92" s="182">
        <v>2277660.6100000003</v>
      </c>
    </row>
    <row r="93" spans="1:3" x14ac:dyDescent="0.25">
      <c r="A93" t="s">
        <v>34</v>
      </c>
      <c r="B93" t="s">
        <v>131</v>
      </c>
      <c r="C93" s="157">
        <v>0</v>
      </c>
    </row>
    <row r="94" spans="1:3" x14ac:dyDescent="0.25">
      <c r="A94" t="s">
        <v>34</v>
      </c>
      <c r="B94" t="s">
        <v>130</v>
      </c>
      <c r="C94" s="157">
        <v>0</v>
      </c>
    </row>
    <row r="95" spans="1:3" x14ac:dyDescent="0.25">
      <c r="A95" t="s">
        <v>34</v>
      </c>
      <c r="B95" t="s">
        <v>129</v>
      </c>
      <c r="C95" s="157">
        <v>0</v>
      </c>
    </row>
    <row r="96" spans="1:3" x14ac:dyDescent="0.25">
      <c r="A96" t="s">
        <v>34</v>
      </c>
      <c r="B96" t="s">
        <v>128</v>
      </c>
      <c r="C96" s="157">
        <v>2324.6999999999998</v>
      </c>
    </row>
    <row r="97" spans="1:3" x14ac:dyDescent="0.25">
      <c r="A97" t="s">
        <v>34</v>
      </c>
      <c r="B97" s="16" t="s">
        <v>127</v>
      </c>
      <c r="C97" s="157">
        <v>0</v>
      </c>
    </row>
    <row r="98" spans="1:3" x14ac:dyDescent="0.25">
      <c r="A98" t="s">
        <v>34</v>
      </c>
      <c r="B98" s="16" t="s">
        <v>126</v>
      </c>
      <c r="C98" s="157">
        <v>0</v>
      </c>
    </row>
    <row r="99" spans="1:3" x14ac:dyDescent="0.25">
      <c r="A99" t="s">
        <v>34</v>
      </c>
      <c r="B99" t="s">
        <v>125</v>
      </c>
      <c r="C99" s="157">
        <v>180707.47</v>
      </c>
    </row>
    <row r="100" spans="1:3" x14ac:dyDescent="0.25">
      <c r="A100" t="s">
        <v>34</v>
      </c>
      <c r="B100" t="s">
        <v>124</v>
      </c>
      <c r="C100" s="157">
        <v>61040.69</v>
      </c>
    </row>
    <row r="101" spans="1:3" x14ac:dyDescent="0.25">
      <c r="A101" t="s">
        <v>34</v>
      </c>
      <c r="B101" t="s">
        <v>123</v>
      </c>
      <c r="C101" s="157">
        <v>0</v>
      </c>
    </row>
    <row r="102" spans="1:3" x14ac:dyDescent="0.25">
      <c r="A102" t="s">
        <v>34</v>
      </c>
      <c r="B102" s="16" t="s">
        <v>122</v>
      </c>
      <c r="C102" s="157">
        <v>0</v>
      </c>
    </row>
    <row r="103" spans="1:3" x14ac:dyDescent="0.25">
      <c r="A103" t="s">
        <v>34</v>
      </c>
      <c r="B103" s="16" t="s">
        <v>121</v>
      </c>
      <c r="C103" s="157">
        <v>0</v>
      </c>
    </row>
    <row r="104" spans="1:3" x14ac:dyDescent="0.25">
      <c r="A104" t="s">
        <v>34</v>
      </c>
      <c r="B104" t="s">
        <v>120</v>
      </c>
      <c r="C104" s="157">
        <v>0</v>
      </c>
    </row>
    <row r="105" spans="1:3" x14ac:dyDescent="0.25">
      <c r="A105" t="s">
        <v>34</v>
      </c>
      <c r="B105" s="16" t="s">
        <v>119</v>
      </c>
      <c r="C105" s="157">
        <v>0</v>
      </c>
    </row>
    <row r="106" spans="1:3" x14ac:dyDescent="0.25">
      <c r="A106" t="s">
        <v>34</v>
      </c>
      <c r="B106" t="s">
        <v>118</v>
      </c>
      <c r="C106" s="157">
        <v>0</v>
      </c>
    </row>
    <row r="107" spans="1:3" x14ac:dyDescent="0.25">
      <c r="A107" t="s">
        <v>34</v>
      </c>
      <c r="B107" t="s">
        <v>117</v>
      </c>
      <c r="C107" s="157">
        <v>0</v>
      </c>
    </row>
    <row r="108" spans="1:3" x14ac:dyDescent="0.25">
      <c r="A108" t="s">
        <v>34</v>
      </c>
      <c r="B108" t="s">
        <v>116</v>
      </c>
      <c r="C108" s="157">
        <v>0</v>
      </c>
    </row>
    <row r="109" spans="1:3" x14ac:dyDescent="0.25">
      <c r="A109" t="s">
        <v>34</v>
      </c>
      <c r="B109" t="s">
        <v>115</v>
      </c>
      <c r="C109" s="157">
        <v>0</v>
      </c>
    </row>
    <row r="110" spans="1:3" x14ac:dyDescent="0.25">
      <c r="A110" t="s">
        <v>34</v>
      </c>
      <c r="B110" t="s">
        <v>114</v>
      </c>
      <c r="C110" s="157">
        <v>0</v>
      </c>
    </row>
    <row r="111" spans="1:3" x14ac:dyDescent="0.25">
      <c r="A111" t="s">
        <v>34</v>
      </c>
      <c r="B111" t="s">
        <v>113</v>
      </c>
      <c r="C111" s="157">
        <v>0</v>
      </c>
    </row>
    <row r="112" spans="1:3" x14ac:dyDescent="0.25">
      <c r="A112" t="s">
        <v>34</v>
      </c>
      <c r="B112" t="s">
        <v>112</v>
      </c>
      <c r="C112" s="157">
        <v>0</v>
      </c>
    </row>
    <row r="113" spans="1:3" x14ac:dyDescent="0.25">
      <c r="A113" t="s">
        <v>34</v>
      </c>
      <c r="B113" t="s">
        <v>111</v>
      </c>
      <c r="C113" s="157">
        <v>3642.0699999999997</v>
      </c>
    </row>
    <row r="114" spans="1:3" x14ac:dyDescent="0.25">
      <c r="A114" t="s">
        <v>34</v>
      </c>
      <c r="B114" t="s">
        <v>110</v>
      </c>
      <c r="C114" s="157">
        <v>4108.1299999999992</v>
      </c>
    </row>
    <row r="115" spans="1:3" x14ac:dyDescent="0.25">
      <c r="A115" t="s">
        <v>34</v>
      </c>
      <c r="B115" t="s">
        <v>109</v>
      </c>
      <c r="C115" s="157">
        <v>92644.42</v>
      </c>
    </row>
    <row r="116" spans="1:3" x14ac:dyDescent="0.25">
      <c r="A116" t="s">
        <v>34</v>
      </c>
      <c r="B116" t="s">
        <v>108</v>
      </c>
      <c r="C116" s="157">
        <v>29770.59</v>
      </c>
    </row>
    <row r="117" spans="1:3" x14ac:dyDescent="0.25">
      <c r="A117" t="s">
        <v>34</v>
      </c>
      <c r="B117" t="s">
        <v>107</v>
      </c>
      <c r="C117" s="157">
        <v>0</v>
      </c>
    </row>
    <row r="118" spans="1:3" x14ac:dyDescent="0.25">
      <c r="A118" t="s">
        <v>34</v>
      </c>
      <c r="B118" t="s">
        <v>106</v>
      </c>
      <c r="C118" s="157">
        <v>0</v>
      </c>
    </row>
    <row r="119" spans="1:3" x14ac:dyDescent="0.25">
      <c r="A119" t="s">
        <v>34</v>
      </c>
      <c r="B119" t="s">
        <v>105</v>
      </c>
      <c r="C119" s="157">
        <v>0</v>
      </c>
    </row>
    <row r="120" spans="1:3" x14ac:dyDescent="0.25">
      <c r="A120" t="s">
        <v>34</v>
      </c>
      <c r="B120" t="s">
        <v>104</v>
      </c>
      <c r="C120" s="157">
        <v>0</v>
      </c>
    </row>
    <row r="121" spans="1:3" x14ac:dyDescent="0.25">
      <c r="A121" t="s">
        <v>34</v>
      </c>
      <c r="B121" s="16" t="s">
        <v>103</v>
      </c>
      <c r="C121" s="157">
        <v>389485.1</v>
      </c>
    </row>
    <row r="122" spans="1:3" x14ac:dyDescent="0.25">
      <c r="A122" t="s">
        <v>34</v>
      </c>
      <c r="B122" s="16" t="s">
        <v>102</v>
      </c>
      <c r="C122" s="157">
        <v>-386327.63</v>
      </c>
    </row>
    <row r="123" spans="1:3" ht="15.75" x14ac:dyDescent="0.25">
      <c r="A123" s="17" t="s">
        <v>34</v>
      </c>
      <c r="B123" s="17" t="s">
        <v>101</v>
      </c>
      <c r="C123" s="182">
        <v>377395.54</v>
      </c>
    </row>
    <row r="124" spans="1:3" x14ac:dyDescent="0.25">
      <c r="A124" t="s">
        <v>34</v>
      </c>
      <c r="B124" t="s">
        <v>100</v>
      </c>
      <c r="C124" s="157">
        <v>47714.999999999993</v>
      </c>
    </row>
    <row r="125" spans="1:3" x14ac:dyDescent="0.25">
      <c r="A125" t="s">
        <v>34</v>
      </c>
      <c r="B125" s="16" t="s">
        <v>99</v>
      </c>
      <c r="C125" s="157">
        <v>292000.75</v>
      </c>
    </row>
    <row r="126" spans="1:3" x14ac:dyDescent="0.25">
      <c r="A126" t="s">
        <v>34</v>
      </c>
      <c r="B126" t="s">
        <v>98</v>
      </c>
      <c r="C126" s="157">
        <v>95433.299999999988</v>
      </c>
    </row>
    <row r="127" spans="1:3" x14ac:dyDescent="0.25">
      <c r="A127" t="s">
        <v>34</v>
      </c>
      <c r="B127" t="s">
        <v>97</v>
      </c>
      <c r="C127" s="157">
        <v>42861.740000000005</v>
      </c>
    </row>
    <row r="128" spans="1:3" x14ac:dyDescent="0.25">
      <c r="A128" t="s">
        <v>34</v>
      </c>
      <c r="B128" t="s">
        <v>96</v>
      </c>
      <c r="C128" s="157">
        <v>606194.80999999994</v>
      </c>
    </row>
    <row r="129" spans="1:3" x14ac:dyDescent="0.25">
      <c r="A129" t="s">
        <v>34</v>
      </c>
      <c r="B129" t="s">
        <v>95</v>
      </c>
      <c r="C129" s="157">
        <v>124772.59999999999</v>
      </c>
    </row>
    <row r="130" spans="1:3" x14ac:dyDescent="0.25">
      <c r="A130" t="s">
        <v>34</v>
      </c>
      <c r="B130" t="s">
        <v>94</v>
      </c>
      <c r="C130" s="157">
        <v>12151.730000000001</v>
      </c>
    </row>
    <row r="131" spans="1:3" x14ac:dyDescent="0.25">
      <c r="A131" t="s">
        <v>34</v>
      </c>
      <c r="B131" t="s">
        <v>93</v>
      </c>
      <c r="C131" s="157">
        <v>7953.66</v>
      </c>
    </row>
    <row r="132" spans="1:3" x14ac:dyDescent="0.25">
      <c r="A132" t="s">
        <v>34</v>
      </c>
      <c r="B132" t="s">
        <v>92</v>
      </c>
      <c r="C132" s="157">
        <v>0</v>
      </c>
    </row>
    <row r="133" spans="1:3" x14ac:dyDescent="0.25">
      <c r="A133" t="s">
        <v>34</v>
      </c>
      <c r="B133" s="16" t="s">
        <v>91</v>
      </c>
      <c r="C133" s="157">
        <v>1887594.1</v>
      </c>
    </row>
    <row r="134" spans="1:3" x14ac:dyDescent="0.25">
      <c r="A134" t="s">
        <v>34</v>
      </c>
      <c r="B134" t="s">
        <v>90</v>
      </c>
      <c r="C134" s="157">
        <v>-2107097.5999999996</v>
      </c>
    </row>
    <row r="135" spans="1:3" ht="15.75" x14ac:dyDescent="0.25">
      <c r="A135" s="17" t="s">
        <v>34</v>
      </c>
      <c r="B135" s="17" t="s">
        <v>89</v>
      </c>
      <c r="C135" s="182">
        <v>1009580.0900000002</v>
      </c>
    </row>
    <row r="136" spans="1:3" x14ac:dyDescent="0.25">
      <c r="A136" t="s">
        <v>34</v>
      </c>
      <c r="B136" t="s">
        <v>88</v>
      </c>
      <c r="C136" s="157">
        <v>571438.35</v>
      </c>
    </row>
    <row r="137" spans="1:3" x14ac:dyDescent="0.25">
      <c r="A137" t="s">
        <v>34</v>
      </c>
      <c r="B137" s="16" t="s">
        <v>87</v>
      </c>
      <c r="C137" s="157">
        <v>0</v>
      </c>
    </row>
    <row r="138" spans="1:3" x14ac:dyDescent="0.25">
      <c r="A138" t="s">
        <v>34</v>
      </c>
      <c r="B138" s="16" t="s">
        <v>86</v>
      </c>
      <c r="C138" s="157">
        <v>27484.75</v>
      </c>
    </row>
    <row r="139" spans="1:3" x14ac:dyDescent="0.25">
      <c r="A139" t="s">
        <v>34</v>
      </c>
      <c r="B139" t="s">
        <v>85</v>
      </c>
      <c r="C139" s="157">
        <v>0</v>
      </c>
    </row>
    <row r="140" spans="1:3" x14ac:dyDescent="0.25">
      <c r="A140" t="s">
        <v>34</v>
      </c>
      <c r="B140" t="s">
        <v>84</v>
      </c>
      <c r="C140" s="157">
        <v>36302.300000000003</v>
      </c>
    </row>
    <row r="141" spans="1:3" x14ac:dyDescent="0.25">
      <c r="A141" t="s">
        <v>34</v>
      </c>
      <c r="B141" t="s">
        <v>83</v>
      </c>
      <c r="C141" s="157">
        <v>0</v>
      </c>
    </row>
    <row r="142" spans="1:3" x14ac:dyDescent="0.25">
      <c r="A142" t="s">
        <v>34</v>
      </c>
      <c r="B142" t="s">
        <v>82</v>
      </c>
      <c r="C142" s="157">
        <v>0</v>
      </c>
    </row>
    <row r="143" spans="1:3" x14ac:dyDescent="0.25">
      <c r="A143" t="s">
        <v>34</v>
      </c>
      <c r="B143" t="s">
        <v>81</v>
      </c>
      <c r="C143" s="157">
        <v>0</v>
      </c>
    </row>
    <row r="144" spans="1:3" x14ac:dyDescent="0.25">
      <c r="A144" t="s">
        <v>34</v>
      </c>
      <c r="B144" t="s">
        <v>80</v>
      </c>
      <c r="C144" s="157">
        <v>33305.71</v>
      </c>
    </row>
    <row r="145" spans="1:3" x14ac:dyDescent="0.25">
      <c r="A145" t="s">
        <v>34</v>
      </c>
      <c r="B145" t="s">
        <v>79</v>
      </c>
      <c r="C145" s="157">
        <v>0</v>
      </c>
    </row>
    <row r="146" spans="1:3" x14ac:dyDescent="0.25">
      <c r="A146" t="s">
        <v>34</v>
      </c>
      <c r="B146" t="s">
        <v>78</v>
      </c>
      <c r="C146" s="157">
        <v>0</v>
      </c>
    </row>
    <row r="147" spans="1:3" x14ac:dyDescent="0.25">
      <c r="A147" t="s">
        <v>34</v>
      </c>
      <c r="B147" t="s">
        <v>77</v>
      </c>
      <c r="C147" s="157">
        <v>0</v>
      </c>
    </row>
    <row r="148" spans="1:3" x14ac:dyDescent="0.25">
      <c r="A148" t="s">
        <v>34</v>
      </c>
      <c r="B148" t="s">
        <v>76</v>
      </c>
      <c r="C148" s="157">
        <v>1441.19</v>
      </c>
    </row>
    <row r="149" spans="1:3" x14ac:dyDescent="0.25">
      <c r="A149" t="s">
        <v>34</v>
      </c>
      <c r="B149" t="s">
        <v>75</v>
      </c>
      <c r="C149" s="157">
        <v>0</v>
      </c>
    </row>
    <row r="150" spans="1:3" x14ac:dyDescent="0.25">
      <c r="A150" t="s">
        <v>34</v>
      </c>
      <c r="B150" s="16" t="s">
        <v>74</v>
      </c>
      <c r="C150" s="157">
        <v>0</v>
      </c>
    </row>
    <row r="151" spans="1:3" x14ac:dyDescent="0.25">
      <c r="A151" t="s">
        <v>34</v>
      </c>
      <c r="B151" s="16" t="s">
        <v>73</v>
      </c>
      <c r="C151" s="157">
        <v>697927.25</v>
      </c>
    </row>
    <row r="152" spans="1:3" x14ac:dyDescent="0.25">
      <c r="A152" t="s">
        <v>34</v>
      </c>
      <c r="B152" s="16" t="s">
        <v>72</v>
      </c>
      <c r="C152" s="157">
        <v>-707165.71000000008</v>
      </c>
    </row>
    <row r="153" spans="1:3" ht="15.75" x14ac:dyDescent="0.25">
      <c r="A153" s="17" t="s">
        <v>34</v>
      </c>
      <c r="B153" s="17" t="s">
        <v>71</v>
      </c>
      <c r="C153" s="182">
        <v>660733.84</v>
      </c>
    </row>
    <row r="154" spans="1:3" ht="15.75" x14ac:dyDescent="0.25">
      <c r="A154" s="17" t="s">
        <v>34</v>
      </c>
      <c r="B154" s="17" t="s">
        <v>70</v>
      </c>
      <c r="C154" s="182">
        <v>12067990.740000002</v>
      </c>
    </row>
    <row r="155" spans="1:3" x14ac:dyDescent="0.25">
      <c r="A155" t="s">
        <v>34</v>
      </c>
      <c r="B155" t="s">
        <v>69</v>
      </c>
      <c r="C155" s="157">
        <v>0</v>
      </c>
    </row>
    <row r="156" spans="1:3" x14ac:dyDescent="0.25">
      <c r="A156" t="s">
        <v>34</v>
      </c>
      <c r="B156" s="16" t="s">
        <v>68</v>
      </c>
      <c r="C156" s="157">
        <v>0</v>
      </c>
    </row>
    <row r="157" spans="1:3" x14ac:dyDescent="0.25">
      <c r="A157" t="s">
        <v>34</v>
      </c>
      <c r="B157" t="s">
        <v>67</v>
      </c>
      <c r="C157" s="157">
        <v>0</v>
      </c>
    </row>
    <row r="158" spans="1:3" x14ac:dyDescent="0.25">
      <c r="A158" t="s">
        <v>34</v>
      </c>
      <c r="B158" t="s">
        <v>66</v>
      </c>
      <c r="C158" s="157">
        <v>939237.11</v>
      </c>
    </row>
    <row r="159" spans="1:3" x14ac:dyDescent="0.25">
      <c r="A159" t="s">
        <v>34</v>
      </c>
      <c r="B159" t="s">
        <v>65</v>
      </c>
      <c r="C159" s="157">
        <v>0</v>
      </c>
    </row>
    <row r="160" spans="1:3" x14ac:dyDescent="0.25">
      <c r="A160" t="s">
        <v>34</v>
      </c>
      <c r="B160" s="16" t="s">
        <v>64</v>
      </c>
      <c r="C160" s="157">
        <v>255452.96999999997</v>
      </c>
    </row>
    <row r="161" spans="1:3" x14ac:dyDescent="0.25">
      <c r="A161" t="s">
        <v>34</v>
      </c>
      <c r="B161" t="s">
        <v>63</v>
      </c>
      <c r="C161" s="157">
        <v>0</v>
      </c>
    </row>
    <row r="162" spans="1:3" x14ac:dyDescent="0.25">
      <c r="A162" t="s">
        <v>34</v>
      </c>
      <c r="B162" t="s">
        <v>62</v>
      </c>
      <c r="C162" s="157">
        <v>0</v>
      </c>
    </row>
    <row r="163" spans="1:3" x14ac:dyDescent="0.25">
      <c r="A163" t="s">
        <v>34</v>
      </c>
      <c r="B163" t="s">
        <v>61</v>
      </c>
      <c r="C163" s="157">
        <v>0</v>
      </c>
    </row>
    <row r="164" spans="1:3" x14ac:dyDescent="0.25">
      <c r="A164" t="s">
        <v>34</v>
      </c>
      <c r="B164" t="s">
        <v>60</v>
      </c>
      <c r="C164" s="157">
        <v>0</v>
      </c>
    </row>
    <row r="165" spans="1:3" x14ac:dyDescent="0.25">
      <c r="A165" t="s">
        <v>34</v>
      </c>
      <c r="B165" s="16" t="s">
        <v>59</v>
      </c>
      <c r="C165" s="157">
        <v>1239737.7399999998</v>
      </c>
    </row>
    <row r="166" spans="1:3" x14ac:dyDescent="0.25">
      <c r="A166" t="s">
        <v>34</v>
      </c>
      <c r="B166" s="16" t="s">
        <v>58</v>
      </c>
      <c r="C166" s="157">
        <v>-1295823.47</v>
      </c>
    </row>
    <row r="167" spans="1:3" x14ac:dyDescent="0.25">
      <c r="A167" t="s">
        <v>34</v>
      </c>
      <c r="B167" t="s">
        <v>57</v>
      </c>
      <c r="C167" s="157">
        <v>1138604.3500000001</v>
      </c>
    </row>
    <row r="168" spans="1:3" x14ac:dyDescent="0.25">
      <c r="A168" t="s">
        <v>34</v>
      </c>
      <c r="B168" t="s">
        <v>56</v>
      </c>
      <c r="C168" s="157">
        <v>0</v>
      </c>
    </row>
    <row r="169" spans="1:3" x14ac:dyDescent="0.25">
      <c r="A169" t="s">
        <v>34</v>
      </c>
      <c r="B169" t="s">
        <v>55</v>
      </c>
      <c r="C169" s="157">
        <v>0</v>
      </c>
    </row>
    <row r="170" spans="1:3" x14ac:dyDescent="0.25">
      <c r="A170" t="s">
        <v>34</v>
      </c>
      <c r="B170" t="s">
        <v>54</v>
      </c>
      <c r="C170" s="157">
        <v>0</v>
      </c>
    </row>
    <row r="171" spans="1:3" x14ac:dyDescent="0.25">
      <c r="A171" t="s">
        <v>34</v>
      </c>
      <c r="B171" t="s">
        <v>53</v>
      </c>
      <c r="C171" s="157">
        <v>0</v>
      </c>
    </row>
    <row r="172" spans="1:3" x14ac:dyDescent="0.25">
      <c r="A172" t="s">
        <v>34</v>
      </c>
      <c r="B172" t="s">
        <v>52</v>
      </c>
      <c r="C172" s="157">
        <v>0</v>
      </c>
    </row>
    <row r="173" spans="1:3" ht="15.75" x14ac:dyDescent="0.25">
      <c r="A173" s="17" t="s">
        <v>34</v>
      </c>
      <c r="B173" s="17" t="s">
        <v>51</v>
      </c>
      <c r="C173" s="182">
        <v>1138604.3500000001</v>
      </c>
    </row>
    <row r="174" spans="1:3" x14ac:dyDescent="0.25">
      <c r="A174" t="s">
        <v>34</v>
      </c>
      <c r="B174" t="s">
        <v>50</v>
      </c>
      <c r="C174" s="157">
        <v>0</v>
      </c>
    </row>
    <row r="175" spans="1:3" x14ac:dyDescent="0.25">
      <c r="A175" t="s">
        <v>34</v>
      </c>
      <c r="B175" t="s">
        <v>49</v>
      </c>
      <c r="C175" s="157">
        <v>361769.38</v>
      </c>
    </row>
    <row r="176" spans="1:3" x14ac:dyDescent="0.25">
      <c r="A176" t="s">
        <v>34</v>
      </c>
      <c r="B176" t="s">
        <v>48</v>
      </c>
      <c r="C176" s="157">
        <v>2745.65</v>
      </c>
    </row>
    <row r="177" spans="1:3" x14ac:dyDescent="0.25">
      <c r="A177" t="s">
        <v>34</v>
      </c>
      <c r="B177" t="s">
        <v>47</v>
      </c>
      <c r="C177" s="157">
        <v>22072.78</v>
      </c>
    </row>
    <row r="178" spans="1:3" x14ac:dyDescent="0.25">
      <c r="A178" t="s">
        <v>34</v>
      </c>
      <c r="B178" t="s">
        <v>46</v>
      </c>
      <c r="C178" s="157">
        <v>10340.6</v>
      </c>
    </row>
    <row r="179" spans="1:3" x14ac:dyDescent="0.25">
      <c r="A179" t="s">
        <v>34</v>
      </c>
      <c r="B179" t="s">
        <v>45</v>
      </c>
      <c r="C179" s="157">
        <v>0</v>
      </c>
    </row>
    <row r="180" spans="1:3" x14ac:dyDescent="0.25">
      <c r="A180" t="s">
        <v>34</v>
      </c>
      <c r="B180" t="s">
        <v>44</v>
      </c>
      <c r="C180" s="157">
        <v>12101.5</v>
      </c>
    </row>
    <row r="181" spans="1:3" x14ac:dyDescent="0.25">
      <c r="A181" t="s">
        <v>34</v>
      </c>
      <c r="B181" t="s">
        <v>43</v>
      </c>
      <c r="C181" s="157">
        <v>26923.18</v>
      </c>
    </row>
    <row r="182" spans="1:3" x14ac:dyDescent="0.25">
      <c r="A182" t="s">
        <v>34</v>
      </c>
      <c r="B182" t="s">
        <v>42</v>
      </c>
      <c r="C182" s="157">
        <v>-35123.410000000003</v>
      </c>
    </row>
    <row r="183" spans="1:3" x14ac:dyDescent="0.25">
      <c r="A183" t="s">
        <v>34</v>
      </c>
      <c r="B183" t="s">
        <v>41</v>
      </c>
      <c r="C183" s="157">
        <v>39060.299999999996</v>
      </c>
    </row>
    <row r="184" spans="1:3" x14ac:dyDescent="0.25">
      <c r="A184" t="s">
        <v>34</v>
      </c>
      <c r="B184" t="s">
        <v>40</v>
      </c>
      <c r="C184" s="157">
        <v>0</v>
      </c>
    </row>
    <row r="185" spans="1:3" x14ac:dyDescent="0.25">
      <c r="A185" t="s">
        <v>34</v>
      </c>
      <c r="B185" t="s">
        <v>39</v>
      </c>
      <c r="C185" s="157">
        <v>-32026.429999999997</v>
      </c>
    </row>
    <row r="186" spans="1:3" x14ac:dyDescent="0.25">
      <c r="A186" t="s">
        <v>34</v>
      </c>
      <c r="B186" t="s">
        <v>38</v>
      </c>
      <c r="C186" s="157">
        <v>847210.74</v>
      </c>
    </row>
    <row r="187" spans="1:3" x14ac:dyDescent="0.25">
      <c r="A187" t="s">
        <v>34</v>
      </c>
      <c r="B187" t="s">
        <v>37</v>
      </c>
      <c r="C187" s="157">
        <v>1216013.99</v>
      </c>
    </row>
    <row r="188" spans="1:3" ht="15.75" x14ac:dyDescent="0.25">
      <c r="A188" s="17" t="s">
        <v>34</v>
      </c>
      <c r="B188" s="17" t="s">
        <v>36</v>
      </c>
      <c r="C188" s="182">
        <v>1216013.99</v>
      </c>
    </row>
    <row r="189" spans="1:3" x14ac:dyDescent="0.25">
      <c r="A189" t="s">
        <v>34</v>
      </c>
      <c r="B189" t="s">
        <v>35</v>
      </c>
      <c r="C189" s="157">
        <v>0</v>
      </c>
    </row>
    <row r="190" spans="1:3" ht="16.5" thickBot="1" x14ac:dyDescent="0.3">
      <c r="A190" s="17" t="s">
        <v>34</v>
      </c>
      <c r="B190" s="17" t="s">
        <v>33</v>
      </c>
      <c r="C190" s="183">
        <v>391380.27999999747</v>
      </c>
    </row>
    <row r="191" spans="1:3" ht="15.75" thickTop="1" x14ac:dyDescent="0.25"/>
  </sheetData>
  <pageMargins left="0.25" right="0.25" top="0.25" bottom="0.2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1"/>
  <sheetViews>
    <sheetView workbookViewId="0">
      <selection activeCell="C2" sqref="C2"/>
    </sheetView>
  </sheetViews>
  <sheetFormatPr defaultRowHeight="15" x14ac:dyDescent="0.25"/>
  <cols>
    <col min="2" max="2" width="36.85546875" customWidth="1"/>
    <col min="3" max="3" width="18.5703125" customWidth="1"/>
  </cols>
  <sheetData>
    <row r="1" spans="1:3" x14ac:dyDescent="0.25">
      <c r="B1" s="22" t="s">
        <v>226</v>
      </c>
      <c r="C1" s="18" t="s">
        <v>225</v>
      </c>
    </row>
    <row r="2" spans="1:3" x14ac:dyDescent="0.25">
      <c r="B2" s="21" t="s">
        <v>224</v>
      </c>
      <c r="C2" s="18" t="s">
        <v>223</v>
      </c>
    </row>
    <row r="3" spans="1:3" x14ac:dyDescent="0.25">
      <c r="B3" s="20" t="s">
        <v>222</v>
      </c>
      <c r="C3" s="16" t="s">
        <v>221</v>
      </c>
    </row>
    <row r="4" spans="1:3" ht="45" x14ac:dyDescent="0.25">
      <c r="C4" s="19" t="s">
        <v>220</v>
      </c>
    </row>
    <row r="5" spans="1:3" x14ac:dyDescent="0.25">
      <c r="A5" t="s">
        <v>34</v>
      </c>
      <c r="B5" s="18" t="s">
        <v>219</v>
      </c>
      <c r="C5" s="92">
        <v>4442715.16</v>
      </c>
    </row>
    <row r="6" spans="1:3" x14ac:dyDescent="0.25">
      <c r="A6" t="s">
        <v>34</v>
      </c>
      <c r="B6" t="s">
        <v>218</v>
      </c>
      <c r="C6" s="64">
        <v>375478.81</v>
      </c>
    </row>
    <row r="7" spans="1:3" x14ac:dyDescent="0.25">
      <c r="A7" s="95" t="s">
        <v>34</v>
      </c>
      <c r="B7" s="95" t="s">
        <v>217</v>
      </c>
      <c r="C7" s="96">
        <v>4067236.35</v>
      </c>
    </row>
    <row r="8" spans="1:3" x14ac:dyDescent="0.25">
      <c r="A8" t="s">
        <v>34</v>
      </c>
      <c r="B8" s="16" t="s">
        <v>216</v>
      </c>
      <c r="C8" s="64">
        <v>0</v>
      </c>
    </row>
    <row r="9" spans="1:3" x14ac:dyDescent="0.25">
      <c r="A9" t="s">
        <v>34</v>
      </c>
      <c r="B9" s="16" t="s">
        <v>215</v>
      </c>
      <c r="C9" s="64">
        <v>35773.969999999994</v>
      </c>
    </row>
    <row r="10" spans="1:3" x14ac:dyDescent="0.25">
      <c r="A10" t="s">
        <v>34</v>
      </c>
      <c r="B10" s="16" t="s">
        <v>214</v>
      </c>
      <c r="C10" s="64">
        <v>0</v>
      </c>
    </row>
    <row r="11" spans="1:3" x14ac:dyDescent="0.25">
      <c r="A11" t="s">
        <v>34</v>
      </c>
      <c r="B11" s="16" t="s">
        <v>213</v>
      </c>
      <c r="C11" s="64">
        <v>183497.46</v>
      </c>
    </row>
    <row r="12" spans="1:3" x14ac:dyDescent="0.25">
      <c r="A12" t="s">
        <v>34</v>
      </c>
      <c r="B12" s="16" t="s">
        <v>212</v>
      </c>
      <c r="C12" s="64">
        <v>523696.93000000005</v>
      </c>
    </row>
    <row r="13" spans="1:3" x14ac:dyDescent="0.25">
      <c r="A13" t="s">
        <v>34</v>
      </c>
      <c r="B13" s="16" t="s">
        <v>211</v>
      </c>
      <c r="C13" s="64">
        <v>0</v>
      </c>
    </row>
    <row r="14" spans="1:3" x14ac:dyDescent="0.25">
      <c r="A14" t="s">
        <v>34</v>
      </c>
      <c r="B14" t="s">
        <v>210</v>
      </c>
      <c r="C14" s="64">
        <v>1057074.3999999999</v>
      </c>
    </row>
    <row r="15" spans="1:3" x14ac:dyDescent="0.25">
      <c r="A15" t="s">
        <v>34</v>
      </c>
      <c r="B15" t="s">
        <v>209</v>
      </c>
      <c r="C15" s="64">
        <v>0</v>
      </c>
    </row>
    <row r="16" spans="1:3" x14ac:dyDescent="0.25">
      <c r="A16" t="s">
        <v>34</v>
      </c>
      <c r="B16" t="s">
        <v>208</v>
      </c>
      <c r="C16" s="64">
        <v>0</v>
      </c>
    </row>
    <row r="17" spans="1:3" x14ac:dyDescent="0.25">
      <c r="A17" t="s">
        <v>34</v>
      </c>
      <c r="B17" t="s">
        <v>207</v>
      </c>
      <c r="C17" s="64">
        <v>70266.34</v>
      </c>
    </row>
    <row r="18" spans="1:3" x14ac:dyDescent="0.25">
      <c r="A18" t="s">
        <v>34</v>
      </c>
      <c r="B18" s="16" t="s">
        <v>206</v>
      </c>
      <c r="C18" s="64">
        <v>830.64</v>
      </c>
    </row>
    <row r="19" spans="1:3" x14ac:dyDescent="0.25">
      <c r="A19" t="s">
        <v>34</v>
      </c>
      <c r="B19" t="s">
        <v>205</v>
      </c>
      <c r="C19" s="64">
        <v>24343.84</v>
      </c>
    </row>
    <row r="20" spans="1:3" x14ac:dyDescent="0.25">
      <c r="A20" t="s">
        <v>34</v>
      </c>
      <c r="B20" s="16" t="s">
        <v>204</v>
      </c>
      <c r="C20" s="64">
        <v>138845.72</v>
      </c>
    </row>
    <row r="21" spans="1:3" x14ac:dyDescent="0.25">
      <c r="A21" t="s">
        <v>34</v>
      </c>
      <c r="B21" s="16" t="s">
        <v>203</v>
      </c>
      <c r="C21" s="64">
        <v>78548.39</v>
      </c>
    </row>
    <row r="22" spans="1:3" x14ac:dyDescent="0.25">
      <c r="A22" t="s">
        <v>34</v>
      </c>
      <c r="B22" t="s">
        <v>202</v>
      </c>
      <c r="C22" s="64">
        <v>140886.97</v>
      </c>
    </row>
    <row r="23" spans="1:3" x14ac:dyDescent="0.25">
      <c r="A23" t="s">
        <v>34</v>
      </c>
      <c r="B23" t="s">
        <v>201</v>
      </c>
      <c r="C23" s="64">
        <v>13072.9</v>
      </c>
    </row>
    <row r="24" spans="1:3" x14ac:dyDescent="0.25">
      <c r="A24" t="s">
        <v>34</v>
      </c>
      <c r="B24" t="s">
        <v>200</v>
      </c>
      <c r="C24" s="64">
        <v>0</v>
      </c>
    </row>
    <row r="25" spans="1:3" x14ac:dyDescent="0.25">
      <c r="A25" t="s">
        <v>34</v>
      </c>
      <c r="B25" t="s">
        <v>199</v>
      </c>
      <c r="C25" s="64">
        <v>4116.0200000000004</v>
      </c>
    </row>
    <row r="26" spans="1:3" x14ac:dyDescent="0.25">
      <c r="A26" t="s">
        <v>34</v>
      </c>
      <c r="B26" t="s">
        <v>198</v>
      </c>
      <c r="C26" s="64">
        <v>0</v>
      </c>
    </row>
    <row r="27" spans="1:3" x14ac:dyDescent="0.25">
      <c r="A27" t="s">
        <v>34</v>
      </c>
      <c r="B27" s="16" t="s">
        <v>197</v>
      </c>
      <c r="C27" s="64">
        <v>2268066.08</v>
      </c>
    </row>
    <row r="28" spans="1:3" x14ac:dyDescent="0.25">
      <c r="A28" t="s">
        <v>34</v>
      </c>
      <c r="B28" t="s">
        <v>196</v>
      </c>
      <c r="C28" s="64">
        <v>-2268066.08</v>
      </c>
    </row>
    <row r="29" spans="1:3" ht="15.75" x14ac:dyDescent="0.25">
      <c r="A29" s="17" t="s">
        <v>34</v>
      </c>
      <c r="B29" s="17" t="s">
        <v>195</v>
      </c>
      <c r="C29" s="93">
        <v>2270953.58</v>
      </c>
    </row>
    <row r="30" spans="1:3" x14ac:dyDescent="0.25">
      <c r="A30" t="s">
        <v>34</v>
      </c>
      <c r="B30" s="16" t="s">
        <v>194</v>
      </c>
      <c r="C30" s="64">
        <v>83824.47</v>
      </c>
    </row>
    <row r="31" spans="1:3" x14ac:dyDescent="0.25">
      <c r="A31" t="s">
        <v>34</v>
      </c>
      <c r="B31" s="16" t="s">
        <v>193</v>
      </c>
      <c r="C31" s="64">
        <v>0</v>
      </c>
    </row>
    <row r="32" spans="1:3" x14ac:dyDescent="0.25">
      <c r="A32" t="s">
        <v>34</v>
      </c>
      <c r="B32" t="s">
        <v>192</v>
      </c>
      <c r="C32" s="64">
        <v>0</v>
      </c>
    </row>
    <row r="33" spans="1:3" x14ac:dyDescent="0.25">
      <c r="A33" t="s">
        <v>34</v>
      </c>
      <c r="B33" t="s">
        <v>191</v>
      </c>
      <c r="C33" s="64">
        <v>0</v>
      </c>
    </row>
    <row r="34" spans="1:3" x14ac:dyDescent="0.25">
      <c r="A34" t="s">
        <v>34</v>
      </c>
      <c r="B34" t="s">
        <v>190</v>
      </c>
      <c r="C34" s="64">
        <v>12043.57</v>
      </c>
    </row>
    <row r="35" spans="1:3" x14ac:dyDescent="0.25">
      <c r="A35" t="s">
        <v>34</v>
      </c>
      <c r="B35" t="s">
        <v>189</v>
      </c>
      <c r="C35" s="64">
        <v>8003.07</v>
      </c>
    </row>
    <row r="36" spans="1:3" x14ac:dyDescent="0.25">
      <c r="A36" t="s">
        <v>34</v>
      </c>
      <c r="B36" s="16" t="s">
        <v>188</v>
      </c>
      <c r="C36" s="64">
        <v>0</v>
      </c>
    </row>
    <row r="37" spans="1:3" x14ac:dyDescent="0.25">
      <c r="A37" t="s">
        <v>34</v>
      </c>
      <c r="B37" t="s">
        <v>187</v>
      </c>
      <c r="C37" s="64">
        <v>0</v>
      </c>
    </row>
    <row r="38" spans="1:3" x14ac:dyDescent="0.25">
      <c r="A38" t="s">
        <v>34</v>
      </c>
      <c r="B38" s="16" t="s">
        <v>186</v>
      </c>
      <c r="C38" s="64">
        <v>2919.93</v>
      </c>
    </row>
    <row r="39" spans="1:3" x14ac:dyDescent="0.25">
      <c r="A39" t="s">
        <v>34</v>
      </c>
      <c r="B39" s="16" t="s">
        <v>185</v>
      </c>
      <c r="C39" s="64">
        <v>0</v>
      </c>
    </row>
    <row r="40" spans="1:3" x14ac:dyDescent="0.25">
      <c r="A40" t="s">
        <v>34</v>
      </c>
      <c r="B40" t="s">
        <v>184</v>
      </c>
      <c r="C40" s="64">
        <v>6542.65</v>
      </c>
    </row>
    <row r="41" spans="1:3" x14ac:dyDescent="0.25">
      <c r="A41" t="s">
        <v>34</v>
      </c>
      <c r="B41" t="s">
        <v>183</v>
      </c>
      <c r="C41" s="64">
        <v>3363.47</v>
      </c>
    </row>
    <row r="42" spans="1:3" x14ac:dyDescent="0.25">
      <c r="A42" t="s">
        <v>34</v>
      </c>
      <c r="B42" t="s">
        <v>182</v>
      </c>
      <c r="C42" s="64">
        <v>0</v>
      </c>
    </row>
    <row r="43" spans="1:3" x14ac:dyDescent="0.25">
      <c r="A43" t="s">
        <v>34</v>
      </c>
      <c r="B43" t="s">
        <v>181</v>
      </c>
      <c r="C43" s="64">
        <v>0</v>
      </c>
    </row>
    <row r="44" spans="1:3" x14ac:dyDescent="0.25">
      <c r="A44" t="s">
        <v>34</v>
      </c>
      <c r="B44" s="16" t="s">
        <v>180</v>
      </c>
      <c r="C44" s="64">
        <v>119584.66</v>
      </c>
    </row>
    <row r="45" spans="1:3" x14ac:dyDescent="0.25">
      <c r="A45" t="s">
        <v>34</v>
      </c>
      <c r="B45" t="s">
        <v>179</v>
      </c>
      <c r="C45" s="64">
        <v>-119584.66</v>
      </c>
    </row>
    <row r="46" spans="1:3" ht="15.75" x14ac:dyDescent="0.25">
      <c r="A46" s="17" t="s">
        <v>34</v>
      </c>
      <c r="B46" s="17" t="s">
        <v>178</v>
      </c>
      <c r="C46" s="93">
        <v>116697.16</v>
      </c>
    </row>
    <row r="47" spans="1:3" x14ac:dyDescent="0.25">
      <c r="A47" t="s">
        <v>34</v>
      </c>
      <c r="B47" t="s">
        <v>177</v>
      </c>
      <c r="C47" s="64">
        <v>0</v>
      </c>
    </row>
    <row r="48" spans="1:3" x14ac:dyDescent="0.25">
      <c r="A48" t="s">
        <v>34</v>
      </c>
      <c r="B48" t="s">
        <v>176</v>
      </c>
      <c r="C48" s="64">
        <v>0</v>
      </c>
    </row>
    <row r="49" spans="1:3" x14ac:dyDescent="0.25">
      <c r="A49" t="s">
        <v>34</v>
      </c>
      <c r="B49" s="16" t="s">
        <v>175</v>
      </c>
      <c r="C49" s="64">
        <v>38452.99</v>
      </c>
    </row>
    <row r="50" spans="1:3" x14ac:dyDescent="0.25">
      <c r="A50" t="s">
        <v>34</v>
      </c>
      <c r="B50" t="s">
        <v>174</v>
      </c>
      <c r="C50" s="64">
        <v>0</v>
      </c>
    </row>
    <row r="51" spans="1:3" x14ac:dyDescent="0.25">
      <c r="A51" t="s">
        <v>34</v>
      </c>
      <c r="B51" t="s">
        <v>173</v>
      </c>
      <c r="C51" s="64">
        <v>0</v>
      </c>
    </row>
    <row r="52" spans="1:3" x14ac:dyDescent="0.25">
      <c r="A52" t="s">
        <v>34</v>
      </c>
      <c r="B52" t="s">
        <v>172</v>
      </c>
      <c r="C52" s="64">
        <v>66755.92</v>
      </c>
    </row>
    <row r="53" spans="1:3" x14ac:dyDescent="0.25">
      <c r="A53" t="s">
        <v>34</v>
      </c>
      <c r="B53" t="s">
        <v>171</v>
      </c>
      <c r="C53" s="64">
        <v>0</v>
      </c>
    </row>
    <row r="54" spans="1:3" x14ac:dyDescent="0.25">
      <c r="A54" t="s">
        <v>34</v>
      </c>
      <c r="B54" t="s">
        <v>170</v>
      </c>
      <c r="C54" s="64">
        <v>0</v>
      </c>
    </row>
    <row r="55" spans="1:3" x14ac:dyDescent="0.25">
      <c r="A55" t="s">
        <v>34</v>
      </c>
      <c r="B55" s="16" t="s">
        <v>169</v>
      </c>
      <c r="C55" s="64">
        <v>0</v>
      </c>
    </row>
    <row r="56" spans="1:3" x14ac:dyDescent="0.25">
      <c r="A56" t="s">
        <v>34</v>
      </c>
      <c r="B56" t="s">
        <v>168</v>
      </c>
      <c r="C56" s="64">
        <v>0</v>
      </c>
    </row>
    <row r="57" spans="1:3" x14ac:dyDescent="0.25">
      <c r="A57" t="s">
        <v>34</v>
      </c>
      <c r="B57" t="s">
        <v>167</v>
      </c>
      <c r="C57" s="64">
        <v>0</v>
      </c>
    </row>
    <row r="58" spans="1:3" x14ac:dyDescent="0.25">
      <c r="A58" t="s">
        <v>34</v>
      </c>
      <c r="B58" t="s">
        <v>166</v>
      </c>
      <c r="C58" s="64">
        <v>43652.13</v>
      </c>
    </row>
    <row r="59" spans="1:3" x14ac:dyDescent="0.25">
      <c r="A59" t="s">
        <v>34</v>
      </c>
      <c r="B59" t="s">
        <v>165</v>
      </c>
      <c r="C59" s="64">
        <v>0</v>
      </c>
    </row>
    <row r="60" spans="1:3" x14ac:dyDescent="0.25">
      <c r="A60" t="s">
        <v>34</v>
      </c>
      <c r="B60" t="s">
        <v>164</v>
      </c>
      <c r="C60" s="64">
        <v>0</v>
      </c>
    </row>
    <row r="61" spans="1:3" x14ac:dyDescent="0.25">
      <c r="A61" t="s">
        <v>34</v>
      </c>
      <c r="B61" t="s">
        <v>163</v>
      </c>
      <c r="C61" s="64">
        <v>0</v>
      </c>
    </row>
    <row r="62" spans="1:3" x14ac:dyDescent="0.25">
      <c r="A62" t="s">
        <v>34</v>
      </c>
      <c r="B62" t="s">
        <v>162</v>
      </c>
      <c r="C62" s="64">
        <v>0</v>
      </c>
    </row>
    <row r="63" spans="1:3" x14ac:dyDescent="0.25">
      <c r="A63" t="s">
        <v>34</v>
      </c>
      <c r="B63" t="s">
        <v>161</v>
      </c>
      <c r="C63" s="64">
        <v>30.509999999999998</v>
      </c>
    </row>
    <row r="64" spans="1:3" x14ac:dyDescent="0.25">
      <c r="A64" t="s">
        <v>34</v>
      </c>
      <c r="B64" t="s">
        <v>160</v>
      </c>
      <c r="C64" s="64">
        <v>14292.85</v>
      </c>
    </row>
    <row r="65" spans="1:3" x14ac:dyDescent="0.25">
      <c r="A65" t="s">
        <v>34</v>
      </c>
      <c r="B65" t="s">
        <v>159</v>
      </c>
      <c r="C65" s="64">
        <v>0</v>
      </c>
    </row>
    <row r="66" spans="1:3" x14ac:dyDescent="0.25">
      <c r="A66" t="s">
        <v>34</v>
      </c>
      <c r="B66" s="16" t="s">
        <v>158</v>
      </c>
      <c r="C66" s="64">
        <v>193259.69999999998</v>
      </c>
    </row>
    <row r="67" spans="1:3" x14ac:dyDescent="0.25">
      <c r="A67" t="s">
        <v>34</v>
      </c>
      <c r="B67" s="16" t="s">
        <v>157</v>
      </c>
      <c r="C67" s="64">
        <v>-179504.15</v>
      </c>
    </row>
    <row r="68" spans="1:3" ht="15.75" x14ac:dyDescent="0.25">
      <c r="A68" s="17" t="s">
        <v>34</v>
      </c>
      <c r="B68" s="17" t="s">
        <v>156</v>
      </c>
      <c r="C68" s="93">
        <v>176939.94999999998</v>
      </c>
    </row>
    <row r="69" spans="1:3" x14ac:dyDescent="0.25">
      <c r="A69" t="s">
        <v>34</v>
      </c>
      <c r="B69" t="s">
        <v>155</v>
      </c>
      <c r="C69" s="64">
        <v>180307.79</v>
      </c>
    </row>
    <row r="70" spans="1:3" x14ac:dyDescent="0.25">
      <c r="A70" t="s">
        <v>34</v>
      </c>
      <c r="B70" t="s">
        <v>154</v>
      </c>
      <c r="C70" s="64">
        <v>0</v>
      </c>
    </row>
    <row r="71" spans="1:3" x14ac:dyDescent="0.25">
      <c r="A71" t="s">
        <v>34</v>
      </c>
      <c r="B71" t="s">
        <v>153</v>
      </c>
      <c r="C71" s="64">
        <v>0</v>
      </c>
    </row>
    <row r="72" spans="1:3" x14ac:dyDescent="0.25">
      <c r="A72" t="s">
        <v>34</v>
      </c>
      <c r="B72" t="s">
        <v>152</v>
      </c>
      <c r="C72" s="64">
        <v>7674.5599999999995</v>
      </c>
    </row>
    <row r="73" spans="1:3" x14ac:dyDescent="0.25">
      <c r="A73" t="s">
        <v>34</v>
      </c>
      <c r="B73" t="s">
        <v>151</v>
      </c>
      <c r="C73" s="64">
        <v>35473.32</v>
      </c>
    </row>
    <row r="74" spans="1:3" x14ac:dyDescent="0.25">
      <c r="A74" t="s">
        <v>34</v>
      </c>
      <c r="B74" t="s">
        <v>150</v>
      </c>
      <c r="C74" s="64">
        <v>2338.39</v>
      </c>
    </row>
    <row r="75" spans="1:3" x14ac:dyDescent="0.25">
      <c r="A75" t="s">
        <v>34</v>
      </c>
      <c r="B75" t="s">
        <v>149</v>
      </c>
      <c r="C75" s="64">
        <v>0</v>
      </c>
    </row>
    <row r="76" spans="1:3" x14ac:dyDescent="0.25">
      <c r="A76" t="s">
        <v>34</v>
      </c>
      <c r="B76" t="s">
        <v>148</v>
      </c>
      <c r="C76" s="64">
        <v>0</v>
      </c>
    </row>
    <row r="77" spans="1:3" x14ac:dyDescent="0.25">
      <c r="A77" t="s">
        <v>34</v>
      </c>
      <c r="B77" s="16" t="s">
        <v>147</v>
      </c>
      <c r="C77" s="64">
        <v>0</v>
      </c>
    </row>
    <row r="78" spans="1:3" x14ac:dyDescent="0.25">
      <c r="A78" t="s">
        <v>34</v>
      </c>
      <c r="B78" t="s">
        <v>146</v>
      </c>
      <c r="C78" s="64">
        <v>0</v>
      </c>
    </row>
    <row r="79" spans="1:3" x14ac:dyDescent="0.25">
      <c r="A79" t="s">
        <v>34</v>
      </c>
      <c r="B79" t="s">
        <v>145</v>
      </c>
      <c r="C79" s="64">
        <v>49544.14</v>
      </c>
    </row>
    <row r="80" spans="1:3" x14ac:dyDescent="0.25">
      <c r="A80" t="s">
        <v>34</v>
      </c>
      <c r="B80" t="s">
        <v>144</v>
      </c>
      <c r="C80" s="64">
        <v>29166.02</v>
      </c>
    </row>
    <row r="81" spans="1:3" x14ac:dyDescent="0.25">
      <c r="A81" t="s">
        <v>34</v>
      </c>
      <c r="B81" t="s">
        <v>143</v>
      </c>
      <c r="C81" s="64">
        <v>0</v>
      </c>
    </row>
    <row r="82" spans="1:3" x14ac:dyDescent="0.25">
      <c r="A82" t="s">
        <v>34</v>
      </c>
      <c r="B82" t="s">
        <v>142</v>
      </c>
      <c r="C82" s="64">
        <v>0</v>
      </c>
    </row>
    <row r="83" spans="1:3" x14ac:dyDescent="0.25">
      <c r="A83" t="s">
        <v>34</v>
      </c>
      <c r="B83" t="s">
        <v>141</v>
      </c>
      <c r="C83" s="64">
        <v>0</v>
      </c>
    </row>
    <row r="84" spans="1:3" x14ac:dyDescent="0.25">
      <c r="A84" t="s">
        <v>34</v>
      </c>
      <c r="B84" t="s">
        <v>140</v>
      </c>
      <c r="C84" s="64">
        <v>0</v>
      </c>
    </row>
    <row r="85" spans="1:3" x14ac:dyDescent="0.25">
      <c r="A85" t="s">
        <v>34</v>
      </c>
      <c r="B85" t="s">
        <v>139</v>
      </c>
      <c r="C85" s="64">
        <v>0</v>
      </c>
    </row>
    <row r="86" spans="1:3" x14ac:dyDescent="0.25">
      <c r="A86" t="s">
        <v>34</v>
      </c>
      <c r="B86" t="s">
        <v>138</v>
      </c>
      <c r="C86" s="64">
        <v>0</v>
      </c>
    </row>
    <row r="87" spans="1:3" x14ac:dyDescent="0.25">
      <c r="A87" t="s">
        <v>34</v>
      </c>
      <c r="B87" t="s">
        <v>137</v>
      </c>
      <c r="C87" s="64">
        <v>0</v>
      </c>
    </row>
    <row r="88" spans="1:3" x14ac:dyDescent="0.25">
      <c r="A88" t="s">
        <v>34</v>
      </c>
      <c r="B88" s="16" t="s">
        <v>136</v>
      </c>
      <c r="C88" s="64">
        <v>0</v>
      </c>
    </row>
    <row r="89" spans="1:3" x14ac:dyDescent="0.25">
      <c r="A89" t="s">
        <v>34</v>
      </c>
      <c r="B89" s="16" t="s">
        <v>135</v>
      </c>
      <c r="C89" s="64">
        <v>360721.47000000003</v>
      </c>
    </row>
    <row r="90" spans="1:3" x14ac:dyDescent="0.25">
      <c r="A90" t="s">
        <v>34</v>
      </c>
      <c r="B90" s="16" t="s">
        <v>134</v>
      </c>
      <c r="C90" s="64">
        <v>663578.41</v>
      </c>
    </row>
    <row r="91" spans="1:3" x14ac:dyDescent="0.25">
      <c r="A91" t="s">
        <v>34</v>
      </c>
      <c r="B91" s="16" t="s">
        <v>133</v>
      </c>
      <c r="C91" s="64">
        <v>-668239.32999999996</v>
      </c>
    </row>
    <row r="92" spans="1:3" ht="15.75" x14ac:dyDescent="0.25">
      <c r="A92" s="17" t="s">
        <v>34</v>
      </c>
      <c r="B92" s="17" t="s">
        <v>132</v>
      </c>
      <c r="C92" s="93">
        <v>660564.77000000014</v>
      </c>
    </row>
    <row r="93" spans="1:3" x14ac:dyDescent="0.25">
      <c r="A93" t="s">
        <v>34</v>
      </c>
      <c r="B93" t="s">
        <v>131</v>
      </c>
      <c r="C93" s="64">
        <v>0</v>
      </c>
    </row>
    <row r="94" spans="1:3" x14ac:dyDescent="0.25">
      <c r="A94" t="s">
        <v>34</v>
      </c>
      <c r="B94" t="s">
        <v>130</v>
      </c>
      <c r="C94" s="64">
        <v>0</v>
      </c>
    </row>
    <row r="95" spans="1:3" x14ac:dyDescent="0.25">
      <c r="A95" t="s">
        <v>34</v>
      </c>
      <c r="B95" t="s">
        <v>129</v>
      </c>
      <c r="C95" s="64">
        <v>0</v>
      </c>
    </row>
    <row r="96" spans="1:3" x14ac:dyDescent="0.25">
      <c r="A96" t="s">
        <v>34</v>
      </c>
      <c r="B96" t="s">
        <v>128</v>
      </c>
      <c r="C96" s="64">
        <v>697.41</v>
      </c>
    </row>
    <row r="97" spans="1:3" x14ac:dyDescent="0.25">
      <c r="A97" t="s">
        <v>34</v>
      </c>
      <c r="B97" s="16" t="s">
        <v>127</v>
      </c>
      <c r="C97" s="64">
        <v>0</v>
      </c>
    </row>
    <row r="98" spans="1:3" x14ac:dyDescent="0.25">
      <c r="A98" t="s">
        <v>34</v>
      </c>
      <c r="B98" s="16" t="s">
        <v>126</v>
      </c>
      <c r="C98" s="64">
        <v>0</v>
      </c>
    </row>
    <row r="99" spans="1:3" x14ac:dyDescent="0.25">
      <c r="A99" t="s">
        <v>34</v>
      </c>
      <c r="B99" t="s">
        <v>125</v>
      </c>
      <c r="C99" s="64">
        <v>53079.770000000004</v>
      </c>
    </row>
    <row r="100" spans="1:3" x14ac:dyDescent="0.25">
      <c r="A100" t="s">
        <v>34</v>
      </c>
      <c r="B100" t="s">
        <v>124</v>
      </c>
      <c r="C100" s="64">
        <v>19458.57</v>
      </c>
    </row>
    <row r="101" spans="1:3" x14ac:dyDescent="0.25">
      <c r="A101" t="s">
        <v>34</v>
      </c>
      <c r="B101" t="s">
        <v>123</v>
      </c>
      <c r="C101" s="64">
        <v>0</v>
      </c>
    </row>
    <row r="102" spans="1:3" x14ac:dyDescent="0.25">
      <c r="A102" t="s">
        <v>34</v>
      </c>
      <c r="B102" s="16" t="s">
        <v>122</v>
      </c>
      <c r="C102" s="64">
        <v>0</v>
      </c>
    </row>
    <row r="103" spans="1:3" x14ac:dyDescent="0.25">
      <c r="A103" t="s">
        <v>34</v>
      </c>
      <c r="B103" s="16" t="s">
        <v>121</v>
      </c>
      <c r="C103" s="64">
        <v>0</v>
      </c>
    </row>
    <row r="104" spans="1:3" x14ac:dyDescent="0.25">
      <c r="A104" t="s">
        <v>34</v>
      </c>
      <c r="B104" t="s">
        <v>120</v>
      </c>
      <c r="C104" s="64">
        <v>0</v>
      </c>
    </row>
    <row r="105" spans="1:3" x14ac:dyDescent="0.25">
      <c r="A105" t="s">
        <v>34</v>
      </c>
      <c r="B105" s="16" t="s">
        <v>119</v>
      </c>
      <c r="C105" s="64">
        <v>0</v>
      </c>
    </row>
    <row r="106" spans="1:3" x14ac:dyDescent="0.25">
      <c r="A106" t="s">
        <v>34</v>
      </c>
      <c r="B106" t="s">
        <v>118</v>
      </c>
      <c r="C106" s="64">
        <v>0</v>
      </c>
    </row>
    <row r="107" spans="1:3" x14ac:dyDescent="0.25">
      <c r="A107" t="s">
        <v>34</v>
      </c>
      <c r="B107" t="s">
        <v>117</v>
      </c>
      <c r="C107" s="64">
        <v>0</v>
      </c>
    </row>
    <row r="108" spans="1:3" x14ac:dyDescent="0.25">
      <c r="A108" t="s">
        <v>34</v>
      </c>
      <c r="B108" t="s">
        <v>116</v>
      </c>
      <c r="C108" s="64">
        <v>0</v>
      </c>
    </row>
    <row r="109" spans="1:3" x14ac:dyDescent="0.25">
      <c r="A109" t="s">
        <v>34</v>
      </c>
      <c r="B109" t="s">
        <v>115</v>
      </c>
      <c r="C109" s="64">
        <v>0</v>
      </c>
    </row>
    <row r="110" spans="1:3" x14ac:dyDescent="0.25">
      <c r="A110" t="s">
        <v>34</v>
      </c>
      <c r="B110" t="s">
        <v>114</v>
      </c>
      <c r="C110" s="64">
        <v>0</v>
      </c>
    </row>
    <row r="111" spans="1:3" x14ac:dyDescent="0.25">
      <c r="A111" t="s">
        <v>34</v>
      </c>
      <c r="B111" t="s">
        <v>113</v>
      </c>
      <c r="C111" s="64">
        <v>0</v>
      </c>
    </row>
    <row r="112" spans="1:3" x14ac:dyDescent="0.25">
      <c r="A112" t="s">
        <v>34</v>
      </c>
      <c r="B112" t="s">
        <v>112</v>
      </c>
      <c r="C112" s="64">
        <v>0</v>
      </c>
    </row>
    <row r="113" spans="1:3" x14ac:dyDescent="0.25">
      <c r="A113" t="s">
        <v>34</v>
      </c>
      <c r="B113" t="s">
        <v>111</v>
      </c>
      <c r="C113" s="64">
        <v>1094.1599999999999</v>
      </c>
    </row>
    <row r="114" spans="1:3" x14ac:dyDescent="0.25">
      <c r="A114" t="s">
        <v>34</v>
      </c>
      <c r="B114" t="s">
        <v>110</v>
      </c>
      <c r="C114" s="64">
        <v>544.87</v>
      </c>
    </row>
    <row r="115" spans="1:3" x14ac:dyDescent="0.25">
      <c r="A115" t="s">
        <v>34</v>
      </c>
      <c r="B115" t="s">
        <v>109</v>
      </c>
      <c r="C115" s="64">
        <v>20637.96</v>
      </c>
    </row>
    <row r="116" spans="1:3" x14ac:dyDescent="0.25">
      <c r="A116" t="s">
        <v>34</v>
      </c>
      <c r="B116" t="s">
        <v>108</v>
      </c>
      <c r="C116" s="64">
        <v>13105.18</v>
      </c>
    </row>
    <row r="117" spans="1:3" x14ac:dyDescent="0.25">
      <c r="A117" t="s">
        <v>34</v>
      </c>
      <c r="B117" t="s">
        <v>107</v>
      </c>
      <c r="C117" s="64">
        <v>0</v>
      </c>
    </row>
    <row r="118" spans="1:3" x14ac:dyDescent="0.25">
      <c r="A118" t="s">
        <v>34</v>
      </c>
      <c r="B118" t="s">
        <v>106</v>
      </c>
      <c r="C118" s="64">
        <v>0</v>
      </c>
    </row>
    <row r="119" spans="1:3" x14ac:dyDescent="0.25">
      <c r="A119" t="s">
        <v>34</v>
      </c>
      <c r="B119" t="s">
        <v>105</v>
      </c>
      <c r="C119" s="64">
        <v>0</v>
      </c>
    </row>
    <row r="120" spans="1:3" x14ac:dyDescent="0.25">
      <c r="A120" t="s">
        <v>34</v>
      </c>
      <c r="B120" t="s">
        <v>104</v>
      </c>
      <c r="C120" s="64">
        <v>0</v>
      </c>
    </row>
    <row r="121" spans="1:3" x14ac:dyDescent="0.25">
      <c r="A121" t="s">
        <v>34</v>
      </c>
      <c r="B121" s="16" t="s">
        <v>103</v>
      </c>
      <c r="C121" s="64">
        <v>113206.32999999999</v>
      </c>
    </row>
    <row r="122" spans="1:3" x14ac:dyDescent="0.25">
      <c r="A122" t="s">
        <v>34</v>
      </c>
      <c r="B122" s="16" t="s">
        <v>102</v>
      </c>
      <c r="C122" s="64">
        <v>-111939.59</v>
      </c>
    </row>
    <row r="123" spans="1:3" ht="15.75" x14ac:dyDescent="0.25">
      <c r="A123" s="17" t="s">
        <v>34</v>
      </c>
      <c r="B123" s="17" t="s">
        <v>101</v>
      </c>
      <c r="C123" s="93">
        <v>109884.65999999997</v>
      </c>
    </row>
    <row r="124" spans="1:3" x14ac:dyDescent="0.25">
      <c r="A124" t="s">
        <v>34</v>
      </c>
      <c r="B124" t="s">
        <v>100</v>
      </c>
      <c r="C124" s="64">
        <v>15275.9</v>
      </c>
    </row>
    <row r="125" spans="1:3" x14ac:dyDescent="0.25">
      <c r="A125" t="s">
        <v>34</v>
      </c>
      <c r="B125" s="16" t="s">
        <v>99</v>
      </c>
      <c r="C125" s="64">
        <v>139898.45000000001</v>
      </c>
    </row>
    <row r="126" spans="1:3" x14ac:dyDescent="0.25">
      <c r="A126" t="s">
        <v>34</v>
      </c>
      <c r="B126" t="s">
        <v>98</v>
      </c>
      <c r="C126" s="64">
        <v>28127.84</v>
      </c>
    </row>
    <row r="127" spans="1:3" x14ac:dyDescent="0.25">
      <c r="A127" t="s">
        <v>34</v>
      </c>
      <c r="B127" t="s">
        <v>97</v>
      </c>
      <c r="C127" s="64">
        <v>8768.4600000000009</v>
      </c>
    </row>
    <row r="128" spans="1:3" x14ac:dyDescent="0.25">
      <c r="A128" t="s">
        <v>34</v>
      </c>
      <c r="B128" t="s">
        <v>96</v>
      </c>
      <c r="C128" s="64">
        <v>177829.06</v>
      </c>
    </row>
    <row r="129" spans="1:3" x14ac:dyDescent="0.25">
      <c r="A129" t="s">
        <v>34</v>
      </c>
      <c r="B129" t="s">
        <v>95</v>
      </c>
      <c r="C129" s="64">
        <v>37594.26</v>
      </c>
    </row>
    <row r="130" spans="1:3" x14ac:dyDescent="0.25">
      <c r="A130" t="s">
        <v>34</v>
      </c>
      <c r="B130" t="s">
        <v>94</v>
      </c>
      <c r="C130" s="64">
        <v>4300.51</v>
      </c>
    </row>
    <row r="131" spans="1:3" x14ac:dyDescent="0.25">
      <c r="A131" t="s">
        <v>34</v>
      </c>
      <c r="B131" t="s">
        <v>93</v>
      </c>
      <c r="C131" s="64">
        <v>6127.9</v>
      </c>
    </row>
    <row r="132" spans="1:3" x14ac:dyDescent="0.25">
      <c r="A132" t="s">
        <v>34</v>
      </c>
      <c r="B132" t="s">
        <v>92</v>
      </c>
      <c r="C132" s="64">
        <v>0</v>
      </c>
    </row>
    <row r="133" spans="1:3" x14ac:dyDescent="0.25">
      <c r="A133" t="s">
        <v>34</v>
      </c>
      <c r="B133" s="16" t="s">
        <v>91</v>
      </c>
      <c r="C133" s="64">
        <v>611212.74</v>
      </c>
    </row>
    <row r="134" spans="1:3" x14ac:dyDescent="0.25">
      <c r="A134" t="s">
        <v>34</v>
      </c>
      <c r="B134" t="s">
        <v>90</v>
      </c>
      <c r="C134" s="64">
        <v>-682619.84</v>
      </c>
    </row>
    <row r="135" spans="1:3" ht="15.75" x14ac:dyDescent="0.25">
      <c r="A135" s="17" t="s">
        <v>34</v>
      </c>
      <c r="B135" s="17" t="s">
        <v>89</v>
      </c>
      <c r="C135" s="93">
        <v>346515.28</v>
      </c>
    </row>
    <row r="136" spans="1:3" x14ac:dyDescent="0.25">
      <c r="A136" t="s">
        <v>34</v>
      </c>
      <c r="B136" t="s">
        <v>88</v>
      </c>
      <c r="C136" s="64">
        <v>141810.16</v>
      </c>
    </row>
    <row r="137" spans="1:3" x14ac:dyDescent="0.25">
      <c r="A137" t="s">
        <v>34</v>
      </c>
      <c r="B137" s="16" t="s">
        <v>87</v>
      </c>
      <c r="C137" s="64">
        <v>0</v>
      </c>
    </row>
    <row r="138" spans="1:3" x14ac:dyDescent="0.25">
      <c r="A138" t="s">
        <v>34</v>
      </c>
      <c r="B138" s="16" t="s">
        <v>86</v>
      </c>
      <c r="C138" s="64">
        <v>7725.82</v>
      </c>
    </row>
    <row r="139" spans="1:3" x14ac:dyDescent="0.25">
      <c r="A139" t="s">
        <v>34</v>
      </c>
      <c r="B139" t="s">
        <v>85</v>
      </c>
      <c r="C139" s="64">
        <v>0</v>
      </c>
    </row>
    <row r="140" spans="1:3" x14ac:dyDescent="0.25">
      <c r="A140" t="s">
        <v>34</v>
      </c>
      <c r="B140" t="s">
        <v>84</v>
      </c>
      <c r="C140" s="64">
        <v>11435.23</v>
      </c>
    </row>
    <row r="141" spans="1:3" x14ac:dyDescent="0.25">
      <c r="A141" t="s">
        <v>34</v>
      </c>
      <c r="B141" t="s">
        <v>83</v>
      </c>
      <c r="C141" s="64">
        <v>0</v>
      </c>
    </row>
    <row r="142" spans="1:3" x14ac:dyDescent="0.25">
      <c r="A142" t="s">
        <v>34</v>
      </c>
      <c r="B142" t="s">
        <v>82</v>
      </c>
      <c r="C142" s="64">
        <v>0</v>
      </c>
    </row>
    <row r="143" spans="1:3" x14ac:dyDescent="0.25">
      <c r="A143" t="s">
        <v>34</v>
      </c>
      <c r="B143" t="s">
        <v>81</v>
      </c>
      <c r="C143" s="64">
        <v>0</v>
      </c>
    </row>
    <row r="144" spans="1:3" x14ac:dyDescent="0.25">
      <c r="A144" t="s">
        <v>34</v>
      </c>
      <c r="B144" t="s">
        <v>80</v>
      </c>
      <c r="C144" s="64">
        <v>9096.4600000000009</v>
      </c>
    </row>
    <row r="145" spans="1:3" x14ac:dyDescent="0.25">
      <c r="A145" t="s">
        <v>34</v>
      </c>
      <c r="B145" t="s">
        <v>79</v>
      </c>
      <c r="C145" s="64">
        <v>0</v>
      </c>
    </row>
    <row r="146" spans="1:3" x14ac:dyDescent="0.25">
      <c r="A146" t="s">
        <v>34</v>
      </c>
      <c r="B146" t="s">
        <v>78</v>
      </c>
      <c r="C146" s="64">
        <v>0</v>
      </c>
    </row>
    <row r="147" spans="1:3" x14ac:dyDescent="0.25">
      <c r="A147" t="s">
        <v>34</v>
      </c>
      <c r="B147" t="s">
        <v>77</v>
      </c>
      <c r="C147" s="64">
        <v>0</v>
      </c>
    </row>
    <row r="148" spans="1:3" x14ac:dyDescent="0.25">
      <c r="A148" t="s">
        <v>34</v>
      </c>
      <c r="B148" t="s">
        <v>76</v>
      </c>
      <c r="C148" s="64">
        <v>109.16</v>
      </c>
    </row>
    <row r="149" spans="1:3" x14ac:dyDescent="0.25">
      <c r="A149" t="s">
        <v>34</v>
      </c>
      <c r="B149" t="s">
        <v>75</v>
      </c>
      <c r="C149" s="64">
        <v>0</v>
      </c>
    </row>
    <row r="150" spans="1:3" x14ac:dyDescent="0.25">
      <c r="A150" t="s">
        <v>34</v>
      </c>
      <c r="B150" s="16" t="s">
        <v>74</v>
      </c>
      <c r="C150" s="64">
        <v>0</v>
      </c>
    </row>
    <row r="151" spans="1:3" x14ac:dyDescent="0.25">
      <c r="A151" t="s">
        <v>34</v>
      </c>
      <c r="B151" s="16" t="s">
        <v>73</v>
      </c>
      <c r="C151" s="64">
        <v>179289.27999999997</v>
      </c>
    </row>
    <row r="152" spans="1:3" x14ac:dyDescent="0.25">
      <c r="A152" t="s">
        <v>34</v>
      </c>
      <c r="B152" s="16" t="s">
        <v>72</v>
      </c>
      <c r="C152" s="64">
        <v>-182756.42</v>
      </c>
    </row>
    <row r="153" spans="1:3" ht="15.75" x14ac:dyDescent="0.25">
      <c r="A153" s="17" t="s">
        <v>34</v>
      </c>
      <c r="B153" s="17" t="s">
        <v>71</v>
      </c>
      <c r="C153" s="93">
        <v>166709.68999999997</v>
      </c>
    </row>
    <row r="154" spans="1:3" ht="15.75" x14ac:dyDescent="0.25">
      <c r="A154" s="17" t="s">
        <v>34</v>
      </c>
      <c r="B154" s="17" t="s">
        <v>70</v>
      </c>
      <c r="C154" s="93">
        <v>3848265.0900000003</v>
      </c>
    </row>
    <row r="155" spans="1:3" x14ac:dyDescent="0.25">
      <c r="A155" t="s">
        <v>34</v>
      </c>
      <c r="B155" t="s">
        <v>69</v>
      </c>
      <c r="C155" s="64">
        <v>0</v>
      </c>
    </row>
    <row r="156" spans="1:3" x14ac:dyDescent="0.25">
      <c r="A156" t="s">
        <v>34</v>
      </c>
      <c r="B156" s="16" t="s">
        <v>68</v>
      </c>
      <c r="C156" s="64">
        <v>0</v>
      </c>
    </row>
    <row r="157" spans="1:3" x14ac:dyDescent="0.25">
      <c r="A157" t="s">
        <v>34</v>
      </c>
      <c r="B157" t="s">
        <v>67</v>
      </c>
      <c r="C157" s="64">
        <v>0</v>
      </c>
    </row>
    <row r="158" spans="1:3" x14ac:dyDescent="0.25">
      <c r="A158" t="s">
        <v>34</v>
      </c>
      <c r="B158" t="s">
        <v>66</v>
      </c>
      <c r="C158" s="64">
        <v>268182.39999999997</v>
      </c>
    </row>
    <row r="159" spans="1:3" x14ac:dyDescent="0.25">
      <c r="A159" t="s">
        <v>34</v>
      </c>
      <c r="B159" t="s">
        <v>65</v>
      </c>
      <c r="C159" s="64">
        <v>0</v>
      </c>
    </row>
    <row r="160" spans="1:3" x14ac:dyDescent="0.25">
      <c r="A160" t="s">
        <v>34</v>
      </c>
      <c r="B160" s="16" t="s">
        <v>64</v>
      </c>
      <c r="C160" s="64">
        <v>76635.929999999993</v>
      </c>
    </row>
    <row r="161" spans="1:3" x14ac:dyDescent="0.25">
      <c r="A161" t="s">
        <v>34</v>
      </c>
      <c r="B161" t="s">
        <v>63</v>
      </c>
      <c r="C161" s="64">
        <v>0</v>
      </c>
    </row>
    <row r="162" spans="1:3" x14ac:dyDescent="0.25">
      <c r="A162" t="s">
        <v>34</v>
      </c>
      <c r="B162" t="s">
        <v>62</v>
      </c>
      <c r="C162" s="64">
        <v>0</v>
      </c>
    </row>
    <row r="163" spans="1:3" x14ac:dyDescent="0.25">
      <c r="A163" t="s">
        <v>34</v>
      </c>
      <c r="B163" t="s">
        <v>61</v>
      </c>
      <c r="C163" s="64">
        <v>0</v>
      </c>
    </row>
    <row r="164" spans="1:3" x14ac:dyDescent="0.25">
      <c r="A164" t="s">
        <v>34</v>
      </c>
      <c r="B164" t="s">
        <v>60</v>
      </c>
      <c r="C164" s="64">
        <v>0</v>
      </c>
    </row>
    <row r="165" spans="1:3" x14ac:dyDescent="0.25">
      <c r="A165" t="s">
        <v>34</v>
      </c>
      <c r="B165" s="16" t="s">
        <v>59</v>
      </c>
      <c r="C165" s="64">
        <v>349087.37999999995</v>
      </c>
    </row>
    <row r="166" spans="1:3" x14ac:dyDescent="0.25">
      <c r="A166" t="s">
        <v>34</v>
      </c>
      <c r="B166" s="16" t="s">
        <v>58</v>
      </c>
      <c r="C166" s="64">
        <v>-365913.10000000003</v>
      </c>
    </row>
    <row r="167" spans="1:3" x14ac:dyDescent="0.25">
      <c r="A167" t="s">
        <v>34</v>
      </c>
      <c r="B167" s="97" t="s">
        <v>57</v>
      </c>
      <c r="C167" s="98">
        <v>327992.60999999993</v>
      </c>
    </row>
    <row r="168" spans="1:3" x14ac:dyDescent="0.25">
      <c r="A168" t="s">
        <v>34</v>
      </c>
      <c r="B168" t="s">
        <v>56</v>
      </c>
      <c r="C168" s="64">
        <v>0</v>
      </c>
    </row>
    <row r="169" spans="1:3" x14ac:dyDescent="0.25">
      <c r="A169" t="s">
        <v>34</v>
      </c>
      <c r="B169" t="s">
        <v>55</v>
      </c>
      <c r="C169" s="64">
        <v>0</v>
      </c>
    </row>
    <row r="170" spans="1:3" x14ac:dyDescent="0.25">
      <c r="A170" t="s">
        <v>34</v>
      </c>
      <c r="B170" t="s">
        <v>54</v>
      </c>
      <c r="C170" s="64">
        <v>0</v>
      </c>
    </row>
    <row r="171" spans="1:3" x14ac:dyDescent="0.25">
      <c r="A171" t="s">
        <v>34</v>
      </c>
      <c r="B171" t="s">
        <v>53</v>
      </c>
      <c r="C171" s="64">
        <v>0</v>
      </c>
    </row>
    <row r="172" spans="1:3" x14ac:dyDescent="0.25">
      <c r="A172" t="s">
        <v>34</v>
      </c>
      <c r="B172" t="s">
        <v>52</v>
      </c>
      <c r="C172" s="64">
        <v>0</v>
      </c>
    </row>
    <row r="173" spans="1:3" ht="15.75" x14ac:dyDescent="0.25">
      <c r="A173" s="17" t="s">
        <v>34</v>
      </c>
      <c r="B173" s="17" t="s">
        <v>51</v>
      </c>
      <c r="C173" s="93">
        <v>327992.60999999993</v>
      </c>
    </row>
    <row r="174" spans="1:3" x14ac:dyDescent="0.25">
      <c r="A174" t="s">
        <v>34</v>
      </c>
      <c r="B174" t="s">
        <v>50</v>
      </c>
      <c r="C174" s="64">
        <v>0</v>
      </c>
    </row>
    <row r="175" spans="1:3" x14ac:dyDescent="0.25">
      <c r="A175" t="s">
        <v>34</v>
      </c>
      <c r="B175" t="s">
        <v>49</v>
      </c>
      <c r="C175" s="64">
        <v>107050.55999999998</v>
      </c>
    </row>
    <row r="176" spans="1:3" x14ac:dyDescent="0.25">
      <c r="A176" t="s">
        <v>34</v>
      </c>
      <c r="B176" t="s">
        <v>48</v>
      </c>
      <c r="C176" s="64">
        <v>539</v>
      </c>
    </row>
    <row r="177" spans="1:3" x14ac:dyDescent="0.25">
      <c r="A177" t="s">
        <v>34</v>
      </c>
      <c r="B177" t="s">
        <v>47</v>
      </c>
      <c r="C177" s="64">
        <v>6327.19</v>
      </c>
    </row>
    <row r="178" spans="1:3" x14ac:dyDescent="0.25">
      <c r="A178" t="s">
        <v>34</v>
      </c>
      <c r="B178" t="s">
        <v>46</v>
      </c>
      <c r="C178" s="64">
        <v>1680</v>
      </c>
    </row>
    <row r="179" spans="1:3" x14ac:dyDescent="0.25">
      <c r="A179" t="s">
        <v>34</v>
      </c>
      <c r="B179" t="s">
        <v>45</v>
      </c>
      <c r="C179" s="64">
        <v>0</v>
      </c>
    </row>
    <row r="180" spans="1:3" x14ac:dyDescent="0.25">
      <c r="A180" t="s">
        <v>34</v>
      </c>
      <c r="B180" t="s">
        <v>44</v>
      </c>
      <c r="C180" s="64">
        <v>727.65</v>
      </c>
    </row>
    <row r="181" spans="1:3" x14ac:dyDescent="0.25">
      <c r="A181" t="s">
        <v>34</v>
      </c>
      <c r="B181" t="s">
        <v>43</v>
      </c>
      <c r="C181" s="64">
        <v>4565.3600000000006</v>
      </c>
    </row>
    <row r="182" spans="1:3" x14ac:dyDescent="0.25">
      <c r="A182" t="s">
        <v>34</v>
      </c>
      <c r="B182" t="s">
        <v>42</v>
      </c>
      <c r="C182" s="64">
        <v>-12897.08</v>
      </c>
    </row>
    <row r="183" spans="1:3" x14ac:dyDescent="0.25">
      <c r="A183" t="s">
        <v>34</v>
      </c>
      <c r="B183" t="s">
        <v>41</v>
      </c>
      <c r="C183" s="64">
        <v>942.11999999999898</v>
      </c>
    </row>
    <row r="184" spans="1:3" x14ac:dyDescent="0.25">
      <c r="A184" t="s">
        <v>34</v>
      </c>
      <c r="B184" t="s">
        <v>40</v>
      </c>
      <c r="C184" s="64">
        <v>0</v>
      </c>
    </row>
    <row r="185" spans="1:3" x14ac:dyDescent="0.25">
      <c r="A185" t="s">
        <v>34</v>
      </c>
      <c r="B185" t="s">
        <v>39</v>
      </c>
      <c r="C185" s="64">
        <v>-34056.339999999997</v>
      </c>
    </row>
    <row r="186" spans="1:3" x14ac:dyDescent="0.25">
      <c r="A186" t="s">
        <v>34</v>
      </c>
      <c r="B186" t="s">
        <v>38</v>
      </c>
      <c r="C186" s="64">
        <v>259766.39999999999</v>
      </c>
    </row>
    <row r="187" spans="1:3" x14ac:dyDescent="0.25">
      <c r="A187" t="s">
        <v>34</v>
      </c>
      <c r="B187" t="s">
        <v>37</v>
      </c>
      <c r="C187" s="64">
        <v>333702.74</v>
      </c>
    </row>
    <row r="188" spans="1:3" ht="15.75" x14ac:dyDescent="0.25">
      <c r="A188" s="17" t="s">
        <v>34</v>
      </c>
      <c r="B188" s="17" t="s">
        <v>36</v>
      </c>
      <c r="C188" s="93">
        <v>333702.74</v>
      </c>
    </row>
    <row r="189" spans="1:3" x14ac:dyDescent="0.25">
      <c r="A189" t="s">
        <v>34</v>
      </c>
      <c r="B189" t="s">
        <v>35</v>
      </c>
      <c r="C189" s="64">
        <v>0</v>
      </c>
    </row>
    <row r="190" spans="1:3" ht="16.5" thickBot="1" x14ac:dyDescent="0.3">
      <c r="A190" s="17" t="s">
        <v>34</v>
      </c>
      <c r="B190" s="17" t="s">
        <v>33</v>
      </c>
      <c r="C190" s="94">
        <v>-442724.09000000014</v>
      </c>
    </row>
    <row r="191" spans="1:3" ht="15.75" thickTop="1" x14ac:dyDescent="0.25"/>
  </sheetData>
  <pageMargins left="0.25" right="0.25" top="0.25" bottom="0.25" header="0" footer="0"/>
  <pageSetup orientation="portrait" r:id="rId1"/>
  <customProperties>
    <customPr name="CellIDs" r:id="rId2"/>
    <customPr name="ConnName" r:id="rId3"/>
    <customPr name="ConnPOV" r:id="rId4"/>
    <customPr name="HyperionPOVXML" r:id="rId5"/>
    <customPr name="HyperionXML" r:id="rId6"/>
    <customPr name="NameConnectionMap" r:id="rId7"/>
    <customPr name="POVPosition" r:id="rId8"/>
    <customPr name="SheetHasParityContent" r:id="rId9"/>
    <customPr name="SheetOptions" r:id="rId10"/>
    <customPr name="ShowPOV" r:id="rId1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94"/>
  <sheetViews>
    <sheetView workbookViewId="0">
      <selection activeCell="R22" sqref="R22"/>
    </sheetView>
  </sheetViews>
  <sheetFormatPr defaultRowHeight="15" x14ac:dyDescent="0.25"/>
  <cols>
    <col min="1" max="1" width="12.140625" customWidth="1"/>
    <col min="2" max="2" width="36.5703125" customWidth="1"/>
    <col min="3" max="3" width="17.5703125" style="111" customWidth="1"/>
    <col min="4" max="4" width="18.140625" style="101" customWidth="1"/>
    <col min="5" max="5" width="16.140625" style="123" customWidth="1"/>
  </cols>
  <sheetData>
    <row r="1" spans="1:5" x14ac:dyDescent="0.25">
      <c r="A1" t="s">
        <v>292</v>
      </c>
    </row>
    <row r="2" spans="1:5" x14ac:dyDescent="0.25">
      <c r="A2" t="s">
        <v>293</v>
      </c>
    </row>
    <row r="3" spans="1:5" x14ac:dyDescent="0.25">
      <c r="A3" t="s">
        <v>294</v>
      </c>
    </row>
    <row r="4" spans="1:5" x14ac:dyDescent="0.25">
      <c r="A4" s="99">
        <v>43279</v>
      </c>
    </row>
    <row r="5" spans="1:5" x14ac:dyDescent="0.25">
      <c r="B5" t="s">
        <v>226</v>
      </c>
      <c r="C5" s="111" t="s">
        <v>225</v>
      </c>
      <c r="D5" s="101" t="s">
        <v>291</v>
      </c>
    </row>
    <row r="6" spans="1:5" x14ac:dyDescent="0.25">
      <c r="B6" t="s">
        <v>224</v>
      </c>
      <c r="C6" s="111" t="s">
        <v>223</v>
      </c>
      <c r="D6" s="101" t="s">
        <v>223</v>
      </c>
    </row>
    <row r="7" spans="1:5" x14ac:dyDescent="0.25">
      <c r="B7" t="s">
        <v>222</v>
      </c>
      <c r="C7" s="111" t="s">
        <v>221</v>
      </c>
      <c r="D7" s="101" t="s">
        <v>221</v>
      </c>
    </row>
    <row r="8" spans="1:5" ht="45" x14ac:dyDescent="0.25">
      <c r="C8" s="129" t="s">
        <v>220</v>
      </c>
      <c r="D8" s="125" t="s">
        <v>220</v>
      </c>
      <c r="E8" s="123" t="s">
        <v>298</v>
      </c>
    </row>
    <row r="9" spans="1:5" x14ac:dyDescent="0.25">
      <c r="A9" t="s">
        <v>34</v>
      </c>
      <c r="B9" s="18" t="s">
        <v>219</v>
      </c>
      <c r="C9" s="130">
        <v>4442715.16</v>
      </c>
      <c r="D9" s="126">
        <v>2260829</v>
      </c>
      <c r="E9" s="133">
        <f>C9-D9</f>
        <v>2181886.16</v>
      </c>
    </row>
    <row r="10" spans="1:5" x14ac:dyDescent="0.25">
      <c r="A10" t="s">
        <v>34</v>
      </c>
      <c r="B10" t="s">
        <v>218</v>
      </c>
      <c r="C10" s="130">
        <v>375478.81</v>
      </c>
      <c r="D10" s="126">
        <v>34886</v>
      </c>
      <c r="E10" s="133">
        <f t="shared" ref="E10:E50" si="0">C10-D10</f>
        <v>340592.81</v>
      </c>
    </row>
    <row r="11" spans="1:5" x14ac:dyDescent="0.25">
      <c r="A11" s="95" t="s">
        <v>34</v>
      </c>
      <c r="B11" s="95" t="s">
        <v>217</v>
      </c>
      <c r="C11" s="131">
        <v>4067236.35</v>
      </c>
      <c r="D11" s="127">
        <v>2225943</v>
      </c>
      <c r="E11" s="134">
        <f t="shared" si="0"/>
        <v>1841293.35</v>
      </c>
    </row>
    <row r="12" spans="1:5" x14ac:dyDescent="0.25">
      <c r="A12" t="s">
        <v>34</v>
      </c>
      <c r="B12" s="16" t="s">
        <v>216</v>
      </c>
      <c r="C12" s="130">
        <v>0</v>
      </c>
      <c r="D12" s="126">
        <v>0</v>
      </c>
      <c r="E12" s="133">
        <f t="shared" si="0"/>
        <v>0</v>
      </c>
    </row>
    <row r="13" spans="1:5" x14ac:dyDescent="0.25">
      <c r="A13" t="s">
        <v>34</v>
      </c>
      <c r="B13" s="16" t="s">
        <v>215</v>
      </c>
      <c r="C13" s="130">
        <v>35773.969999999994</v>
      </c>
      <c r="D13" s="126">
        <v>14869</v>
      </c>
      <c r="E13" s="133">
        <f t="shared" si="0"/>
        <v>20904.969999999994</v>
      </c>
    </row>
    <row r="14" spans="1:5" x14ac:dyDescent="0.25">
      <c r="A14" t="s">
        <v>34</v>
      </c>
      <c r="B14" s="16" t="s">
        <v>214</v>
      </c>
      <c r="C14" s="130">
        <v>0</v>
      </c>
      <c r="D14" s="126">
        <v>0</v>
      </c>
      <c r="E14" s="133">
        <f t="shared" si="0"/>
        <v>0</v>
      </c>
    </row>
    <row r="15" spans="1:5" x14ac:dyDescent="0.25">
      <c r="A15" t="s">
        <v>34</v>
      </c>
      <c r="B15" s="16" t="s">
        <v>213</v>
      </c>
      <c r="C15" s="130">
        <v>183497.46</v>
      </c>
      <c r="D15" s="126">
        <v>73291</v>
      </c>
      <c r="E15" s="133">
        <f t="shared" si="0"/>
        <v>110206.45999999999</v>
      </c>
    </row>
    <row r="16" spans="1:5" x14ac:dyDescent="0.25">
      <c r="A16" t="s">
        <v>34</v>
      </c>
      <c r="B16" s="16" t="s">
        <v>212</v>
      </c>
      <c r="C16" s="130">
        <v>523696.93000000005</v>
      </c>
      <c r="D16" s="126">
        <v>189208</v>
      </c>
      <c r="E16" s="133">
        <f t="shared" si="0"/>
        <v>334488.93000000005</v>
      </c>
    </row>
    <row r="17" spans="1:5" x14ac:dyDescent="0.25">
      <c r="A17" t="s">
        <v>34</v>
      </c>
      <c r="B17" s="16" t="s">
        <v>211</v>
      </c>
      <c r="C17" s="130">
        <v>0</v>
      </c>
      <c r="D17" s="126">
        <v>0</v>
      </c>
      <c r="E17" s="133">
        <f t="shared" si="0"/>
        <v>0</v>
      </c>
    </row>
    <row r="18" spans="1:5" x14ac:dyDescent="0.25">
      <c r="A18" s="136" t="s">
        <v>34</v>
      </c>
      <c r="B18" s="136" t="s">
        <v>210</v>
      </c>
      <c r="C18" s="137">
        <v>1057074.3999999999</v>
      </c>
      <c r="D18" s="138">
        <v>264716</v>
      </c>
      <c r="E18" s="139">
        <f t="shared" si="0"/>
        <v>792358.39999999991</v>
      </c>
    </row>
    <row r="19" spans="1:5" x14ac:dyDescent="0.25">
      <c r="A19" t="s">
        <v>34</v>
      </c>
      <c r="B19" t="s">
        <v>209</v>
      </c>
      <c r="C19" s="130">
        <v>0</v>
      </c>
      <c r="D19" s="126">
        <v>0</v>
      </c>
      <c r="E19" s="133">
        <f t="shared" si="0"/>
        <v>0</v>
      </c>
    </row>
    <row r="20" spans="1:5" x14ac:dyDescent="0.25">
      <c r="A20" t="s">
        <v>34</v>
      </c>
      <c r="B20" t="s">
        <v>208</v>
      </c>
      <c r="C20" s="130">
        <v>0</v>
      </c>
      <c r="D20" s="126">
        <v>0</v>
      </c>
      <c r="E20" s="133">
        <f t="shared" si="0"/>
        <v>0</v>
      </c>
    </row>
    <row r="21" spans="1:5" x14ac:dyDescent="0.25">
      <c r="A21" t="s">
        <v>34</v>
      </c>
      <c r="B21" t="s">
        <v>207</v>
      </c>
      <c r="C21" s="130">
        <v>70266.34</v>
      </c>
      <c r="D21" s="126">
        <v>24058</v>
      </c>
      <c r="E21" s="133">
        <f t="shared" si="0"/>
        <v>46208.34</v>
      </c>
    </row>
    <row r="22" spans="1:5" x14ac:dyDescent="0.25">
      <c r="A22" t="s">
        <v>34</v>
      </c>
      <c r="B22" s="16" t="s">
        <v>206</v>
      </c>
      <c r="C22" s="130">
        <v>830.64</v>
      </c>
      <c r="D22" s="126">
        <v>0</v>
      </c>
      <c r="E22" s="133">
        <f t="shared" si="0"/>
        <v>830.64</v>
      </c>
    </row>
    <row r="23" spans="1:5" x14ac:dyDescent="0.25">
      <c r="A23" t="s">
        <v>34</v>
      </c>
      <c r="B23" t="s">
        <v>205</v>
      </c>
      <c r="C23" s="130">
        <v>24343.84</v>
      </c>
      <c r="D23" s="126">
        <v>95</v>
      </c>
      <c r="E23" s="133">
        <f t="shared" si="0"/>
        <v>24248.84</v>
      </c>
    </row>
    <row r="24" spans="1:5" x14ac:dyDescent="0.25">
      <c r="A24" t="s">
        <v>34</v>
      </c>
      <c r="B24" s="16" t="s">
        <v>204</v>
      </c>
      <c r="C24" s="130">
        <v>138845.72</v>
      </c>
      <c r="D24" s="126">
        <v>17499</v>
      </c>
      <c r="E24" s="133">
        <f t="shared" si="0"/>
        <v>121346.72</v>
      </c>
    </row>
    <row r="25" spans="1:5" x14ac:dyDescent="0.25">
      <c r="A25" t="s">
        <v>34</v>
      </c>
      <c r="B25" s="16" t="s">
        <v>203</v>
      </c>
      <c r="C25" s="130">
        <v>78548.39</v>
      </c>
      <c r="D25" s="126">
        <v>28357</v>
      </c>
      <c r="E25" s="133">
        <f t="shared" si="0"/>
        <v>50191.39</v>
      </c>
    </row>
    <row r="26" spans="1:5" x14ac:dyDescent="0.25">
      <c r="A26" t="s">
        <v>34</v>
      </c>
      <c r="B26" t="s">
        <v>202</v>
      </c>
      <c r="C26" s="130">
        <v>140886.97</v>
      </c>
      <c r="D26" s="126">
        <v>41358</v>
      </c>
      <c r="E26" s="133">
        <f t="shared" si="0"/>
        <v>99528.97</v>
      </c>
    </row>
    <row r="27" spans="1:5" x14ac:dyDescent="0.25">
      <c r="A27" t="s">
        <v>34</v>
      </c>
      <c r="B27" t="s">
        <v>201</v>
      </c>
      <c r="C27" s="130">
        <v>13072.9</v>
      </c>
      <c r="D27" s="126">
        <v>2996</v>
      </c>
      <c r="E27" s="133">
        <f t="shared" si="0"/>
        <v>10076.9</v>
      </c>
    </row>
    <row r="28" spans="1:5" x14ac:dyDescent="0.25">
      <c r="A28" t="s">
        <v>34</v>
      </c>
      <c r="B28" t="s">
        <v>200</v>
      </c>
      <c r="C28" s="130">
        <v>0</v>
      </c>
      <c r="D28" s="126">
        <v>0</v>
      </c>
      <c r="E28" s="133">
        <f t="shared" si="0"/>
        <v>0</v>
      </c>
    </row>
    <row r="29" spans="1:5" x14ac:dyDescent="0.25">
      <c r="A29" t="s">
        <v>34</v>
      </c>
      <c r="B29" t="s">
        <v>199</v>
      </c>
      <c r="C29" s="130">
        <v>4116.0200000000004</v>
      </c>
      <c r="D29" s="126">
        <v>4714</v>
      </c>
      <c r="E29" s="133">
        <f t="shared" si="0"/>
        <v>-597.97999999999956</v>
      </c>
    </row>
    <row r="30" spans="1:5" x14ac:dyDescent="0.25">
      <c r="A30" t="s">
        <v>34</v>
      </c>
      <c r="B30" t="s">
        <v>198</v>
      </c>
      <c r="C30" s="130">
        <v>0</v>
      </c>
      <c r="D30" s="126">
        <v>0</v>
      </c>
      <c r="E30" s="133">
        <f t="shared" si="0"/>
        <v>0</v>
      </c>
    </row>
    <row r="31" spans="1:5" x14ac:dyDescent="0.25">
      <c r="A31" t="s">
        <v>34</v>
      </c>
      <c r="B31" s="16" t="s">
        <v>197</v>
      </c>
      <c r="C31" s="130">
        <v>2268066.08</v>
      </c>
      <c r="D31" s="126">
        <v>661161</v>
      </c>
      <c r="E31" s="133">
        <f t="shared" si="0"/>
        <v>1606905.08</v>
      </c>
    </row>
    <row r="32" spans="1:5" x14ac:dyDescent="0.25">
      <c r="A32" t="s">
        <v>34</v>
      </c>
      <c r="B32" t="s">
        <v>196</v>
      </c>
      <c r="C32" s="130">
        <v>-2268066.08</v>
      </c>
      <c r="D32" s="126">
        <v>-661161</v>
      </c>
      <c r="E32" s="133">
        <f t="shared" si="0"/>
        <v>-1606905.08</v>
      </c>
    </row>
    <row r="33" spans="1:5" ht="15.75" x14ac:dyDescent="0.25">
      <c r="A33" s="17" t="s">
        <v>34</v>
      </c>
      <c r="B33" s="17" t="s">
        <v>195</v>
      </c>
      <c r="C33" s="132">
        <v>2270953.58</v>
      </c>
      <c r="D33" s="128">
        <v>661161</v>
      </c>
      <c r="E33" s="135">
        <f t="shared" si="0"/>
        <v>1609792.58</v>
      </c>
    </row>
    <row r="34" spans="1:5" x14ac:dyDescent="0.25">
      <c r="A34" t="s">
        <v>34</v>
      </c>
      <c r="B34" s="16" t="s">
        <v>194</v>
      </c>
      <c r="C34" s="130">
        <v>83824.47</v>
      </c>
      <c r="D34" s="126">
        <v>29589</v>
      </c>
      <c r="E34" s="133">
        <f t="shared" si="0"/>
        <v>54235.47</v>
      </c>
    </row>
    <row r="35" spans="1:5" x14ac:dyDescent="0.25">
      <c r="A35" t="s">
        <v>34</v>
      </c>
      <c r="B35" s="16" t="s">
        <v>193</v>
      </c>
      <c r="C35" s="130">
        <v>0</v>
      </c>
      <c r="D35" s="126">
        <v>0</v>
      </c>
      <c r="E35" s="133">
        <f t="shared" si="0"/>
        <v>0</v>
      </c>
    </row>
    <row r="36" spans="1:5" x14ac:dyDescent="0.25">
      <c r="A36" t="s">
        <v>34</v>
      </c>
      <c r="B36" t="s">
        <v>192</v>
      </c>
      <c r="C36" s="130">
        <v>0</v>
      </c>
      <c r="D36" s="126">
        <v>0</v>
      </c>
      <c r="E36" s="133">
        <f t="shared" si="0"/>
        <v>0</v>
      </c>
    </row>
    <row r="37" spans="1:5" x14ac:dyDescent="0.25">
      <c r="A37" t="s">
        <v>34</v>
      </c>
      <c r="B37" t="s">
        <v>191</v>
      </c>
      <c r="C37" s="130">
        <v>0</v>
      </c>
      <c r="D37" s="126">
        <v>0</v>
      </c>
      <c r="E37" s="133">
        <f t="shared" si="0"/>
        <v>0</v>
      </c>
    </row>
    <row r="38" spans="1:5" x14ac:dyDescent="0.25">
      <c r="A38" t="s">
        <v>34</v>
      </c>
      <c r="B38" t="s">
        <v>190</v>
      </c>
      <c r="C38" s="130">
        <v>12043.57</v>
      </c>
      <c r="D38" s="126">
        <v>3171</v>
      </c>
      <c r="E38" s="133">
        <f t="shared" si="0"/>
        <v>8872.57</v>
      </c>
    </row>
    <row r="39" spans="1:5" x14ac:dyDescent="0.25">
      <c r="A39" t="s">
        <v>34</v>
      </c>
      <c r="B39" t="s">
        <v>189</v>
      </c>
      <c r="C39" s="130">
        <v>8003.07</v>
      </c>
      <c r="D39" s="126">
        <v>2626</v>
      </c>
      <c r="E39" s="133">
        <f t="shared" si="0"/>
        <v>5377.07</v>
      </c>
    </row>
    <row r="40" spans="1:5" x14ac:dyDescent="0.25">
      <c r="A40" t="s">
        <v>34</v>
      </c>
      <c r="B40" s="16" t="s">
        <v>188</v>
      </c>
      <c r="C40" s="130">
        <v>0</v>
      </c>
      <c r="D40" s="126">
        <v>0</v>
      </c>
      <c r="E40" s="133">
        <f t="shared" si="0"/>
        <v>0</v>
      </c>
    </row>
    <row r="41" spans="1:5" x14ac:dyDescent="0.25">
      <c r="A41" t="s">
        <v>34</v>
      </c>
      <c r="B41" t="s">
        <v>187</v>
      </c>
      <c r="C41" s="130">
        <v>0</v>
      </c>
      <c r="D41" s="126">
        <v>264</v>
      </c>
      <c r="E41" s="133">
        <f t="shared" si="0"/>
        <v>-264</v>
      </c>
    </row>
    <row r="42" spans="1:5" x14ac:dyDescent="0.25">
      <c r="A42" t="s">
        <v>34</v>
      </c>
      <c r="B42" s="16" t="s">
        <v>186</v>
      </c>
      <c r="C42" s="130">
        <v>2919.93</v>
      </c>
      <c r="D42" s="126">
        <v>722</v>
      </c>
      <c r="E42" s="133">
        <f t="shared" si="0"/>
        <v>2197.9299999999998</v>
      </c>
    </row>
    <row r="43" spans="1:5" x14ac:dyDescent="0.25">
      <c r="A43" t="s">
        <v>34</v>
      </c>
      <c r="B43" s="16" t="s">
        <v>185</v>
      </c>
      <c r="C43" s="130">
        <v>0</v>
      </c>
      <c r="D43" s="126">
        <v>0</v>
      </c>
      <c r="E43" s="133">
        <f t="shared" si="0"/>
        <v>0</v>
      </c>
    </row>
    <row r="44" spans="1:5" x14ac:dyDescent="0.25">
      <c r="A44" t="s">
        <v>34</v>
      </c>
      <c r="B44" t="s">
        <v>184</v>
      </c>
      <c r="C44" s="130">
        <v>6542.65</v>
      </c>
      <c r="D44" s="126">
        <v>2190</v>
      </c>
      <c r="E44" s="133">
        <f t="shared" si="0"/>
        <v>4352.6499999999996</v>
      </c>
    </row>
    <row r="45" spans="1:5" x14ac:dyDescent="0.25">
      <c r="A45" t="s">
        <v>34</v>
      </c>
      <c r="B45" t="s">
        <v>183</v>
      </c>
      <c r="C45" s="130">
        <v>3363.47</v>
      </c>
      <c r="D45" s="126">
        <v>622</v>
      </c>
      <c r="E45" s="133">
        <f t="shared" si="0"/>
        <v>2741.47</v>
      </c>
    </row>
    <row r="46" spans="1:5" x14ac:dyDescent="0.25">
      <c r="A46" t="s">
        <v>34</v>
      </c>
      <c r="B46" t="s">
        <v>182</v>
      </c>
      <c r="C46" s="130">
        <v>0</v>
      </c>
      <c r="D46" s="126">
        <v>0</v>
      </c>
      <c r="E46" s="133">
        <f t="shared" si="0"/>
        <v>0</v>
      </c>
    </row>
    <row r="47" spans="1:5" x14ac:dyDescent="0.25">
      <c r="A47" t="s">
        <v>34</v>
      </c>
      <c r="B47" t="s">
        <v>181</v>
      </c>
      <c r="C47" s="130">
        <v>0</v>
      </c>
      <c r="D47" s="126">
        <v>0</v>
      </c>
      <c r="E47" s="133">
        <f t="shared" si="0"/>
        <v>0</v>
      </c>
    </row>
    <row r="48" spans="1:5" x14ac:dyDescent="0.25">
      <c r="A48" t="s">
        <v>34</v>
      </c>
      <c r="B48" s="16" t="s">
        <v>180</v>
      </c>
      <c r="C48" s="130">
        <v>119584.66</v>
      </c>
      <c r="D48" s="126">
        <v>39185</v>
      </c>
      <c r="E48" s="133">
        <f t="shared" si="0"/>
        <v>80399.66</v>
      </c>
    </row>
    <row r="49" spans="1:5" x14ac:dyDescent="0.25">
      <c r="A49" t="s">
        <v>34</v>
      </c>
      <c r="B49" t="s">
        <v>179</v>
      </c>
      <c r="C49" s="130">
        <v>-119584.66</v>
      </c>
      <c r="D49" s="126">
        <v>-39185</v>
      </c>
      <c r="E49" s="133">
        <f t="shared" si="0"/>
        <v>-80399.66</v>
      </c>
    </row>
    <row r="50" spans="1:5" ht="15.75" x14ac:dyDescent="0.25">
      <c r="A50" s="17" t="s">
        <v>34</v>
      </c>
      <c r="B50" s="17" t="s">
        <v>178</v>
      </c>
      <c r="C50" s="132">
        <v>116697.16</v>
      </c>
      <c r="D50" s="128">
        <v>39184</v>
      </c>
      <c r="E50" s="135">
        <f t="shared" si="0"/>
        <v>77513.16</v>
      </c>
    </row>
    <row r="51" spans="1:5" x14ac:dyDescent="0.25">
      <c r="A51" t="s">
        <v>34</v>
      </c>
      <c r="B51" t="s">
        <v>177</v>
      </c>
      <c r="C51" s="130">
        <v>0</v>
      </c>
      <c r="D51" s="126">
        <v>0</v>
      </c>
      <c r="E51" s="133">
        <f>C51-D51</f>
        <v>0</v>
      </c>
    </row>
    <row r="52" spans="1:5" x14ac:dyDescent="0.25">
      <c r="A52" t="s">
        <v>34</v>
      </c>
      <c r="B52" t="s">
        <v>176</v>
      </c>
      <c r="C52" s="130">
        <v>0</v>
      </c>
      <c r="D52" s="126">
        <v>0</v>
      </c>
      <c r="E52" s="133">
        <f t="shared" ref="E52:E115" si="1">C52-D52</f>
        <v>0</v>
      </c>
    </row>
    <row r="53" spans="1:5" x14ac:dyDescent="0.25">
      <c r="A53" t="s">
        <v>34</v>
      </c>
      <c r="B53" s="16" t="s">
        <v>175</v>
      </c>
      <c r="C53" s="130">
        <v>38452.99</v>
      </c>
      <c r="D53" s="126">
        <v>11547</v>
      </c>
      <c r="E53" s="133">
        <f t="shared" si="1"/>
        <v>26905.989999999998</v>
      </c>
    </row>
    <row r="54" spans="1:5" x14ac:dyDescent="0.25">
      <c r="A54" t="s">
        <v>34</v>
      </c>
      <c r="B54" t="s">
        <v>174</v>
      </c>
      <c r="C54" s="130">
        <v>0</v>
      </c>
      <c r="D54" s="126">
        <v>0</v>
      </c>
      <c r="E54" s="133">
        <f t="shared" si="1"/>
        <v>0</v>
      </c>
    </row>
    <row r="55" spans="1:5" x14ac:dyDescent="0.25">
      <c r="A55" t="s">
        <v>34</v>
      </c>
      <c r="B55" t="s">
        <v>173</v>
      </c>
      <c r="C55" s="130">
        <v>0</v>
      </c>
      <c r="D55" s="126">
        <v>0</v>
      </c>
      <c r="E55" s="133">
        <f t="shared" si="1"/>
        <v>0</v>
      </c>
    </row>
    <row r="56" spans="1:5" x14ac:dyDescent="0.25">
      <c r="A56" t="s">
        <v>34</v>
      </c>
      <c r="B56" t="s">
        <v>172</v>
      </c>
      <c r="C56" s="130">
        <v>66755.92</v>
      </c>
      <c r="D56" s="126">
        <v>25300</v>
      </c>
      <c r="E56" s="133">
        <f t="shared" si="1"/>
        <v>41455.919999999998</v>
      </c>
    </row>
    <row r="57" spans="1:5" x14ac:dyDescent="0.25">
      <c r="A57" t="s">
        <v>34</v>
      </c>
      <c r="B57" t="s">
        <v>171</v>
      </c>
      <c r="C57" s="130">
        <v>0</v>
      </c>
      <c r="D57" s="126">
        <v>0</v>
      </c>
      <c r="E57" s="133">
        <f t="shared" si="1"/>
        <v>0</v>
      </c>
    </row>
    <row r="58" spans="1:5" x14ac:dyDescent="0.25">
      <c r="A58" t="s">
        <v>34</v>
      </c>
      <c r="B58" t="s">
        <v>170</v>
      </c>
      <c r="C58" s="130">
        <v>0</v>
      </c>
      <c r="D58" s="126">
        <v>0</v>
      </c>
      <c r="E58" s="133">
        <f t="shared" si="1"/>
        <v>0</v>
      </c>
    </row>
    <row r="59" spans="1:5" x14ac:dyDescent="0.25">
      <c r="A59" t="s">
        <v>34</v>
      </c>
      <c r="B59" s="16" t="s">
        <v>169</v>
      </c>
      <c r="C59" s="130">
        <v>0</v>
      </c>
      <c r="D59" s="126">
        <v>0</v>
      </c>
      <c r="E59" s="133">
        <f t="shared" si="1"/>
        <v>0</v>
      </c>
    </row>
    <row r="60" spans="1:5" x14ac:dyDescent="0.25">
      <c r="A60" t="s">
        <v>34</v>
      </c>
      <c r="B60" t="s">
        <v>168</v>
      </c>
      <c r="C60" s="130">
        <v>0</v>
      </c>
      <c r="D60" s="126">
        <v>0</v>
      </c>
      <c r="E60" s="133">
        <f t="shared" si="1"/>
        <v>0</v>
      </c>
    </row>
    <row r="61" spans="1:5" x14ac:dyDescent="0.25">
      <c r="A61" t="s">
        <v>34</v>
      </c>
      <c r="B61" t="s">
        <v>167</v>
      </c>
      <c r="C61" s="130">
        <v>0</v>
      </c>
      <c r="D61" s="126">
        <v>0</v>
      </c>
      <c r="E61" s="133">
        <f t="shared" si="1"/>
        <v>0</v>
      </c>
    </row>
    <row r="62" spans="1:5" x14ac:dyDescent="0.25">
      <c r="A62" t="s">
        <v>34</v>
      </c>
      <c r="B62" t="s">
        <v>166</v>
      </c>
      <c r="C62" s="130">
        <v>43652.13</v>
      </c>
      <c r="D62" s="126">
        <v>1453</v>
      </c>
      <c r="E62" s="133">
        <f t="shared" si="1"/>
        <v>42199.13</v>
      </c>
    </row>
    <row r="63" spans="1:5" x14ac:dyDescent="0.25">
      <c r="A63" t="s">
        <v>34</v>
      </c>
      <c r="B63" t="s">
        <v>165</v>
      </c>
      <c r="C63" s="130">
        <v>0</v>
      </c>
      <c r="D63" s="126">
        <v>0</v>
      </c>
      <c r="E63" s="133">
        <f t="shared" si="1"/>
        <v>0</v>
      </c>
    </row>
    <row r="64" spans="1:5" x14ac:dyDescent="0.25">
      <c r="A64" t="s">
        <v>34</v>
      </c>
      <c r="B64" t="s">
        <v>164</v>
      </c>
      <c r="C64" s="130">
        <v>0</v>
      </c>
      <c r="D64" s="126">
        <v>0</v>
      </c>
      <c r="E64" s="133">
        <f t="shared" si="1"/>
        <v>0</v>
      </c>
    </row>
    <row r="65" spans="1:5" x14ac:dyDescent="0.25">
      <c r="A65" t="s">
        <v>34</v>
      </c>
      <c r="B65" t="s">
        <v>163</v>
      </c>
      <c r="C65" s="130">
        <v>0</v>
      </c>
      <c r="D65" s="126">
        <v>0</v>
      </c>
      <c r="E65" s="133">
        <f t="shared" si="1"/>
        <v>0</v>
      </c>
    </row>
    <row r="66" spans="1:5" x14ac:dyDescent="0.25">
      <c r="A66" t="s">
        <v>34</v>
      </c>
      <c r="B66" t="s">
        <v>162</v>
      </c>
      <c r="C66" s="130">
        <v>0</v>
      </c>
      <c r="D66" s="126">
        <v>0</v>
      </c>
      <c r="E66" s="133">
        <f t="shared" si="1"/>
        <v>0</v>
      </c>
    </row>
    <row r="67" spans="1:5" x14ac:dyDescent="0.25">
      <c r="A67" t="s">
        <v>34</v>
      </c>
      <c r="B67" t="s">
        <v>161</v>
      </c>
      <c r="C67" s="130">
        <v>30.509999999999998</v>
      </c>
      <c r="D67" s="126">
        <v>10</v>
      </c>
      <c r="E67" s="133">
        <f t="shared" si="1"/>
        <v>20.509999999999998</v>
      </c>
    </row>
    <row r="68" spans="1:5" x14ac:dyDescent="0.25">
      <c r="A68" t="s">
        <v>34</v>
      </c>
      <c r="B68" t="s">
        <v>160</v>
      </c>
      <c r="C68" s="130">
        <v>14292.85</v>
      </c>
      <c r="D68" s="126">
        <v>5999</v>
      </c>
      <c r="E68" s="133">
        <f t="shared" si="1"/>
        <v>8293.85</v>
      </c>
    </row>
    <row r="69" spans="1:5" x14ac:dyDescent="0.25">
      <c r="A69" t="s">
        <v>34</v>
      </c>
      <c r="B69" t="s">
        <v>159</v>
      </c>
      <c r="C69" s="130">
        <v>0</v>
      </c>
      <c r="D69" s="126">
        <v>0</v>
      </c>
      <c r="E69" s="133">
        <f t="shared" si="1"/>
        <v>0</v>
      </c>
    </row>
    <row r="70" spans="1:5" x14ac:dyDescent="0.25">
      <c r="A70" t="s">
        <v>34</v>
      </c>
      <c r="B70" s="16" t="s">
        <v>158</v>
      </c>
      <c r="C70" s="130">
        <v>193259.69999999998</v>
      </c>
      <c r="D70" s="126">
        <v>45953</v>
      </c>
      <c r="E70" s="133">
        <f t="shared" si="1"/>
        <v>147306.69999999998</v>
      </c>
    </row>
    <row r="71" spans="1:5" x14ac:dyDescent="0.25">
      <c r="A71" t="s">
        <v>34</v>
      </c>
      <c r="B71" s="16" t="s">
        <v>157</v>
      </c>
      <c r="C71" s="130">
        <v>-179504.15</v>
      </c>
      <c r="D71" s="126">
        <v>-47692</v>
      </c>
      <c r="E71" s="133">
        <f t="shared" si="1"/>
        <v>-131812.15</v>
      </c>
    </row>
    <row r="72" spans="1:5" ht="15.75" x14ac:dyDescent="0.25">
      <c r="A72" s="17" t="s">
        <v>34</v>
      </c>
      <c r="B72" s="17" t="s">
        <v>156</v>
      </c>
      <c r="C72" s="132">
        <v>176939.94999999998</v>
      </c>
      <c r="D72" s="128">
        <v>42570</v>
      </c>
      <c r="E72" s="135">
        <f t="shared" si="1"/>
        <v>134369.94999999998</v>
      </c>
    </row>
    <row r="73" spans="1:5" x14ac:dyDescent="0.25">
      <c r="A73" t="s">
        <v>34</v>
      </c>
      <c r="B73" t="s">
        <v>155</v>
      </c>
      <c r="C73" s="130">
        <v>180307.79</v>
      </c>
      <c r="D73" s="126">
        <v>112771</v>
      </c>
      <c r="E73" s="133">
        <f t="shared" si="1"/>
        <v>67536.790000000008</v>
      </c>
    </row>
    <row r="74" spans="1:5" x14ac:dyDescent="0.25">
      <c r="A74" t="s">
        <v>34</v>
      </c>
      <c r="B74" t="s">
        <v>154</v>
      </c>
      <c r="C74" s="130">
        <v>0</v>
      </c>
      <c r="D74" s="126">
        <v>0</v>
      </c>
      <c r="E74" s="133">
        <f t="shared" si="1"/>
        <v>0</v>
      </c>
    </row>
    <row r="75" spans="1:5" x14ac:dyDescent="0.25">
      <c r="A75" t="s">
        <v>34</v>
      </c>
      <c r="B75" t="s">
        <v>153</v>
      </c>
      <c r="C75" s="130">
        <v>0</v>
      </c>
      <c r="D75" s="126">
        <v>0</v>
      </c>
      <c r="E75" s="133">
        <f t="shared" si="1"/>
        <v>0</v>
      </c>
    </row>
    <row r="76" spans="1:5" x14ac:dyDescent="0.25">
      <c r="A76" t="s">
        <v>34</v>
      </c>
      <c r="B76" t="s">
        <v>152</v>
      </c>
      <c r="C76" s="130">
        <v>7674.5599999999995</v>
      </c>
      <c r="D76" s="126">
        <v>5328</v>
      </c>
      <c r="E76" s="133">
        <f t="shared" si="1"/>
        <v>2346.5599999999995</v>
      </c>
    </row>
    <row r="77" spans="1:5" x14ac:dyDescent="0.25">
      <c r="A77" t="s">
        <v>34</v>
      </c>
      <c r="B77" t="s">
        <v>151</v>
      </c>
      <c r="C77" s="130">
        <v>35473.32</v>
      </c>
      <c r="D77" s="126">
        <v>0</v>
      </c>
      <c r="E77" s="133">
        <f t="shared" si="1"/>
        <v>35473.32</v>
      </c>
    </row>
    <row r="78" spans="1:5" x14ac:dyDescent="0.25">
      <c r="A78" t="s">
        <v>34</v>
      </c>
      <c r="B78" t="s">
        <v>150</v>
      </c>
      <c r="C78" s="130">
        <v>2338.39</v>
      </c>
      <c r="D78" s="126">
        <v>1984</v>
      </c>
      <c r="E78" s="133">
        <f t="shared" si="1"/>
        <v>354.38999999999987</v>
      </c>
    </row>
    <row r="79" spans="1:5" x14ac:dyDescent="0.25">
      <c r="A79" t="s">
        <v>34</v>
      </c>
      <c r="B79" t="s">
        <v>149</v>
      </c>
      <c r="C79" s="130">
        <v>0</v>
      </c>
      <c r="D79" s="126">
        <v>0</v>
      </c>
      <c r="E79" s="133">
        <f t="shared" si="1"/>
        <v>0</v>
      </c>
    </row>
    <row r="80" spans="1:5" x14ac:dyDescent="0.25">
      <c r="A80" t="s">
        <v>34</v>
      </c>
      <c r="B80" t="s">
        <v>148</v>
      </c>
      <c r="C80" s="130">
        <v>0</v>
      </c>
      <c r="D80" s="126">
        <v>0</v>
      </c>
      <c r="E80" s="133">
        <f t="shared" si="1"/>
        <v>0</v>
      </c>
    </row>
    <row r="81" spans="1:5" x14ac:dyDescent="0.25">
      <c r="A81" t="s">
        <v>34</v>
      </c>
      <c r="B81" s="16" t="s">
        <v>147</v>
      </c>
      <c r="C81" s="130">
        <v>0</v>
      </c>
      <c r="D81" s="126">
        <v>0</v>
      </c>
      <c r="E81" s="133">
        <f t="shared" si="1"/>
        <v>0</v>
      </c>
    </row>
    <row r="82" spans="1:5" x14ac:dyDescent="0.25">
      <c r="A82" t="s">
        <v>34</v>
      </c>
      <c r="B82" t="s">
        <v>146</v>
      </c>
      <c r="C82" s="130">
        <v>0</v>
      </c>
      <c r="D82" s="126">
        <v>0</v>
      </c>
      <c r="E82" s="133">
        <f t="shared" si="1"/>
        <v>0</v>
      </c>
    </row>
    <row r="83" spans="1:5" x14ac:dyDescent="0.25">
      <c r="A83" t="s">
        <v>34</v>
      </c>
      <c r="B83" t="s">
        <v>145</v>
      </c>
      <c r="C83" s="130">
        <v>49544.14</v>
      </c>
      <c r="D83" s="126">
        <v>14941</v>
      </c>
      <c r="E83" s="133">
        <f t="shared" si="1"/>
        <v>34603.14</v>
      </c>
    </row>
    <row r="84" spans="1:5" x14ac:dyDescent="0.25">
      <c r="A84" t="s">
        <v>34</v>
      </c>
      <c r="B84" t="s">
        <v>144</v>
      </c>
      <c r="C84" s="130">
        <v>29166.02</v>
      </c>
      <c r="D84" s="126">
        <v>3407</v>
      </c>
      <c r="E84" s="133">
        <f t="shared" si="1"/>
        <v>25759.02</v>
      </c>
    </row>
    <row r="85" spans="1:5" x14ac:dyDescent="0.25">
      <c r="A85" t="s">
        <v>34</v>
      </c>
      <c r="B85" t="s">
        <v>143</v>
      </c>
      <c r="C85" s="130">
        <v>0</v>
      </c>
      <c r="D85" s="126">
        <v>0</v>
      </c>
      <c r="E85" s="133">
        <f t="shared" si="1"/>
        <v>0</v>
      </c>
    </row>
    <row r="86" spans="1:5" x14ac:dyDescent="0.25">
      <c r="A86" t="s">
        <v>34</v>
      </c>
      <c r="B86" t="s">
        <v>142</v>
      </c>
      <c r="C86" s="130">
        <v>0</v>
      </c>
      <c r="D86" s="126">
        <v>0</v>
      </c>
      <c r="E86" s="133">
        <f t="shared" si="1"/>
        <v>0</v>
      </c>
    </row>
    <row r="87" spans="1:5" x14ac:dyDescent="0.25">
      <c r="A87" t="s">
        <v>34</v>
      </c>
      <c r="B87" t="s">
        <v>141</v>
      </c>
      <c r="C87" s="130">
        <v>0</v>
      </c>
      <c r="D87" s="126">
        <v>0</v>
      </c>
      <c r="E87" s="133">
        <f t="shared" si="1"/>
        <v>0</v>
      </c>
    </row>
    <row r="88" spans="1:5" x14ac:dyDescent="0.25">
      <c r="A88" t="s">
        <v>34</v>
      </c>
      <c r="B88" t="s">
        <v>140</v>
      </c>
      <c r="C88" s="130">
        <v>0</v>
      </c>
      <c r="D88" s="126">
        <v>0</v>
      </c>
      <c r="E88" s="133">
        <f t="shared" si="1"/>
        <v>0</v>
      </c>
    </row>
    <row r="89" spans="1:5" x14ac:dyDescent="0.25">
      <c r="A89" t="s">
        <v>34</v>
      </c>
      <c r="B89" t="s">
        <v>139</v>
      </c>
      <c r="C89" s="130">
        <v>0</v>
      </c>
      <c r="D89" s="126">
        <v>0</v>
      </c>
      <c r="E89" s="133">
        <f t="shared" si="1"/>
        <v>0</v>
      </c>
    </row>
    <row r="90" spans="1:5" x14ac:dyDescent="0.25">
      <c r="A90" t="s">
        <v>34</v>
      </c>
      <c r="B90" t="s">
        <v>138</v>
      </c>
      <c r="C90" s="130">
        <v>0</v>
      </c>
      <c r="D90" s="126">
        <v>0</v>
      </c>
      <c r="E90" s="133">
        <f t="shared" si="1"/>
        <v>0</v>
      </c>
    </row>
    <row r="91" spans="1:5" x14ac:dyDescent="0.25">
      <c r="A91" t="s">
        <v>34</v>
      </c>
      <c r="B91" t="s">
        <v>137</v>
      </c>
      <c r="C91" s="130">
        <v>0</v>
      </c>
      <c r="D91" s="126">
        <v>0</v>
      </c>
      <c r="E91" s="133">
        <f t="shared" si="1"/>
        <v>0</v>
      </c>
    </row>
    <row r="92" spans="1:5" x14ac:dyDescent="0.25">
      <c r="A92" t="s">
        <v>34</v>
      </c>
      <c r="B92" s="16" t="s">
        <v>136</v>
      </c>
      <c r="C92" s="130">
        <v>0</v>
      </c>
      <c r="D92" s="126">
        <v>0</v>
      </c>
      <c r="E92" s="133">
        <f t="shared" si="1"/>
        <v>0</v>
      </c>
    </row>
    <row r="93" spans="1:5" x14ac:dyDescent="0.25">
      <c r="A93" t="s">
        <v>34</v>
      </c>
      <c r="B93" s="16" t="s">
        <v>135</v>
      </c>
      <c r="C93" s="130">
        <v>360721.47000000003</v>
      </c>
      <c r="D93" s="126">
        <v>103418</v>
      </c>
      <c r="E93" s="133">
        <f t="shared" si="1"/>
        <v>257303.47000000003</v>
      </c>
    </row>
    <row r="94" spans="1:5" x14ac:dyDescent="0.25">
      <c r="A94" t="s">
        <v>34</v>
      </c>
      <c r="B94" s="16" t="s">
        <v>134</v>
      </c>
      <c r="C94" s="130">
        <v>663578.41</v>
      </c>
      <c r="D94" s="126">
        <v>245331</v>
      </c>
      <c r="E94" s="133">
        <f t="shared" si="1"/>
        <v>418247.41000000003</v>
      </c>
    </row>
    <row r="95" spans="1:5" x14ac:dyDescent="0.25">
      <c r="A95" t="s">
        <v>34</v>
      </c>
      <c r="B95" s="16" t="s">
        <v>133</v>
      </c>
      <c r="C95" s="130">
        <v>-668239.32999999996</v>
      </c>
      <c r="D95" s="126">
        <v>-247743</v>
      </c>
      <c r="E95" s="133">
        <f t="shared" si="1"/>
        <v>-420496.32999999996</v>
      </c>
    </row>
    <row r="96" spans="1:5" ht="15.75" x14ac:dyDescent="0.25">
      <c r="A96" s="17" t="s">
        <v>34</v>
      </c>
      <c r="B96" s="17" t="s">
        <v>132</v>
      </c>
      <c r="C96" s="132">
        <v>660564.77000000014</v>
      </c>
      <c r="D96" s="128">
        <v>239437</v>
      </c>
      <c r="E96" s="135">
        <f t="shared" si="1"/>
        <v>421127.77000000014</v>
      </c>
    </row>
    <row r="97" spans="1:5" x14ac:dyDescent="0.25">
      <c r="A97" t="s">
        <v>34</v>
      </c>
      <c r="B97" t="s">
        <v>131</v>
      </c>
      <c r="C97" s="130">
        <v>0</v>
      </c>
      <c r="D97" s="126">
        <v>0</v>
      </c>
      <c r="E97" s="133">
        <f t="shared" si="1"/>
        <v>0</v>
      </c>
    </row>
    <row r="98" spans="1:5" x14ac:dyDescent="0.25">
      <c r="A98" t="s">
        <v>34</v>
      </c>
      <c r="B98" t="s">
        <v>130</v>
      </c>
      <c r="C98" s="130">
        <v>0</v>
      </c>
      <c r="D98" s="126">
        <v>0</v>
      </c>
      <c r="E98" s="133">
        <f t="shared" si="1"/>
        <v>0</v>
      </c>
    </row>
    <row r="99" spans="1:5" x14ac:dyDescent="0.25">
      <c r="A99" t="s">
        <v>34</v>
      </c>
      <c r="B99" t="s">
        <v>129</v>
      </c>
      <c r="C99" s="130">
        <v>0</v>
      </c>
      <c r="D99" s="126">
        <v>0</v>
      </c>
      <c r="E99" s="133">
        <f t="shared" si="1"/>
        <v>0</v>
      </c>
    </row>
    <row r="100" spans="1:5" x14ac:dyDescent="0.25">
      <c r="A100" t="s">
        <v>34</v>
      </c>
      <c r="B100" t="s">
        <v>128</v>
      </c>
      <c r="C100" s="130">
        <v>697.41</v>
      </c>
      <c r="D100" s="126">
        <v>223</v>
      </c>
      <c r="E100" s="133">
        <f t="shared" si="1"/>
        <v>474.40999999999997</v>
      </c>
    </row>
    <row r="101" spans="1:5" x14ac:dyDescent="0.25">
      <c r="A101" t="s">
        <v>34</v>
      </c>
      <c r="B101" s="16" t="s">
        <v>127</v>
      </c>
      <c r="C101" s="130">
        <v>0</v>
      </c>
      <c r="D101" s="126">
        <v>0</v>
      </c>
      <c r="E101" s="133">
        <f t="shared" si="1"/>
        <v>0</v>
      </c>
    </row>
    <row r="102" spans="1:5" x14ac:dyDescent="0.25">
      <c r="A102" t="s">
        <v>34</v>
      </c>
      <c r="B102" s="16" t="s">
        <v>126</v>
      </c>
      <c r="C102" s="130">
        <v>0</v>
      </c>
      <c r="D102" s="126">
        <v>0</v>
      </c>
      <c r="E102" s="133">
        <f t="shared" si="1"/>
        <v>0</v>
      </c>
    </row>
    <row r="103" spans="1:5" x14ac:dyDescent="0.25">
      <c r="A103" t="s">
        <v>34</v>
      </c>
      <c r="B103" t="s">
        <v>125</v>
      </c>
      <c r="C103" s="130">
        <v>53079.770000000004</v>
      </c>
      <c r="D103" s="126">
        <v>22866</v>
      </c>
      <c r="E103" s="133">
        <f t="shared" si="1"/>
        <v>30213.770000000004</v>
      </c>
    </row>
    <row r="104" spans="1:5" x14ac:dyDescent="0.25">
      <c r="A104" t="s">
        <v>34</v>
      </c>
      <c r="B104" t="s">
        <v>124</v>
      </c>
      <c r="C104" s="130">
        <v>19458.57</v>
      </c>
      <c r="D104" s="126">
        <v>6057</v>
      </c>
      <c r="E104" s="133">
        <f t="shared" si="1"/>
        <v>13401.57</v>
      </c>
    </row>
    <row r="105" spans="1:5" x14ac:dyDescent="0.25">
      <c r="A105" t="s">
        <v>34</v>
      </c>
      <c r="B105" t="s">
        <v>123</v>
      </c>
      <c r="C105" s="130">
        <v>0</v>
      </c>
      <c r="D105" s="126">
        <v>0</v>
      </c>
      <c r="E105" s="133">
        <f t="shared" si="1"/>
        <v>0</v>
      </c>
    </row>
    <row r="106" spans="1:5" x14ac:dyDescent="0.25">
      <c r="A106" t="s">
        <v>34</v>
      </c>
      <c r="B106" s="16" t="s">
        <v>122</v>
      </c>
      <c r="C106" s="130">
        <v>0</v>
      </c>
      <c r="D106" s="126">
        <v>0</v>
      </c>
      <c r="E106" s="133">
        <f t="shared" si="1"/>
        <v>0</v>
      </c>
    </row>
    <row r="107" spans="1:5" x14ac:dyDescent="0.25">
      <c r="A107" t="s">
        <v>34</v>
      </c>
      <c r="B107" s="16" t="s">
        <v>121</v>
      </c>
      <c r="C107" s="130">
        <v>0</v>
      </c>
      <c r="D107" s="126">
        <v>0</v>
      </c>
      <c r="E107" s="133">
        <f t="shared" si="1"/>
        <v>0</v>
      </c>
    </row>
    <row r="108" spans="1:5" x14ac:dyDescent="0.25">
      <c r="A108" t="s">
        <v>34</v>
      </c>
      <c r="B108" t="s">
        <v>120</v>
      </c>
      <c r="C108" s="130">
        <v>0</v>
      </c>
      <c r="D108" s="126">
        <v>0</v>
      </c>
      <c r="E108" s="133">
        <f t="shared" si="1"/>
        <v>0</v>
      </c>
    </row>
    <row r="109" spans="1:5" x14ac:dyDescent="0.25">
      <c r="A109" t="s">
        <v>34</v>
      </c>
      <c r="B109" s="16" t="s">
        <v>119</v>
      </c>
      <c r="C109" s="130">
        <v>0</v>
      </c>
      <c r="D109" s="126">
        <v>0</v>
      </c>
      <c r="E109" s="133">
        <f t="shared" si="1"/>
        <v>0</v>
      </c>
    </row>
    <row r="110" spans="1:5" x14ac:dyDescent="0.25">
      <c r="A110" t="s">
        <v>34</v>
      </c>
      <c r="B110" t="s">
        <v>118</v>
      </c>
      <c r="C110" s="130">
        <v>0</v>
      </c>
      <c r="D110" s="126">
        <v>0</v>
      </c>
      <c r="E110" s="133">
        <f t="shared" si="1"/>
        <v>0</v>
      </c>
    </row>
    <row r="111" spans="1:5" x14ac:dyDescent="0.25">
      <c r="A111" t="s">
        <v>34</v>
      </c>
      <c r="B111" t="s">
        <v>117</v>
      </c>
      <c r="C111" s="130">
        <v>0</v>
      </c>
      <c r="D111" s="126">
        <v>0</v>
      </c>
      <c r="E111" s="133">
        <f t="shared" si="1"/>
        <v>0</v>
      </c>
    </row>
    <row r="112" spans="1:5" x14ac:dyDescent="0.25">
      <c r="A112" t="s">
        <v>34</v>
      </c>
      <c r="B112" t="s">
        <v>116</v>
      </c>
      <c r="C112" s="130">
        <v>0</v>
      </c>
      <c r="D112" s="126">
        <v>0</v>
      </c>
      <c r="E112" s="133">
        <f t="shared" si="1"/>
        <v>0</v>
      </c>
    </row>
    <row r="113" spans="1:5" x14ac:dyDescent="0.25">
      <c r="A113" t="s">
        <v>34</v>
      </c>
      <c r="B113" t="s">
        <v>115</v>
      </c>
      <c r="C113" s="130">
        <v>0</v>
      </c>
      <c r="D113" s="126">
        <v>0</v>
      </c>
      <c r="E113" s="133">
        <f t="shared" si="1"/>
        <v>0</v>
      </c>
    </row>
    <row r="114" spans="1:5" x14ac:dyDescent="0.25">
      <c r="A114" t="s">
        <v>34</v>
      </c>
      <c r="B114" t="s">
        <v>114</v>
      </c>
      <c r="C114" s="130">
        <v>0</v>
      </c>
      <c r="D114" s="126">
        <v>0</v>
      </c>
      <c r="E114" s="133">
        <f t="shared" si="1"/>
        <v>0</v>
      </c>
    </row>
    <row r="115" spans="1:5" x14ac:dyDescent="0.25">
      <c r="A115" t="s">
        <v>34</v>
      </c>
      <c r="B115" t="s">
        <v>113</v>
      </c>
      <c r="C115" s="130">
        <v>0</v>
      </c>
      <c r="D115" s="126">
        <v>0</v>
      </c>
      <c r="E115" s="133">
        <f t="shared" si="1"/>
        <v>0</v>
      </c>
    </row>
    <row r="116" spans="1:5" x14ac:dyDescent="0.25">
      <c r="A116" t="s">
        <v>34</v>
      </c>
      <c r="B116" t="s">
        <v>112</v>
      </c>
      <c r="C116" s="130">
        <v>0</v>
      </c>
      <c r="D116" s="126">
        <v>0</v>
      </c>
      <c r="E116" s="133">
        <f t="shared" ref="E116:E158" si="2">C116-D116</f>
        <v>0</v>
      </c>
    </row>
    <row r="117" spans="1:5" x14ac:dyDescent="0.25">
      <c r="A117" t="s">
        <v>34</v>
      </c>
      <c r="B117" t="s">
        <v>111</v>
      </c>
      <c r="C117" s="130">
        <v>1094.1599999999999</v>
      </c>
      <c r="D117" s="126">
        <v>365</v>
      </c>
      <c r="E117" s="133">
        <f t="shared" si="2"/>
        <v>729.15999999999985</v>
      </c>
    </row>
    <row r="118" spans="1:5" x14ac:dyDescent="0.25">
      <c r="A118" t="s">
        <v>34</v>
      </c>
      <c r="B118" t="s">
        <v>110</v>
      </c>
      <c r="C118" s="130">
        <v>544.87</v>
      </c>
      <c r="D118" s="126">
        <v>441</v>
      </c>
      <c r="E118" s="133">
        <f t="shared" si="2"/>
        <v>103.87</v>
      </c>
    </row>
    <row r="119" spans="1:5" x14ac:dyDescent="0.25">
      <c r="A119" t="s">
        <v>34</v>
      </c>
      <c r="B119" t="s">
        <v>109</v>
      </c>
      <c r="C119" s="130">
        <v>20637.96</v>
      </c>
      <c r="D119" s="126">
        <v>3809</v>
      </c>
      <c r="E119" s="133">
        <f t="shared" si="2"/>
        <v>16828.96</v>
      </c>
    </row>
    <row r="120" spans="1:5" x14ac:dyDescent="0.25">
      <c r="A120" t="s">
        <v>34</v>
      </c>
      <c r="B120" t="s">
        <v>108</v>
      </c>
      <c r="C120" s="130">
        <v>13105.18</v>
      </c>
      <c r="D120" s="126">
        <v>8894</v>
      </c>
      <c r="E120" s="133">
        <f t="shared" si="2"/>
        <v>4211.18</v>
      </c>
    </row>
    <row r="121" spans="1:5" x14ac:dyDescent="0.25">
      <c r="A121" t="s">
        <v>34</v>
      </c>
      <c r="B121" t="s">
        <v>107</v>
      </c>
      <c r="C121" s="130">
        <v>0</v>
      </c>
      <c r="D121" s="126">
        <v>0</v>
      </c>
      <c r="E121" s="133">
        <f t="shared" si="2"/>
        <v>0</v>
      </c>
    </row>
    <row r="122" spans="1:5" x14ac:dyDescent="0.25">
      <c r="A122" t="s">
        <v>34</v>
      </c>
      <c r="B122" t="s">
        <v>106</v>
      </c>
      <c r="C122" s="130">
        <v>0</v>
      </c>
      <c r="D122" s="126">
        <v>0</v>
      </c>
      <c r="E122" s="133">
        <f t="shared" si="2"/>
        <v>0</v>
      </c>
    </row>
    <row r="123" spans="1:5" x14ac:dyDescent="0.25">
      <c r="A123" t="s">
        <v>34</v>
      </c>
      <c r="B123" t="s">
        <v>105</v>
      </c>
      <c r="C123" s="130">
        <v>0</v>
      </c>
      <c r="D123" s="126">
        <v>0</v>
      </c>
      <c r="E123" s="133">
        <f t="shared" si="2"/>
        <v>0</v>
      </c>
    </row>
    <row r="124" spans="1:5" x14ac:dyDescent="0.25">
      <c r="A124" t="s">
        <v>34</v>
      </c>
      <c r="B124" t="s">
        <v>104</v>
      </c>
      <c r="C124" s="130">
        <v>0</v>
      </c>
      <c r="D124" s="126">
        <v>0</v>
      </c>
      <c r="E124" s="133">
        <f t="shared" si="2"/>
        <v>0</v>
      </c>
    </row>
    <row r="125" spans="1:5" x14ac:dyDescent="0.25">
      <c r="A125" t="s">
        <v>34</v>
      </c>
      <c r="B125" s="16" t="s">
        <v>103</v>
      </c>
      <c r="C125" s="130">
        <v>113206.32999999999</v>
      </c>
      <c r="D125" s="126">
        <v>28730</v>
      </c>
      <c r="E125" s="133">
        <f t="shared" si="2"/>
        <v>84476.329999999987</v>
      </c>
    </row>
    <row r="126" spans="1:5" x14ac:dyDescent="0.25">
      <c r="A126" t="s">
        <v>34</v>
      </c>
      <c r="B126" s="16" t="s">
        <v>102</v>
      </c>
      <c r="C126" s="130">
        <v>-111939.59</v>
      </c>
      <c r="D126" s="126">
        <v>-29934</v>
      </c>
      <c r="E126" s="133">
        <f t="shared" si="2"/>
        <v>-82005.59</v>
      </c>
    </row>
    <row r="127" spans="1:5" ht="15.75" x14ac:dyDescent="0.25">
      <c r="A127" s="17" t="s">
        <v>34</v>
      </c>
      <c r="B127" s="17" t="s">
        <v>101</v>
      </c>
      <c r="C127" s="132">
        <v>109884.65999999997</v>
      </c>
      <c r="D127" s="128">
        <v>41451</v>
      </c>
      <c r="E127" s="135">
        <f t="shared" si="2"/>
        <v>68433.659999999974</v>
      </c>
    </row>
    <row r="128" spans="1:5" x14ac:dyDescent="0.25">
      <c r="A128" t="s">
        <v>34</v>
      </c>
      <c r="B128" t="s">
        <v>100</v>
      </c>
      <c r="C128" s="130">
        <v>15275.9</v>
      </c>
      <c r="D128" s="126">
        <v>5932</v>
      </c>
      <c r="E128" s="133">
        <f t="shared" si="2"/>
        <v>9343.9</v>
      </c>
    </row>
    <row r="129" spans="1:5" x14ac:dyDescent="0.25">
      <c r="A129" t="s">
        <v>34</v>
      </c>
      <c r="B129" s="16" t="s">
        <v>99</v>
      </c>
      <c r="C129" s="130">
        <v>139898.45000000001</v>
      </c>
      <c r="D129" s="126">
        <v>25815</v>
      </c>
      <c r="E129" s="133">
        <f t="shared" si="2"/>
        <v>114083.45000000001</v>
      </c>
    </row>
    <row r="130" spans="1:5" x14ac:dyDescent="0.25">
      <c r="A130" t="s">
        <v>34</v>
      </c>
      <c r="B130" t="s">
        <v>98</v>
      </c>
      <c r="C130" s="130">
        <v>28127.84</v>
      </c>
      <c r="D130" s="126">
        <v>4099</v>
      </c>
      <c r="E130" s="133">
        <f t="shared" si="2"/>
        <v>24028.84</v>
      </c>
    </row>
    <row r="131" spans="1:5" x14ac:dyDescent="0.25">
      <c r="A131" t="s">
        <v>34</v>
      </c>
      <c r="B131" t="s">
        <v>97</v>
      </c>
      <c r="C131" s="130">
        <v>8768.4600000000009</v>
      </c>
      <c r="D131" s="126">
        <v>2845</v>
      </c>
      <c r="E131" s="133">
        <f t="shared" si="2"/>
        <v>5923.4600000000009</v>
      </c>
    </row>
    <row r="132" spans="1:5" x14ac:dyDescent="0.25">
      <c r="A132" t="s">
        <v>34</v>
      </c>
      <c r="B132" t="s">
        <v>96</v>
      </c>
      <c r="C132" s="130">
        <v>177829.06</v>
      </c>
      <c r="D132" s="126">
        <v>55298</v>
      </c>
      <c r="E132" s="133">
        <f t="shared" si="2"/>
        <v>122531.06</v>
      </c>
    </row>
    <row r="133" spans="1:5" x14ac:dyDescent="0.25">
      <c r="A133" t="s">
        <v>34</v>
      </c>
      <c r="B133" t="s">
        <v>95</v>
      </c>
      <c r="C133" s="130">
        <v>37594.26</v>
      </c>
      <c r="D133" s="126">
        <v>11092</v>
      </c>
      <c r="E133" s="133">
        <f t="shared" si="2"/>
        <v>26502.260000000002</v>
      </c>
    </row>
    <row r="134" spans="1:5" x14ac:dyDescent="0.25">
      <c r="A134" t="s">
        <v>34</v>
      </c>
      <c r="B134" t="s">
        <v>94</v>
      </c>
      <c r="C134" s="130">
        <v>4300.51</v>
      </c>
      <c r="D134" s="126">
        <v>2134</v>
      </c>
      <c r="E134" s="133">
        <f t="shared" si="2"/>
        <v>2166.5100000000002</v>
      </c>
    </row>
    <row r="135" spans="1:5" x14ac:dyDescent="0.25">
      <c r="A135" t="s">
        <v>34</v>
      </c>
      <c r="B135" t="s">
        <v>93</v>
      </c>
      <c r="C135" s="130">
        <v>6127.9</v>
      </c>
      <c r="D135" s="126">
        <v>666</v>
      </c>
      <c r="E135" s="133">
        <f t="shared" si="2"/>
        <v>5461.9</v>
      </c>
    </row>
    <row r="136" spans="1:5" x14ac:dyDescent="0.25">
      <c r="A136" t="s">
        <v>34</v>
      </c>
      <c r="B136" t="s">
        <v>92</v>
      </c>
      <c r="C136" s="130">
        <v>0</v>
      </c>
      <c r="D136" s="126">
        <v>0</v>
      </c>
      <c r="E136" s="133">
        <f t="shared" si="2"/>
        <v>0</v>
      </c>
    </row>
    <row r="137" spans="1:5" x14ac:dyDescent="0.25">
      <c r="A137" t="s">
        <v>34</v>
      </c>
      <c r="B137" s="16" t="s">
        <v>91</v>
      </c>
      <c r="C137" s="130">
        <v>611212.74</v>
      </c>
      <c r="D137" s="126">
        <v>164222</v>
      </c>
      <c r="E137" s="133">
        <f t="shared" si="2"/>
        <v>446990.74</v>
      </c>
    </row>
    <row r="138" spans="1:5" x14ac:dyDescent="0.25">
      <c r="A138" t="s">
        <v>34</v>
      </c>
      <c r="B138" t="s">
        <v>90</v>
      </c>
      <c r="C138" s="130">
        <v>-682619.84</v>
      </c>
      <c r="D138" s="126">
        <v>-183002</v>
      </c>
      <c r="E138" s="133">
        <f t="shared" si="2"/>
        <v>-499617.83999999997</v>
      </c>
    </row>
    <row r="139" spans="1:5" ht="15.75" x14ac:dyDescent="0.25">
      <c r="A139" s="17" t="s">
        <v>34</v>
      </c>
      <c r="B139" s="17" t="s">
        <v>89</v>
      </c>
      <c r="C139" s="132">
        <v>346515.28</v>
      </c>
      <c r="D139" s="128">
        <v>89101</v>
      </c>
      <c r="E139" s="135">
        <f t="shared" si="2"/>
        <v>257414.28000000003</v>
      </c>
    </row>
    <row r="140" spans="1:5" x14ac:dyDescent="0.25">
      <c r="A140" t="s">
        <v>34</v>
      </c>
      <c r="B140" t="s">
        <v>88</v>
      </c>
      <c r="C140" s="130">
        <v>141810.16</v>
      </c>
      <c r="D140" s="126">
        <v>15523</v>
      </c>
      <c r="E140" s="133">
        <f t="shared" si="2"/>
        <v>126287.16</v>
      </c>
    </row>
    <row r="141" spans="1:5" x14ac:dyDescent="0.25">
      <c r="A141" t="s">
        <v>34</v>
      </c>
      <c r="B141" s="16" t="s">
        <v>87</v>
      </c>
      <c r="C141" s="130">
        <v>0</v>
      </c>
      <c r="D141" s="126">
        <v>3402</v>
      </c>
      <c r="E141" s="133">
        <f t="shared" si="2"/>
        <v>-3402</v>
      </c>
    </row>
    <row r="142" spans="1:5" x14ac:dyDescent="0.25">
      <c r="A142" t="s">
        <v>34</v>
      </c>
      <c r="B142" s="16" t="s">
        <v>86</v>
      </c>
      <c r="C142" s="130">
        <v>7725.82</v>
      </c>
      <c r="D142" s="126">
        <v>2069</v>
      </c>
      <c r="E142" s="133">
        <f t="shared" si="2"/>
        <v>5656.82</v>
      </c>
    </row>
    <row r="143" spans="1:5" x14ac:dyDescent="0.25">
      <c r="A143" t="s">
        <v>34</v>
      </c>
      <c r="B143" t="s">
        <v>85</v>
      </c>
      <c r="C143" s="130">
        <v>0</v>
      </c>
      <c r="D143" s="126">
        <v>0</v>
      </c>
      <c r="E143" s="133">
        <f t="shared" si="2"/>
        <v>0</v>
      </c>
    </row>
    <row r="144" spans="1:5" x14ac:dyDescent="0.25">
      <c r="A144" t="s">
        <v>34</v>
      </c>
      <c r="B144" t="s">
        <v>84</v>
      </c>
      <c r="C144" s="130">
        <v>11435.23</v>
      </c>
      <c r="D144" s="126">
        <v>4398</v>
      </c>
      <c r="E144" s="133">
        <f t="shared" si="2"/>
        <v>7037.23</v>
      </c>
    </row>
    <row r="145" spans="1:5" x14ac:dyDescent="0.25">
      <c r="A145" t="s">
        <v>34</v>
      </c>
      <c r="B145" t="s">
        <v>83</v>
      </c>
      <c r="C145" s="130">
        <v>0</v>
      </c>
      <c r="D145" s="126">
        <v>0</v>
      </c>
      <c r="E145" s="133">
        <f t="shared" si="2"/>
        <v>0</v>
      </c>
    </row>
    <row r="146" spans="1:5" x14ac:dyDescent="0.25">
      <c r="A146" t="s">
        <v>34</v>
      </c>
      <c r="B146" t="s">
        <v>82</v>
      </c>
      <c r="C146" s="130">
        <v>0</v>
      </c>
      <c r="D146" s="126">
        <v>0</v>
      </c>
      <c r="E146" s="133">
        <f t="shared" si="2"/>
        <v>0</v>
      </c>
    </row>
    <row r="147" spans="1:5" x14ac:dyDescent="0.25">
      <c r="A147" t="s">
        <v>34</v>
      </c>
      <c r="B147" t="s">
        <v>81</v>
      </c>
      <c r="C147" s="130">
        <v>0</v>
      </c>
      <c r="D147" s="126">
        <v>0</v>
      </c>
      <c r="E147" s="133">
        <f t="shared" si="2"/>
        <v>0</v>
      </c>
    </row>
    <row r="148" spans="1:5" x14ac:dyDescent="0.25">
      <c r="A148" t="s">
        <v>34</v>
      </c>
      <c r="B148" t="s">
        <v>80</v>
      </c>
      <c r="C148" s="130">
        <v>9096.4600000000009</v>
      </c>
      <c r="D148" s="126">
        <v>2574</v>
      </c>
      <c r="E148" s="133">
        <f t="shared" si="2"/>
        <v>6522.4600000000009</v>
      </c>
    </row>
    <row r="149" spans="1:5" x14ac:dyDescent="0.25">
      <c r="A149" t="s">
        <v>34</v>
      </c>
      <c r="B149" t="s">
        <v>79</v>
      </c>
      <c r="C149" s="130">
        <v>0</v>
      </c>
      <c r="D149" s="126">
        <v>0</v>
      </c>
      <c r="E149" s="133">
        <f t="shared" si="2"/>
        <v>0</v>
      </c>
    </row>
    <row r="150" spans="1:5" x14ac:dyDescent="0.25">
      <c r="A150" t="s">
        <v>34</v>
      </c>
      <c r="B150" t="s">
        <v>78</v>
      </c>
      <c r="C150" s="130">
        <v>0</v>
      </c>
      <c r="D150" s="126">
        <v>0</v>
      </c>
      <c r="E150" s="133">
        <f t="shared" si="2"/>
        <v>0</v>
      </c>
    </row>
    <row r="151" spans="1:5" x14ac:dyDescent="0.25">
      <c r="A151" t="s">
        <v>34</v>
      </c>
      <c r="B151" t="s">
        <v>77</v>
      </c>
      <c r="C151" s="130">
        <v>0</v>
      </c>
      <c r="D151" s="126">
        <v>0</v>
      </c>
      <c r="E151" s="133">
        <f t="shared" si="2"/>
        <v>0</v>
      </c>
    </row>
    <row r="152" spans="1:5" x14ac:dyDescent="0.25">
      <c r="A152" t="s">
        <v>34</v>
      </c>
      <c r="B152" t="s">
        <v>76</v>
      </c>
      <c r="C152" s="130">
        <v>109.16</v>
      </c>
      <c r="D152" s="126">
        <v>36</v>
      </c>
      <c r="E152" s="133">
        <f t="shared" si="2"/>
        <v>73.16</v>
      </c>
    </row>
    <row r="153" spans="1:5" x14ac:dyDescent="0.25">
      <c r="A153" t="s">
        <v>34</v>
      </c>
      <c r="B153" t="s">
        <v>75</v>
      </c>
      <c r="C153" s="130">
        <v>0</v>
      </c>
      <c r="D153" s="126">
        <v>0</v>
      </c>
      <c r="E153" s="133">
        <f t="shared" si="2"/>
        <v>0</v>
      </c>
    </row>
    <row r="154" spans="1:5" x14ac:dyDescent="0.25">
      <c r="A154" t="s">
        <v>34</v>
      </c>
      <c r="B154" s="16" t="s">
        <v>74</v>
      </c>
      <c r="C154" s="130">
        <v>0</v>
      </c>
      <c r="D154" s="126">
        <v>0</v>
      </c>
      <c r="E154" s="133">
        <f t="shared" si="2"/>
        <v>0</v>
      </c>
    </row>
    <row r="155" spans="1:5" x14ac:dyDescent="0.25">
      <c r="A155" t="s">
        <v>34</v>
      </c>
      <c r="B155" s="16" t="s">
        <v>73</v>
      </c>
      <c r="C155" s="130">
        <v>179289.27999999997</v>
      </c>
      <c r="D155" s="126">
        <v>45934</v>
      </c>
      <c r="E155" s="133">
        <f t="shared" si="2"/>
        <v>133355.27999999997</v>
      </c>
    </row>
    <row r="156" spans="1:5" x14ac:dyDescent="0.25">
      <c r="A156" t="s">
        <v>34</v>
      </c>
      <c r="B156" s="16" t="s">
        <v>72</v>
      </c>
      <c r="C156" s="130">
        <v>-182756.42</v>
      </c>
      <c r="D156" s="126">
        <v>-46855</v>
      </c>
      <c r="E156" s="133">
        <f t="shared" si="2"/>
        <v>-135901.42000000001</v>
      </c>
    </row>
    <row r="157" spans="1:5" ht="15.75" x14ac:dyDescent="0.25">
      <c r="A157" s="17" t="s">
        <v>34</v>
      </c>
      <c r="B157" s="17" t="s">
        <v>71</v>
      </c>
      <c r="C157" s="132">
        <v>166709.68999999997</v>
      </c>
      <c r="D157" s="128">
        <v>27081</v>
      </c>
      <c r="E157" s="135">
        <f t="shared" si="2"/>
        <v>139628.68999999997</v>
      </c>
    </row>
    <row r="158" spans="1:5" ht="15.75" x14ac:dyDescent="0.25">
      <c r="A158" s="17" t="s">
        <v>34</v>
      </c>
      <c r="B158" s="17" t="s">
        <v>70</v>
      </c>
      <c r="C158" s="132">
        <v>3848265.0900000003</v>
      </c>
      <c r="D158" s="128">
        <v>1139985</v>
      </c>
      <c r="E158" s="135">
        <f t="shared" si="2"/>
        <v>2708280.0900000003</v>
      </c>
    </row>
    <row r="159" spans="1:5" x14ac:dyDescent="0.25">
      <c r="A159" t="s">
        <v>34</v>
      </c>
      <c r="B159" t="s">
        <v>69</v>
      </c>
      <c r="C159" s="130">
        <v>0</v>
      </c>
      <c r="D159" s="126">
        <v>0</v>
      </c>
    </row>
    <row r="160" spans="1:5" x14ac:dyDescent="0.25">
      <c r="A160" t="s">
        <v>34</v>
      </c>
      <c r="B160" s="16" t="s">
        <v>68</v>
      </c>
      <c r="C160" s="130">
        <v>0</v>
      </c>
      <c r="D160" s="126">
        <v>4030</v>
      </c>
    </row>
    <row r="161" spans="1:4" x14ac:dyDescent="0.25">
      <c r="A161" t="s">
        <v>34</v>
      </c>
      <c r="B161" t="s">
        <v>67</v>
      </c>
      <c r="C161" s="130">
        <v>0</v>
      </c>
      <c r="D161" s="126">
        <v>0</v>
      </c>
    </row>
    <row r="162" spans="1:4" x14ac:dyDescent="0.25">
      <c r="A162" t="s">
        <v>34</v>
      </c>
      <c r="B162" t="s">
        <v>66</v>
      </c>
      <c r="C162" s="130">
        <v>268182.39999999997</v>
      </c>
      <c r="D162" s="126">
        <v>82438</v>
      </c>
    </row>
    <row r="163" spans="1:4" x14ac:dyDescent="0.25">
      <c r="A163" t="s">
        <v>34</v>
      </c>
      <c r="B163" t="s">
        <v>65</v>
      </c>
      <c r="C163" s="130">
        <v>0</v>
      </c>
      <c r="D163" s="126">
        <v>0</v>
      </c>
    </row>
    <row r="164" spans="1:4" x14ac:dyDescent="0.25">
      <c r="A164" t="s">
        <v>34</v>
      </c>
      <c r="B164" s="16" t="s">
        <v>64</v>
      </c>
      <c r="C164" s="130">
        <v>76635.929999999993</v>
      </c>
      <c r="D164" s="126">
        <v>25545</v>
      </c>
    </row>
    <row r="165" spans="1:4" x14ac:dyDescent="0.25">
      <c r="A165" t="s">
        <v>34</v>
      </c>
      <c r="B165" t="s">
        <v>63</v>
      </c>
      <c r="C165" s="130">
        <v>0</v>
      </c>
      <c r="D165" s="126">
        <v>0</v>
      </c>
    </row>
    <row r="166" spans="1:4" x14ac:dyDescent="0.25">
      <c r="A166" t="s">
        <v>34</v>
      </c>
      <c r="B166" t="s">
        <v>62</v>
      </c>
      <c r="C166" s="130">
        <v>0</v>
      </c>
      <c r="D166" s="126">
        <v>0</v>
      </c>
    </row>
    <row r="167" spans="1:4" x14ac:dyDescent="0.25">
      <c r="A167" t="s">
        <v>34</v>
      </c>
      <c r="B167" t="s">
        <v>61</v>
      </c>
      <c r="C167" s="130">
        <v>0</v>
      </c>
      <c r="D167" s="126">
        <v>0</v>
      </c>
    </row>
    <row r="168" spans="1:4" x14ac:dyDescent="0.25">
      <c r="A168" t="s">
        <v>34</v>
      </c>
      <c r="B168" t="s">
        <v>60</v>
      </c>
      <c r="C168" s="130">
        <v>0</v>
      </c>
      <c r="D168" s="126">
        <v>0</v>
      </c>
    </row>
    <row r="169" spans="1:4" x14ac:dyDescent="0.25">
      <c r="A169" t="s">
        <v>34</v>
      </c>
      <c r="B169" s="16" t="s">
        <v>59</v>
      </c>
      <c r="C169" s="130">
        <v>349087.37999999995</v>
      </c>
      <c r="D169" s="126">
        <v>110944</v>
      </c>
    </row>
    <row r="170" spans="1:4" x14ac:dyDescent="0.25">
      <c r="A170" t="s">
        <v>34</v>
      </c>
      <c r="B170" s="16" t="s">
        <v>58</v>
      </c>
      <c r="C170" s="130">
        <v>-365913.10000000003</v>
      </c>
      <c r="D170" s="126">
        <v>-116512</v>
      </c>
    </row>
    <row r="171" spans="1:4" x14ac:dyDescent="0.25">
      <c r="A171" t="s">
        <v>34</v>
      </c>
      <c r="B171" s="97" t="s">
        <v>57</v>
      </c>
      <c r="C171" s="130">
        <v>327992.60999999993</v>
      </c>
      <c r="D171" s="126">
        <v>106445</v>
      </c>
    </row>
    <row r="172" spans="1:4" x14ac:dyDescent="0.25">
      <c r="A172" t="s">
        <v>34</v>
      </c>
      <c r="B172" t="s">
        <v>56</v>
      </c>
      <c r="C172" s="130">
        <v>0</v>
      </c>
      <c r="D172" s="126">
        <v>0</v>
      </c>
    </row>
    <row r="173" spans="1:4" x14ac:dyDescent="0.25">
      <c r="A173" t="s">
        <v>34</v>
      </c>
      <c r="B173" t="s">
        <v>55</v>
      </c>
      <c r="C173" s="130">
        <v>0</v>
      </c>
      <c r="D173" s="126">
        <v>0</v>
      </c>
    </row>
    <row r="174" spans="1:4" x14ac:dyDescent="0.25">
      <c r="A174" t="s">
        <v>34</v>
      </c>
      <c r="B174" t="s">
        <v>54</v>
      </c>
      <c r="C174" s="130">
        <v>0</v>
      </c>
      <c r="D174" s="126">
        <v>0</v>
      </c>
    </row>
    <row r="175" spans="1:4" x14ac:dyDescent="0.25">
      <c r="A175" t="s">
        <v>34</v>
      </c>
      <c r="B175" t="s">
        <v>53</v>
      </c>
      <c r="C175" s="130">
        <v>0</v>
      </c>
      <c r="D175" s="126">
        <v>0</v>
      </c>
    </row>
    <row r="176" spans="1:4" x14ac:dyDescent="0.25">
      <c r="A176" t="s">
        <v>34</v>
      </c>
      <c r="B176" t="s">
        <v>52</v>
      </c>
      <c r="C176" s="130">
        <v>0</v>
      </c>
      <c r="D176" s="126">
        <v>0</v>
      </c>
    </row>
    <row r="177" spans="1:4" ht="15.75" x14ac:dyDescent="0.25">
      <c r="A177" s="17" t="s">
        <v>34</v>
      </c>
      <c r="B177" s="17" t="s">
        <v>51</v>
      </c>
      <c r="C177" s="132">
        <v>327992.60999999993</v>
      </c>
      <c r="D177" s="128">
        <v>212890</v>
      </c>
    </row>
    <row r="178" spans="1:4" x14ac:dyDescent="0.25">
      <c r="A178" t="s">
        <v>34</v>
      </c>
      <c r="B178" t="s">
        <v>50</v>
      </c>
      <c r="C178" s="130">
        <v>0</v>
      </c>
      <c r="D178" s="126"/>
    </row>
    <row r="179" spans="1:4" x14ac:dyDescent="0.25">
      <c r="A179" t="s">
        <v>34</v>
      </c>
      <c r="B179" t="s">
        <v>49</v>
      </c>
      <c r="C179" s="130">
        <v>107050.55999999998</v>
      </c>
      <c r="D179" s="126"/>
    </row>
    <row r="180" spans="1:4" x14ac:dyDescent="0.25">
      <c r="A180" t="s">
        <v>34</v>
      </c>
      <c r="B180" t="s">
        <v>48</v>
      </c>
      <c r="C180" s="130">
        <v>539</v>
      </c>
      <c r="D180" s="126"/>
    </row>
    <row r="181" spans="1:4" x14ac:dyDescent="0.25">
      <c r="A181" t="s">
        <v>34</v>
      </c>
      <c r="B181" t="s">
        <v>47</v>
      </c>
      <c r="C181" s="130">
        <v>6327.19</v>
      </c>
      <c r="D181" s="126"/>
    </row>
    <row r="182" spans="1:4" x14ac:dyDescent="0.25">
      <c r="A182" t="s">
        <v>34</v>
      </c>
      <c r="B182" t="s">
        <v>46</v>
      </c>
      <c r="C182" s="130">
        <v>1680</v>
      </c>
      <c r="D182" s="126"/>
    </row>
    <row r="183" spans="1:4" x14ac:dyDescent="0.25">
      <c r="A183" t="s">
        <v>34</v>
      </c>
      <c r="B183" t="s">
        <v>45</v>
      </c>
      <c r="C183" s="130">
        <v>0</v>
      </c>
      <c r="D183" s="126"/>
    </row>
    <row r="184" spans="1:4" x14ac:dyDescent="0.25">
      <c r="A184" t="s">
        <v>34</v>
      </c>
      <c r="B184" t="s">
        <v>44</v>
      </c>
      <c r="C184" s="130">
        <v>727.65</v>
      </c>
      <c r="D184" s="126"/>
    </row>
    <row r="185" spans="1:4" x14ac:dyDescent="0.25">
      <c r="A185" t="s">
        <v>34</v>
      </c>
      <c r="B185" t="s">
        <v>43</v>
      </c>
      <c r="C185" s="130">
        <v>4565.3600000000006</v>
      </c>
      <c r="D185" s="126"/>
    </row>
    <row r="186" spans="1:4" x14ac:dyDescent="0.25">
      <c r="A186" t="s">
        <v>34</v>
      </c>
      <c r="B186" t="s">
        <v>42</v>
      </c>
      <c r="C186" s="130">
        <v>-12897.08</v>
      </c>
      <c r="D186" s="126"/>
    </row>
    <row r="187" spans="1:4" x14ac:dyDescent="0.25">
      <c r="A187" t="s">
        <v>34</v>
      </c>
      <c r="B187" t="s">
        <v>41</v>
      </c>
      <c r="C187" s="130">
        <v>942.11999999999898</v>
      </c>
      <c r="D187" s="126"/>
    </row>
    <row r="188" spans="1:4" x14ac:dyDescent="0.25">
      <c r="A188" t="s">
        <v>34</v>
      </c>
      <c r="B188" t="s">
        <v>40</v>
      </c>
      <c r="C188" s="130">
        <v>0</v>
      </c>
      <c r="D188" s="126"/>
    </row>
    <row r="189" spans="1:4" x14ac:dyDescent="0.25">
      <c r="A189" t="s">
        <v>34</v>
      </c>
      <c r="B189" t="s">
        <v>39</v>
      </c>
      <c r="C189" s="130">
        <v>-34056.339999999997</v>
      </c>
      <c r="D189" s="126"/>
    </row>
    <row r="190" spans="1:4" x14ac:dyDescent="0.25">
      <c r="A190" t="s">
        <v>34</v>
      </c>
      <c r="B190" t="s">
        <v>38</v>
      </c>
      <c r="C190" s="130">
        <v>259766.39999999999</v>
      </c>
      <c r="D190" s="126"/>
    </row>
    <row r="191" spans="1:4" x14ac:dyDescent="0.25">
      <c r="A191" t="s">
        <v>34</v>
      </c>
      <c r="B191" t="s">
        <v>37</v>
      </c>
      <c r="C191" s="130">
        <v>333702.74</v>
      </c>
      <c r="D191" s="126"/>
    </row>
    <row r="192" spans="1:4" ht="15.75" x14ac:dyDescent="0.25">
      <c r="A192" s="17" t="s">
        <v>34</v>
      </c>
      <c r="B192" s="17" t="s">
        <v>36</v>
      </c>
      <c r="C192" s="130">
        <v>333702.74</v>
      </c>
      <c r="D192" s="126"/>
    </row>
    <row r="193" spans="1:4" x14ac:dyDescent="0.25">
      <c r="A193" t="s">
        <v>34</v>
      </c>
      <c r="B193" t="s">
        <v>35</v>
      </c>
      <c r="C193" s="130">
        <v>0</v>
      </c>
      <c r="D193" s="126"/>
    </row>
    <row r="194" spans="1:4" ht="15.75" x14ac:dyDescent="0.25">
      <c r="A194" s="17" t="s">
        <v>34</v>
      </c>
      <c r="B194" s="17" t="s">
        <v>33</v>
      </c>
      <c r="C194" s="130">
        <v>-442724.09000000014</v>
      </c>
      <c r="D194" s="12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80"/>
  <sheetViews>
    <sheetView workbookViewId="0">
      <selection activeCell="A11" sqref="A11"/>
    </sheetView>
  </sheetViews>
  <sheetFormatPr defaultRowHeight="15" x14ac:dyDescent="0.25"/>
  <cols>
    <col min="1" max="1" width="32.140625" customWidth="1"/>
    <col min="2" max="9" width="12.7109375" customWidth="1"/>
    <col min="10" max="10" width="3.85546875" customWidth="1"/>
    <col min="11" max="11" width="9.140625" hidden="1" customWidth="1"/>
    <col min="12" max="13" width="11.7109375" customWidth="1"/>
    <col min="14" max="19" width="12.7109375" customWidth="1"/>
    <col min="20" max="20" width="4.7109375" customWidth="1"/>
    <col min="21" max="21" width="11.5703125" customWidth="1"/>
    <col min="22" max="22" width="9.28515625" customWidth="1"/>
    <col min="23" max="23" width="3.140625" customWidth="1"/>
    <col min="24" max="24" width="14.28515625" customWidth="1"/>
    <col min="25" max="25" width="9.28515625" customWidth="1"/>
  </cols>
  <sheetData>
    <row r="1" spans="1:25" ht="18.75" x14ac:dyDescent="0.3">
      <c r="A1" s="9" t="s">
        <v>290</v>
      </c>
    </row>
    <row r="2" spans="1:25" ht="18.75" x14ac:dyDescent="0.3">
      <c r="A2" s="9" t="s">
        <v>339</v>
      </c>
      <c r="U2" s="193" t="s">
        <v>286</v>
      </c>
      <c r="X2" s="193" t="s">
        <v>285</v>
      </c>
    </row>
    <row r="3" spans="1:25" ht="21" customHeight="1" x14ac:dyDescent="0.3">
      <c r="A3" s="10"/>
      <c r="N3" s="195" t="s">
        <v>283</v>
      </c>
      <c r="O3" s="195"/>
      <c r="P3" s="195"/>
      <c r="Q3" s="195"/>
      <c r="R3" s="195"/>
      <c r="S3" s="195"/>
      <c r="U3" s="193"/>
      <c r="V3" s="193" t="s">
        <v>282</v>
      </c>
      <c r="X3" s="193"/>
      <c r="Y3" s="193" t="s">
        <v>282</v>
      </c>
    </row>
    <row r="4" spans="1:25" ht="15.75" x14ac:dyDescent="0.25">
      <c r="B4" s="87" t="s">
        <v>280</v>
      </c>
      <c r="C4" s="87" t="s">
        <v>279</v>
      </c>
      <c r="D4" s="87" t="s">
        <v>278</v>
      </c>
      <c r="E4" s="87" t="s">
        <v>281</v>
      </c>
      <c r="F4" s="87" t="s">
        <v>276</v>
      </c>
      <c r="G4" s="87" t="s">
        <v>275</v>
      </c>
      <c r="H4" s="87" t="s">
        <v>274</v>
      </c>
      <c r="I4" s="87" t="s">
        <v>3</v>
      </c>
      <c r="L4" s="87" t="s">
        <v>280</v>
      </c>
      <c r="M4" s="87" t="s">
        <v>279</v>
      </c>
      <c r="N4" s="88" t="s">
        <v>278</v>
      </c>
      <c r="O4" s="87" t="s">
        <v>277</v>
      </c>
      <c r="P4" s="87" t="s">
        <v>276</v>
      </c>
      <c r="Q4" s="87" t="s">
        <v>275</v>
      </c>
      <c r="R4" s="87" t="s">
        <v>274</v>
      </c>
      <c r="S4" s="87" t="s">
        <v>3</v>
      </c>
      <c r="U4" s="194"/>
      <c r="V4" s="194"/>
      <c r="X4" s="194"/>
      <c r="Y4" s="194"/>
    </row>
    <row r="5" spans="1:25" x14ac:dyDescent="0.25">
      <c r="B5" s="85"/>
      <c r="C5" s="85"/>
      <c r="D5" s="85"/>
      <c r="E5" s="85"/>
      <c r="F5" s="85"/>
      <c r="G5" s="85"/>
      <c r="H5" s="85"/>
      <c r="I5" s="85"/>
      <c r="L5" s="85"/>
      <c r="M5" s="85"/>
      <c r="N5" s="86"/>
      <c r="O5" s="85"/>
      <c r="P5" s="85"/>
      <c r="Q5" s="85"/>
      <c r="R5" s="85"/>
      <c r="S5" s="85"/>
    </row>
    <row r="6" spans="1:25" x14ac:dyDescent="0.25">
      <c r="A6" t="s">
        <v>273</v>
      </c>
      <c r="B6" s="64"/>
      <c r="C6" s="64"/>
      <c r="D6" s="64"/>
      <c r="E6" s="64"/>
      <c r="F6" s="64"/>
      <c r="G6" s="64"/>
      <c r="H6" s="64"/>
      <c r="I6" s="64"/>
      <c r="J6" s="64"/>
      <c r="L6" s="64"/>
      <c r="M6" s="64"/>
      <c r="N6" s="58"/>
      <c r="O6" s="64"/>
      <c r="P6" s="64"/>
      <c r="Q6" s="64"/>
      <c r="R6" s="64"/>
      <c r="S6" s="64"/>
    </row>
    <row r="7" spans="1:25" x14ac:dyDescent="0.25">
      <c r="A7" s="80" t="s">
        <v>272</v>
      </c>
      <c r="B7" s="64">
        <f>B54*54.99+23495</f>
        <v>4124209.2800000003</v>
      </c>
      <c r="C7" s="64">
        <f>55.67*C54+702</f>
        <v>124790.43000000001</v>
      </c>
      <c r="D7" s="64">
        <f>+D54*57.09+16926</f>
        <v>3083914.98</v>
      </c>
      <c r="E7" s="64">
        <f>E54*64.34+1010</f>
        <v>207348.38</v>
      </c>
      <c r="F7" s="64">
        <f>9542617.5-B7-C7-D7-E7-G7-H7</f>
        <v>734523.15</v>
      </c>
      <c r="G7" s="64">
        <f>1076390.07+17.33</f>
        <v>1076407.4000000001</v>
      </c>
      <c r="H7" s="64">
        <v>191423.88</v>
      </c>
      <c r="I7" s="64">
        <f>SUM(B7:H7)</f>
        <v>9542617.5</v>
      </c>
      <c r="J7" s="64"/>
      <c r="L7" s="47">
        <f t="shared" ref="L7:S9" si="0">B7/B$54</f>
        <v>55.30506463552004</v>
      </c>
      <c r="M7" s="47">
        <f t="shared" si="0"/>
        <v>55.984939434724097</v>
      </c>
      <c r="N7" s="58">
        <f t="shared" si="0"/>
        <v>57.40506645322214</v>
      </c>
      <c r="O7" s="47">
        <f t="shared" si="0"/>
        <v>64.654936077330845</v>
      </c>
      <c r="P7" s="47">
        <f t="shared" si="0"/>
        <v>38.016828839087005</v>
      </c>
      <c r="Q7" s="47">
        <f t="shared" si="0"/>
        <v>100.36629155442671</v>
      </c>
      <c r="R7" s="47">
        <f t="shared" si="0"/>
        <v>95.720554849936505</v>
      </c>
      <c r="S7" s="47">
        <f t="shared" si="0"/>
        <v>57.563458822440772</v>
      </c>
      <c r="U7" s="64">
        <f>D7+F7</f>
        <v>3818438.13</v>
      </c>
      <c r="V7" s="47">
        <f>U7/$U$54</f>
        <v>52.276578590693148</v>
      </c>
      <c r="X7" s="64">
        <f>SUM(B7:D7)</f>
        <v>7332914.6899999995</v>
      </c>
      <c r="Y7" s="47">
        <f>X7/$X$54</f>
        <v>56.181015529829985</v>
      </c>
    </row>
    <row r="8" spans="1:25" x14ac:dyDescent="0.25">
      <c r="A8" s="80" t="s">
        <v>271</v>
      </c>
      <c r="B8" s="64">
        <v>6830108</v>
      </c>
      <c r="C8" s="64">
        <f>7013189.85-B8</f>
        <v>183081.84999999963</v>
      </c>
      <c r="D8" s="64"/>
      <c r="E8" s="64">
        <v>240352.65</v>
      </c>
      <c r="F8" s="64"/>
      <c r="G8" s="64">
        <v>169418.37</v>
      </c>
      <c r="H8" s="64">
        <v>19936.12</v>
      </c>
      <c r="I8" s="64">
        <f>SUM(B8:H8)</f>
        <v>7442896.9900000002</v>
      </c>
      <c r="J8" s="64"/>
      <c r="L8" s="47">
        <f t="shared" si="0"/>
        <v>91.590784744944486</v>
      </c>
      <c r="M8" s="47">
        <f t="shared" si="0"/>
        <v>82.136316733961252</v>
      </c>
      <c r="N8" s="58">
        <f t="shared" si="0"/>
        <v>0</v>
      </c>
      <c r="O8" s="47">
        <f t="shared" si="0"/>
        <v>74.946258185219833</v>
      </c>
      <c r="P8" s="47">
        <f t="shared" si="0"/>
        <v>0</v>
      </c>
      <c r="Q8" s="47">
        <f t="shared" si="0"/>
        <v>15.796893925195736</v>
      </c>
      <c r="R8" s="47">
        <f t="shared" si="0"/>
        <v>9.9689572061485539</v>
      </c>
      <c r="S8" s="47">
        <f t="shared" si="0"/>
        <v>44.897418806059591</v>
      </c>
      <c r="U8" s="64">
        <f>D8+F8</f>
        <v>0</v>
      </c>
      <c r="V8" s="47">
        <f>U8/$U$54</f>
        <v>0</v>
      </c>
      <c r="X8" s="64">
        <f>SUM(B8:D8)</f>
        <v>7013189.8499999996</v>
      </c>
      <c r="Y8" s="47">
        <f>X8/$X$54</f>
        <v>53.731448480344454</v>
      </c>
    </row>
    <row r="9" spans="1:25" x14ac:dyDescent="0.25">
      <c r="A9" s="80" t="s">
        <v>340</v>
      </c>
      <c r="B9" s="64">
        <v>-3874575.12</v>
      </c>
      <c r="C9" s="64">
        <f>-3974121.6-B9</f>
        <v>-99546.479999999981</v>
      </c>
      <c r="D9" s="64"/>
      <c r="E9" s="64">
        <v>-208366.35</v>
      </c>
      <c r="F9" s="64"/>
      <c r="G9" s="64">
        <v>-332702.02</v>
      </c>
      <c r="H9" s="64">
        <v>-165339.04999999999</v>
      </c>
      <c r="I9" s="64">
        <f>SUM(B9:H9)</f>
        <v>-4680529.0200000005</v>
      </c>
      <c r="J9" s="64"/>
      <c r="L9" s="47">
        <f t="shared" si="0"/>
        <v>-51.957505766239343</v>
      </c>
      <c r="M9" s="47">
        <f t="shared" si="0"/>
        <v>-44.659703903095547</v>
      </c>
      <c r="N9" s="58">
        <f t="shared" si="0"/>
        <v>0</v>
      </c>
      <c r="O9" s="47">
        <f t="shared" si="0"/>
        <v>-64.972357343311515</v>
      </c>
      <c r="P9" s="47">
        <f t="shared" si="0"/>
        <v>0</v>
      </c>
      <c r="Q9" s="47">
        <f t="shared" si="0"/>
        <v>-31.02177478533379</v>
      </c>
      <c r="R9" s="47">
        <f t="shared" si="0"/>
        <v>-82.67696592693342</v>
      </c>
      <c r="S9" s="47">
        <f t="shared" si="0"/>
        <v>-28.234123342993584</v>
      </c>
      <c r="U9" s="64">
        <f>D9+F9</f>
        <v>0</v>
      </c>
      <c r="V9" s="47">
        <f>U9/$U$54</f>
        <v>0</v>
      </c>
      <c r="X9" s="64">
        <f>SUM(B9:D9)</f>
        <v>-3974121.6</v>
      </c>
      <c r="Y9" s="47">
        <f>X9/$X$54</f>
        <v>-30.447672823946739</v>
      </c>
    </row>
    <row r="10" spans="1:25" x14ac:dyDescent="0.25">
      <c r="A10" s="79" t="s">
        <v>270</v>
      </c>
      <c r="B10" s="76">
        <f>SUM(B7:B9)</f>
        <v>7079742.1600000011</v>
      </c>
      <c r="C10" s="76">
        <f t="shared" ref="C10:I10" si="1">SUM(C7:C9)</f>
        <v>208325.79999999964</v>
      </c>
      <c r="D10" s="76">
        <f t="shared" si="1"/>
        <v>3083914.98</v>
      </c>
      <c r="E10" s="76">
        <f t="shared" si="1"/>
        <v>239334.68000000002</v>
      </c>
      <c r="F10" s="76">
        <f t="shared" si="1"/>
        <v>734523.15</v>
      </c>
      <c r="G10" s="76">
        <f t="shared" si="1"/>
        <v>913123.75</v>
      </c>
      <c r="H10" s="76">
        <f t="shared" si="1"/>
        <v>46020.950000000012</v>
      </c>
      <c r="I10" s="76">
        <f t="shared" si="1"/>
        <v>12304985.470000003</v>
      </c>
      <c r="J10" s="64"/>
      <c r="L10" s="75">
        <f>SUM(L7:L9)</f>
        <v>94.938343614225204</v>
      </c>
      <c r="M10" s="75">
        <f t="shared" ref="M10:S10" si="2">SUM(M7:M9)</f>
        <v>93.461552265589816</v>
      </c>
      <c r="N10" s="77">
        <f t="shared" si="2"/>
        <v>57.40506645322214</v>
      </c>
      <c r="O10" s="75">
        <f t="shared" si="2"/>
        <v>74.628836919239163</v>
      </c>
      <c r="P10" s="75">
        <f t="shared" si="2"/>
        <v>38.016828839087005</v>
      </c>
      <c r="Q10" s="75">
        <f t="shared" si="2"/>
        <v>85.141410694288652</v>
      </c>
      <c r="R10" s="75">
        <f t="shared" si="2"/>
        <v>23.012546129151644</v>
      </c>
      <c r="S10" s="75">
        <f t="shared" si="2"/>
        <v>74.226754285506772</v>
      </c>
      <c r="U10" s="76">
        <f>SUM(U7:U9)</f>
        <v>3818438.13</v>
      </c>
      <c r="V10" s="75">
        <f>SUM(V7:V9)</f>
        <v>52.276578590693148</v>
      </c>
      <c r="X10" s="76">
        <f>SUM(X7:X9)</f>
        <v>10371982.939999999</v>
      </c>
      <c r="Y10" s="75">
        <f>SUM(Y7:Y9)</f>
        <v>79.4647911862277</v>
      </c>
    </row>
    <row r="11" spans="1:25" x14ac:dyDescent="0.25">
      <c r="A11" s="80"/>
      <c r="B11" s="64"/>
      <c r="C11" s="64"/>
      <c r="D11" s="64"/>
      <c r="E11" s="64"/>
      <c r="F11" s="64"/>
      <c r="G11" s="64"/>
      <c r="H11" s="64"/>
      <c r="I11" s="64"/>
      <c r="J11" s="64"/>
      <c r="L11" s="64"/>
      <c r="M11" s="64"/>
      <c r="N11" s="74"/>
      <c r="O11" s="64"/>
      <c r="P11" s="64"/>
      <c r="Q11" s="64"/>
      <c r="R11" s="64"/>
      <c r="S11" s="47"/>
      <c r="U11" s="64"/>
      <c r="V11" s="64"/>
      <c r="X11" s="64"/>
      <c r="Y11" s="64"/>
    </row>
    <row r="12" spans="1:25" x14ac:dyDescent="0.25">
      <c r="A12" s="80" t="s">
        <v>269</v>
      </c>
      <c r="B12" s="64"/>
      <c r="C12" s="64"/>
      <c r="D12" s="64">
        <v>4316641.97</v>
      </c>
      <c r="E12" s="64"/>
      <c r="F12" s="64">
        <v>1554470.48</v>
      </c>
      <c r="G12" s="64">
        <v>168747.13</v>
      </c>
      <c r="H12" s="64"/>
      <c r="I12" s="64">
        <f>SUM(B12:H12)</f>
        <v>6039859.5799999991</v>
      </c>
      <c r="J12" s="64"/>
      <c r="L12" s="47">
        <f t="shared" ref="L12:S14" si="3">B12/B$54</f>
        <v>0</v>
      </c>
      <c r="M12" s="47">
        <f t="shared" si="3"/>
        <v>0</v>
      </c>
      <c r="N12" s="58">
        <f t="shared" si="3"/>
        <v>80.351475559361148</v>
      </c>
      <c r="O12" s="47">
        <f t="shared" si="3"/>
        <v>0</v>
      </c>
      <c r="P12" s="47">
        <f t="shared" si="3"/>
        <v>80.454970239635628</v>
      </c>
      <c r="Q12" s="47">
        <f t="shared" si="3"/>
        <v>15.73430621951572</v>
      </c>
      <c r="R12" s="47">
        <f t="shared" si="3"/>
        <v>0</v>
      </c>
      <c r="S12" s="47">
        <f t="shared" si="3"/>
        <v>36.433945741475476</v>
      </c>
      <c r="U12" s="64">
        <f>D12+F12</f>
        <v>5871112.4499999993</v>
      </c>
      <c r="V12" s="47">
        <f>U12/$U$54</f>
        <v>80.378851498432425</v>
      </c>
      <c r="X12" s="64">
        <f>SUM(B12:D12)</f>
        <v>4316641.97</v>
      </c>
      <c r="Y12" s="47">
        <f>X12/$X$54</f>
        <v>33.071887483432036</v>
      </c>
    </row>
    <row r="13" spans="1:25" x14ac:dyDescent="0.25">
      <c r="A13" s="80" t="s">
        <v>341</v>
      </c>
      <c r="B13" s="64"/>
      <c r="C13" s="64"/>
      <c r="D13" s="64">
        <v>-934689.72</v>
      </c>
      <c r="E13" s="64"/>
      <c r="F13" s="64">
        <v>-455453.93</v>
      </c>
      <c r="G13" s="64">
        <v>-328286</v>
      </c>
      <c r="H13" s="64"/>
      <c r="I13" s="64">
        <f>SUM(B13:H13)</f>
        <v>-1718429.65</v>
      </c>
      <c r="J13" s="64"/>
      <c r="L13" s="47">
        <f t="shared" si="3"/>
        <v>0</v>
      </c>
      <c r="M13" s="47">
        <f t="shared" si="3"/>
        <v>0</v>
      </c>
      <c r="N13" s="58">
        <f t="shared" si="3"/>
        <v>-17.398639663452588</v>
      </c>
      <c r="O13" s="47">
        <f t="shared" si="3"/>
        <v>0</v>
      </c>
      <c r="P13" s="47">
        <f t="shared" si="3"/>
        <v>-23.572999844728532</v>
      </c>
      <c r="Q13" s="47">
        <f t="shared" si="3"/>
        <v>-30.610016606385763</v>
      </c>
      <c r="R13" s="47">
        <f t="shared" si="3"/>
        <v>0</v>
      </c>
      <c r="S13" s="47">
        <f t="shared" si="3"/>
        <v>-10.365998050014715</v>
      </c>
      <c r="U13" s="64">
        <f t="shared" ref="U13:U14" si="4">D13+F13</f>
        <v>-1390143.65</v>
      </c>
      <c r="V13" s="47">
        <f t="shared" ref="V13:V14" si="5">U13/$U$54</f>
        <v>-19.031853154990895</v>
      </c>
      <c r="X13" s="64">
        <f t="shared" ref="X13:X14" si="6">SUM(B13:D13)</f>
        <v>-934689.72</v>
      </c>
      <c r="Y13" s="47">
        <f t="shared" ref="Y13:Y14" si="7">X13/$X$54</f>
        <v>-7.1611112217770048</v>
      </c>
    </row>
    <row r="14" spans="1:25" x14ac:dyDescent="0.25">
      <c r="A14" s="80" t="s">
        <v>342</v>
      </c>
      <c r="B14" s="76">
        <f>SUM(B12:B13)</f>
        <v>0</v>
      </c>
      <c r="C14" s="76">
        <f t="shared" ref="C14:H14" si="8">SUM(C12:C13)</f>
        <v>0</v>
      </c>
      <c r="D14" s="76">
        <f t="shared" si="8"/>
        <v>3381952.25</v>
      </c>
      <c r="E14" s="76">
        <f t="shared" si="8"/>
        <v>0</v>
      </c>
      <c r="F14" s="76">
        <f t="shared" si="8"/>
        <v>1099016.55</v>
      </c>
      <c r="G14" s="76">
        <f t="shared" si="8"/>
        <v>-159538.87</v>
      </c>
      <c r="H14" s="76">
        <f t="shared" si="8"/>
        <v>0</v>
      </c>
      <c r="I14" s="76">
        <f>SUM(I12:I13)</f>
        <v>4321429.93</v>
      </c>
      <c r="J14" s="64"/>
      <c r="L14" s="75">
        <f t="shared" si="3"/>
        <v>0</v>
      </c>
      <c r="M14" s="75">
        <f t="shared" si="3"/>
        <v>0</v>
      </c>
      <c r="N14" s="77">
        <f t="shared" si="3"/>
        <v>62.952835895908564</v>
      </c>
      <c r="O14" s="75">
        <f t="shared" si="3"/>
        <v>0</v>
      </c>
      <c r="P14" s="75">
        <f t="shared" si="3"/>
        <v>56.8819703949071</v>
      </c>
      <c r="Q14" s="75">
        <f t="shared" si="3"/>
        <v>-14.875710386870045</v>
      </c>
      <c r="R14" s="75">
        <f t="shared" si="3"/>
        <v>0</v>
      </c>
      <c r="S14" s="75">
        <f t="shared" si="3"/>
        <v>26.067947691460766</v>
      </c>
      <c r="U14" s="76">
        <f t="shared" si="4"/>
        <v>4480968.8</v>
      </c>
      <c r="V14" s="75">
        <f t="shared" si="5"/>
        <v>61.346998343441534</v>
      </c>
      <c r="X14" s="76">
        <f t="shared" si="6"/>
        <v>3381952.25</v>
      </c>
      <c r="Y14" s="75">
        <f t="shared" si="7"/>
        <v>25.910776261655034</v>
      </c>
    </row>
    <row r="15" spans="1:25" x14ac:dyDescent="0.25">
      <c r="A15" s="80"/>
      <c r="B15" s="64"/>
      <c r="C15" s="64"/>
      <c r="D15" s="64"/>
      <c r="E15" s="64"/>
      <c r="F15" s="64"/>
      <c r="G15" s="64"/>
      <c r="H15" s="64"/>
      <c r="I15" s="64"/>
      <c r="J15" s="64"/>
      <c r="L15" s="64"/>
      <c r="M15" s="64"/>
      <c r="N15" s="74"/>
      <c r="O15" s="64"/>
      <c r="P15" s="64"/>
      <c r="Q15" s="64"/>
      <c r="R15" s="64"/>
      <c r="S15" s="64"/>
      <c r="U15" s="64"/>
      <c r="V15" s="64"/>
      <c r="X15" s="64"/>
      <c r="Y15" s="64"/>
    </row>
    <row r="16" spans="1:25" x14ac:dyDescent="0.25">
      <c r="A16" s="84" t="s">
        <v>219</v>
      </c>
      <c r="B16" s="76">
        <f>B14+B10</f>
        <v>7079742.1600000011</v>
      </c>
      <c r="C16" s="76">
        <f t="shared" ref="C16:I16" si="9">C14+C10</f>
        <v>208325.79999999964</v>
      </c>
      <c r="D16" s="76">
        <f t="shared" si="9"/>
        <v>6465867.2300000004</v>
      </c>
      <c r="E16" s="76">
        <f t="shared" si="9"/>
        <v>239334.68000000002</v>
      </c>
      <c r="F16" s="76">
        <f t="shared" si="9"/>
        <v>1833539.7000000002</v>
      </c>
      <c r="G16" s="76">
        <f t="shared" si="9"/>
        <v>753584.88</v>
      </c>
      <c r="H16" s="76">
        <f t="shared" si="9"/>
        <v>46020.950000000012</v>
      </c>
      <c r="I16" s="76">
        <f t="shared" si="9"/>
        <v>16626415.400000002</v>
      </c>
      <c r="J16" s="64"/>
      <c r="L16" s="75">
        <f>L14+L10</f>
        <v>94.938343614225204</v>
      </c>
      <c r="M16" s="75">
        <f t="shared" ref="M16:S16" si="10">M14+M10</f>
        <v>93.461552265589816</v>
      </c>
      <c r="N16" s="77">
        <f t="shared" si="10"/>
        <v>120.35790234913071</v>
      </c>
      <c r="O16" s="75">
        <f t="shared" si="10"/>
        <v>74.628836919239163</v>
      </c>
      <c r="P16" s="75">
        <f t="shared" si="10"/>
        <v>94.898799233994112</v>
      </c>
      <c r="Q16" s="75">
        <f t="shared" si="10"/>
        <v>70.265700307418612</v>
      </c>
      <c r="R16" s="75">
        <f t="shared" si="10"/>
        <v>23.012546129151644</v>
      </c>
      <c r="S16" s="75">
        <f t="shared" si="10"/>
        <v>100.29470197696753</v>
      </c>
      <c r="U16" s="76">
        <f>U14+U10</f>
        <v>8299406.9299999997</v>
      </c>
      <c r="V16" s="75">
        <f>V14+V10</f>
        <v>113.62357693413469</v>
      </c>
      <c r="X16" s="76">
        <f>X14+X10</f>
        <v>13753935.189999999</v>
      </c>
      <c r="Y16" s="75">
        <f>Y14+Y10</f>
        <v>105.37556744788273</v>
      </c>
    </row>
    <row r="17" spans="1:25" x14ac:dyDescent="0.25">
      <c r="A17" s="80"/>
      <c r="B17" s="64"/>
      <c r="C17" s="64"/>
      <c r="D17" s="64"/>
      <c r="E17" s="64"/>
      <c r="F17" s="64"/>
      <c r="G17" s="64"/>
      <c r="H17" s="64"/>
      <c r="I17" s="64"/>
      <c r="J17" s="64"/>
      <c r="L17" s="64"/>
      <c r="M17" s="64"/>
      <c r="N17" s="74"/>
      <c r="O17" s="64"/>
      <c r="P17" s="64"/>
      <c r="Q17" s="64"/>
      <c r="R17" s="64"/>
      <c r="S17" s="47"/>
      <c r="U17" s="64"/>
      <c r="V17" s="64"/>
      <c r="X17" s="64"/>
      <c r="Y17" s="64"/>
    </row>
    <row r="18" spans="1:25" x14ac:dyDescent="0.25">
      <c r="A18" s="80" t="s">
        <v>268</v>
      </c>
      <c r="B18" s="47"/>
      <c r="C18" s="47"/>
      <c r="D18" s="47"/>
      <c r="E18" s="47"/>
      <c r="F18" s="47"/>
      <c r="G18" s="47"/>
      <c r="H18" s="47"/>
      <c r="I18" s="64"/>
      <c r="J18" s="64"/>
      <c r="L18" s="64"/>
      <c r="M18" s="64"/>
      <c r="N18" s="74"/>
      <c r="O18" s="64"/>
      <c r="P18" s="64"/>
      <c r="Q18" s="64"/>
      <c r="R18" s="64"/>
      <c r="S18" s="64"/>
      <c r="U18" s="64"/>
      <c r="V18" s="64"/>
      <c r="X18" s="64"/>
      <c r="Y18" s="64"/>
    </row>
    <row r="19" spans="1:25" x14ac:dyDescent="0.25">
      <c r="A19" s="79" t="s">
        <v>343</v>
      </c>
      <c r="B19" s="64">
        <f>48221.05/SUM($B$54:$F$54)*B54</f>
        <v>23495.045054262962</v>
      </c>
      <c r="C19" s="64">
        <f t="shared" ref="C19:F19" si="11">48221.05/SUM($B$54:$F$54)*C54</f>
        <v>702.28041927200741</v>
      </c>
      <c r="D19" s="64">
        <f t="shared" si="11"/>
        <v>16925.934806698424</v>
      </c>
      <c r="E19" s="64">
        <f t="shared" si="11"/>
        <v>1010.4142236901426</v>
      </c>
      <c r="F19" s="64">
        <f t="shared" si="11"/>
        <v>6087.3754960764718</v>
      </c>
      <c r="G19" s="64"/>
      <c r="H19" s="64"/>
      <c r="I19" s="64">
        <f t="shared" ref="I19:I23" si="12">SUM(B19:H19)</f>
        <v>48221.05000000001</v>
      </c>
      <c r="J19" s="64"/>
      <c r="L19" s="47">
        <f t="shared" ref="L19:S23" si="13">B19/B$54</f>
        <v>0.31506523969134476</v>
      </c>
      <c r="M19" s="47">
        <f t="shared" si="13"/>
        <v>0.31506523969134476</v>
      </c>
      <c r="N19" s="58">
        <f t="shared" si="13"/>
        <v>0.31506523969134476</v>
      </c>
      <c r="O19" s="47">
        <f t="shared" si="13"/>
        <v>0.31506523969134476</v>
      </c>
      <c r="P19" s="47">
        <f t="shared" si="13"/>
        <v>0.31506523969134476</v>
      </c>
      <c r="Q19" s="47">
        <f t="shared" si="13"/>
        <v>0</v>
      </c>
      <c r="R19" s="47">
        <f t="shared" si="13"/>
        <v>0</v>
      </c>
      <c r="S19" s="47">
        <f t="shared" si="13"/>
        <v>0.29088145113747443</v>
      </c>
      <c r="U19" s="64">
        <f t="shared" ref="U19:U23" si="14">D19+F19</f>
        <v>23013.310302774895</v>
      </c>
      <c r="V19" s="47">
        <f>U19/$U$54</f>
        <v>0.31506523969134476</v>
      </c>
      <c r="X19" s="64">
        <f t="shared" ref="X19:X23" si="15">SUM(B19:D19)</f>
        <v>41123.260280233393</v>
      </c>
      <c r="Y19" s="47">
        <f>X19/$X$54</f>
        <v>0.31506523969134476</v>
      </c>
    </row>
    <row r="20" spans="1:25" x14ac:dyDescent="0.25">
      <c r="A20" s="79" t="s">
        <v>266</v>
      </c>
      <c r="B20" s="64">
        <f>B54*(0.167-0.1052)*55.9</f>
        <v>257617.92264</v>
      </c>
      <c r="C20" s="64">
        <f>C54*(0.146)*55.9</f>
        <v>18191.760599999998</v>
      </c>
      <c r="D20" s="64">
        <f>D54*(0.2197)*55.09</f>
        <v>650212.03210600012</v>
      </c>
      <c r="E20" s="64">
        <f>E54*(0.3066)*55.09</f>
        <v>54168.134957999995</v>
      </c>
      <c r="F20" s="64">
        <f>1538825.24-E20-D20-C20-B20-G20-H20</f>
        <v>495330.11545599991</v>
      </c>
      <c r="G20" s="64">
        <f>G54*0.1*55.9</f>
        <v>59951.576099999998</v>
      </c>
      <c r="H20" s="64">
        <f>H54*0.03*55.9</f>
        <v>3353.69814</v>
      </c>
      <c r="I20" s="64">
        <f t="shared" si="12"/>
        <v>1538825.24</v>
      </c>
      <c r="J20" s="64"/>
      <c r="K20" s="64"/>
      <c r="L20" s="47">
        <f t="shared" si="13"/>
        <v>3.4546200000000002</v>
      </c>
      <c r="M20" s="47">
        <f t="shared" si="13"/>
        <v>8.1613999999999987</v>
      </c>
      <c r="N20" s="58">
        <f t="shared" si="13"/>
        <v>12.103273000000002</v>
      </c>
      <c r="O20" s="47">
        <f t="shared" si="13"/>
        <v>16.890594</v>
      </c>
      <c r="P20" s="47">
        <f t="shared" si="13"/>
        <v>25.63687777320014</v>
      </c>
      <c r="Q20" s="47">
        <f t="shared" si="13"/>
        <v>5.589999999999999</v>
      </c>
      <c r="R20" s="47">
        <f t="shared" si="13"/>
        <v>1.677</v>
      </c>
      <c r="S20" s="47">
        <f t="shared" si="13"/>
        <v>9.2825792648267136</v>
      </c>
      <c r="U20" s="64">
        <f t="shared" si="14"/>
        <v>1145542.147562</v>
      </c>
      <c r="V20" s="47">
        <f>U20/$U$54</f>
        <v>15.683120183480963</v>
      </c>
      <c r="X20" s="64">
        <f t="shared" si="15"/>
        <v>926021.71534600016</v>
      </c>
      <c r="Y20" s="47">
        <f>X20/$X$54</f>
        <v>7.0947014345824115</v>
      </c>
    </row>
    <row r="21" spans="1:25" x14ac:dyDescent="0.25">
      <c r="A21" s="79" t="s">
        <v>264</v>
      </c>
      <c r="B21" s="64"/>
      <c r="C21" s="64"/>
      <c r="D21" s="64"/>
      <c r="E21" s="64"/>
      <c r="F21" s="64"/>
      <c r="G21" s="64"/>
      <c r="H21" s="64"/>
      <c r="I21" s="64">
        <f t="shared" si="12"/>
        <v>0</v>
      </c>
      <c r="J21" s="64"/>
      <c r="L21" s="47">
        <f t="shared" si="13"/>
        <v>0</v>
      </c>
      <c r="M21" s="47">
        <f t="shared" si="13"/>
        <v>0</v>
      </c>
      <c r="N21" s="58">
        <f t="shared" si="13"/>
        <v>0</v>
      </c>
      <c r="O21" s="47">
        <f t="shared" si="13"/>
        <v>0</v>
      </c>
      <c r="P21" s="47">
        <f t="shared" si="13"/>
        <v>0</v>
      </c>
      <c r="Q21" s="47">
        <f t="shared" si="13"/>
        <v>0</v>
      </c>
      <c r="R21" s="47">
        <f t="shared" si="13"/>
        <v>0</v>
      </c>
      <c r="S21" s="47">
        <f t="shared" si="13"/>
        <v>0</v>
      </c>
      <c r="U21" s="64">
        <f t="shared" si="14"/>
        <v>0</v>
      </c>
      <c r="V21" s="47">
        <f>U21/$U$54</f>
        <v>0</v>
      </c>
      <c r="X21" s="64">
        <f t="shared" si="15"/>
        <v>0</v>
      </c>
      <c r="Y21" s="47">
        <f>X21/$X$54</f>
        <v>0</v>
      </c>
    </row>
    <row r="22" spans="1:25" x14ac:dyDescent="0.25">
      <c r="A22" s="79" t="s">
        <v>263</v>
      </c>
      <c r="B22" s="64">
        <f>225380/$I$54*B54</f>
        <v>101384.25887861309</v>
      </c>
      <c r="C22" s="64">
        <f t="shared" ref="C22:H22" si="16">225380/$I$54*C54</f>
        <v>3030.4338497080485</v>
      </c>
      <c r="D22" s="64">
        <f t="shared" si="16"/>
        <v>73037.670378652212</v>
      </c>
      <c r="E22" s="64">
        <f t="shared" si="16"/>
        <v>4360.0723894184439</v>
      </c>
      <c r="F22" s="64">
        <f t="shared" si="16"/>
        <v>26267.838676630417</v>
      </c>
      <c r="G22" s="64">
        <f t="shared" si="16"/>
        <v>14580.87332750578</v>
      </c>
      <c r="H22" s="64">
        <f t="shared" si="16"/>
        <v>2718.8524994720274</v>
      </c>
      <c r="I22" s="64">
        <f t="shared" si="12"/>
        <v>225380</v>
      </c>
      <c r="J22" s="64"/>
      <c r="L22" s="47">
        <f t="shared" si="13"/>
        <v>1.3595486091108338</v>
      </c>
      <c r="M22" s="47">
        <f t="shared" si="13"/>
        <v>1.3595486091108338</v>
      </c>
      <c r="N22" s="58">
        <f t="shared" si="13"/>
        <v>1.3595486091108338</v>
      </c>
      <c r="O22" s="47">
        <f t="shared" si="13"/>
        <v>1.3595486091108338</v>
      </c>
      <c r="P22" s="47">
        <f t="shared" si="13"/>
        <v>1.3595486091108338</v>
      </c>
      <c r="Q22" s="47">
        <f t="shared" si="13"/>
        <v>1.3595486091108338</v>
      </c>
      <c r="R22" s="47">
        <f t="shared" si="13"/>
        <v>1.3595486091108338</v>
      </c>
      <c r="S22" s="47">
        <f t="shared" si="13"/>
        <v>1.3595486091108338</v>
      </c>
      <c r="U22" s="64">
        <f t="shared" si="14"/>
        <v>99305.50905528263</v>
      </c>
      <c r="V22" s="47">
        <f>U22/$U$54</f>
        <v>1.3595486091108338</v>
      </c>
      <c r="X22" s="64">
        <f t="shared" si="15"/>
        <v>177452.36310697335</v>
      </c>
      <c r="Y22" s="47">
        <f>X22/$X$54</f>
        <v>1.3595486091108338</v>
      </c>
    </row>
    <row r="23" spans="1:25" x14ac:dyDescent="0.25">
      <c r="A23" s="79" t="s">
        <v>262</v>
      </c>
      <c r="B23" s="64"/>
      <c r="C23" s="64"/>
      <c r="D23" s="64"/>
      <c r="E23" s="64"/>
      <c r="F23" s="64"/>
      <c r="G23" s="64"/>
      <c r="H23" s="64"/>
      <c r="I23" s="64">
        <f t="shared" si="12"/>
        <v>0</v>
      </c>
      <c r="J23" s="64"/>
      <c r="L23" s="47">
        <f t="shared" si="13"/>
        <v>0</v>
      </c>
      <c r="M23" s="47">
        <f t="shared" si="13"/>
        <v>0</v>
      </c>
      <c r="N23" s="58">
        <f t="shared" si="13"/>
        <v>0</v>
      </c>
      <c r="O23" s="47">
        <f t="shared" si="13"/>
        <v>0</v>
      </c>
      <c r="P23" s="47">
        <f t="shared" si="13"/>
        <v>0</v>
      </c>
      <c r="Q23" s="47">
        <f t="shared" si="13"/>
        <v>0</v>
      </c>
      <c r="R23" s="47">
        <f t="shared" si="13"/>
        <v>0</v>
      </c>
      <c r="S23" s="47">
        <f t="shared" si="13"/>
        <v>0</v>
      </c>
      <c r="U23" s="64">
        <f t="shared" si="14"/>
        <v>0</v>
      </c>
      <c r="V23" s="47">
        <f>U23/$U$54</f>
        <v>0</v>
      </c>
      <c r="X23" s="64">
        <f t="shared" si="15"/>
        <v>0</v>
      </c>
      <c r="Y23" s="47">
        <f>X23/$X$54</f>
        <v>0</v>
      </c>
    </row>
    <row r="24" spans="1:25" x14ac:dyDescent="0.25">
      <c r="A24" s="84" t="s">
        <v>261</v>
      </c>
      <c r="B24" s="76">
        <f t="shared" ref="B24:I24" si="17">SUM(B19:B23)</f>
        <v>382497.2265728761</v>
      </c>
      <c r="C24" s="76">
        <f t="shared" si="17"/>
        <v>21924.474868980054</v>
      </c>
      <c r="D24" s="76">
        <f t="shared" si="17"/>
        <v>740175.63729135075</v>
      </c>
      <c r="E24" s="76">
        <f t="shared" si="17"/>
        <v>59538.621571108582</v>
      </c>
      <c r="F24" s="76">
        <f t="shared" si="17"/>
        <v>527685.32962870679</v>
      </c>
      <c r="G24" s="76">
        <f t="shared" si="17"/>
        <v>74532.44942750578</v>
      </c>
      <c r="H24" s="76">
        <f t="shared" si="17"/>
        <v>6072.5506394720269</v>
      </c>
      <c r="I24" s="76">
        <f t="shared" si="17"/>
        <v>1812426.29</v>
      </c>
      <c r="J24" s="64"/>
      <c r="L24" s="75">
        <f t="shared" ref="L24:S24" si="18">SUM(L19:L23)</f>
        <v>5.1292338488021789</v>
      </c>
      <c r="M24" s="75">
        <f t="shared" si="18"/>
        <v>9.8360138488021764</v>
      </c>
      <c r="N24" s="77">
        <f t="shared" si="18"/>
        <v>13.777886848802179</v>
      </c>
      <c r="O24" s="75">
        <f t="shared" si="18"/>
        <v>18.565207848802181</v>
      </c>
      <c r="P24" s="75">
        <f t="shared" si="18"/>
        <v>27.311491622002322</v>
      </c>
      <c r="Q24" s="75">
        <f t="shared" si="18"/>
        <v>6.9495486091108329</v>
      </c>
      <c r="R24" s="75">
        <f t="shared" si="18"/>
        <v>3.0365486091108336</v>
      </c>
      <c r="S24" s="75">
        <f t="shared" si="18"/>
        <v>10.933009325075021</v>
      </c>
      <c r="U24" s="76">
        <f>SUM(U19:U23)</f>
        <v>1267860.9669200575</v>
      </c>
      <c r="V24" s="75">
        <f>SUM(V19:V23)</f>
        <v>17.35773403228314</v>
      </c>
      <c r="X24" s="76">
        <f>SUM(X19:X23)</f>
        <v>1144597.338733207</v>
      </c>
      <c r="Y24" s="75">
        <f>SUM(Y19:Y23)</f>
        <v>8.7693152833845893</v>
      </c>
    </row>
    <row r="25" spans="1:25" x14ac:dyDescent="0.25">
      <c r="A25" s="80"/>
      <c r="B25" s="64"/>
      <c r="C25" s="64"/>
      <c r="D25" s="64"/>
      <c r="E25" s="64"/>
      <c r="F25" s="64"/>
      <c r="G25" s="64"/>
      <c r="H25" s="64"/>
      <c r="I25" s="64"/>
      <c r="J25" s="64"/>
      <c r="L25" s="64"/>
      <c r="M25" s="64"/>
      <c r="N25" s="74"/>
      <c r="O25" s="64"/>
      <c r="P25" s="64"/>
      <c r="Q25" s="64"/>
      <c r="R25" s="64"/>
      <c r="S25" s="64"/>
      <c r="U25" s="64"/>
      <c r="V25" s="64"/>
      <c r="X25" s="64"/>
      <c r="Y25" s="64"/>
    </row>
    <row r="26" spans="1:25" x14ac:dyDescent="0.25">
      <c r="A26" s="84" t="s">
        <v>260</v>
      </c>
      <c r="B26" s="64">
        <f t="shared" ref="B26:I26" si="19">B16-B24</f>
        <v>6697244.9334271252</v>
      </c>
      <c r="C26" s="64">
        <f t="shared" si="19"/>
        <v>186401.32513101958</v>
      </c>
      <c r="D26" s="64">
        <f t="shared" si="19"/>
        <v>5725691.59270865</v>
      </c>
      <c r="E26" s="64">
        <f t="shared" si="19"/>
        <v>179796.05842889144</v>
      </c>
      <c r="F26" s="64">
        <f t="shared" si="19"/>
        <v>1305854.3703712933</v>
      </c>
      <c r="G26" s="64">
        <f t="shared" si="19"/>
        <v>679052.43057249417</v>
      </c>
      <c r="H26" s="64">
        <f t="shared" si="19"/>
        <v>39948.399360527983</v>
      </c>
      <c r="I26" s="64">
        <f t="shared" si="19"/>
        <v>14813989.110000003</v>
      </c>
      <c r="J26" s="64"/>
      <c r="L26" s="47">
        <f t="shared" ref="L26:S26" si="20">L16-L24</f>
        <v>89.809109765423031</v>
      </c>
      <c r="M26" s="47">
        <f t="shared" si="20"/>
        <v>83.625538416787634</v>
      </c>
      <c r="N26" s="58">
        <f t="shared" si="20"/>
        <v>106.58001550032853</v>
      </c>
      <c r="O26" s="47">
        <f t="shared" si="20"/>
        <v>56.063629070436981</v>
      </c>
      <c r="P26" s="47">
        <f t="shared" si="20"/>
        <v>67.58730761199179</v>
      </c>
      <c r="Q26" s="47">
        <f t="shared" si="20"/>
        <v>63.316151698307777</v>
      </c>
      <c r="R26" s="47">
        <f t="shared" si="20"/>
        <v>19.97599752004081</v>
      </c>
      <c r="S26" s="47">
        <f t="shared" si="20"/>
        <v>89.361692651892511</v>
      </c>
      <c r="U26" s="64">
        <f>U16-U24</f>
        <v>7031545.9630799424</v>
      </c>
      <c r="V26" s="47">
        <f>V16-V24</f>
        <v>96.265842901851556</v>
      </c>
      <c r="X26" s="64">
        <f>X16-X24</f>
        <v>12609337.851266792</v>
      </c>
      <c r="Y26" s="47">
        <f>Y16-Y24</f>
        <v>96.606252164498144</v>
      </c>
    </row>
    <row r="27" spans="1:25" x14ac:dyDescent="0.25">
      <c r="A27" s="80"/>
      <c r="B27" s="64"/>
      <c r="C27" s="64"/>
      <c r="D27" s="64"/>
      <c r="E27" s="64"/>
      <c r="F27" s="64"/>
      <c r="G27" s="64"/>
      <c r="H27" s="64"/>
      <c r="I27" s="64"/>
      <c r="J27" s="64"/>
      <c r="K27" s="64"/>
      <c r="L27" s="64"/>
      <c r="M27" s="64"/>
      <c r="N27" s="74"/>
      <c r="O27" s="64"/>
      <c r="P27" s="64"/>
      <c r="Q27" s="64"/>
      <c r="R27" s="64"/>
      <c r="S27" s="64"/>
      <c r="U27" s="64"/>
      <c r="V27" s="64"/>
      <c r="X27" s="64"/>
      <c r="Y27" s="64"/>
    </row>
    <row r="28" spans="1:25" x14ac:dyDescent="0.25">
      <c r="A28" s="79" t="s">
        <v>195</v>
      </c>
      <c r="B28" s="64">
        <f>B54*43.85724</f>
        <v>3270522.1012799996</v>
      </c>
      <c r="C28" s="64">
        <f t="shared" ref="C28:F28" si="21">C54*43.85724</f>
        <v>97757.787959999987</v>
      </c>
      <c r="D28" s="64">
        <f t="shared" si="21"/>
        <v>2356098.6472799997</v>
      </c>
      <c r="E28" s="64">
        <f t="shared" si="21"/>
        <v>140650.16868</v>
      </c>
      <c r="F28" s="64">
        <f t="shared" si="21"/>
        <v>847365.73403999989</v>
      </c>
      <c r="G28" s="64">
        <v>126766.82</v>
      </c>
      <c r="H28" s="64">
        <f>Q28*0.5*$H$54</f>
        <v>11818.917758408323</v>
      </c>
      <c r="I28" s="64">
        <f t="shared" ref="I28:I34" si="22">SUM(B28:H28)</f>
        <v>6850980.1769984066</v>
      </c>
      <c r="J28" s="64"/>
      <c r="L28" s="47">
        <f t="shared" ref="L28:S34" si="23">B28/B$54</f>
        <v>43.857239999999997</v>
      </c>
      <c r="M28" s="47">
        <f t="shared" si="23"/>
        <v>43.857239999999997</v>
      </c>
      <c r="N28" s="58">
        <f t="shared" si="23"/>
        <v>43.857239999999997</v>
      </c>
      <c r="O28" s="47">
        <f t="shared" si="23"/>
        <v>43.857239999999997</v>
      </c>
      <c r="P28" s="47">
        <f t="shared" si="23"/>
        <v>43.857239999999997</v>
      </c>
      <c r="Q28" s="47">
        <f t="shared" si="23"/>
        <v>11.819981556748431</v>
      </c>
      <c r="R28" s="47">
        <f t="shared" si="23"/>
        <v>5.9099907783742154</v>
      </c>
      <c r="S28" s="47">
        <f t="shared" si="23"/>
        <v>41.326828337403839</v>
      </c>
      <c r="U28" s="64">
        <f t="shared" ref="U28:U34" si="24">D28+F28</f>
        <v>3203464.3813199997</v>
      </c>
      <c r="V28" s="47">
        <f t="shared" ref="V28:V34" si="25">U28/$U$54</f>
        <v>43.857239999999997</v>
      </c>
      <c r="X28" s="64">
        <f t="shared" ref="X28:X34" si="26">SUM(B28:D28)</f>
        <v>5724378.5365199987</v>
      </c>
      <c r="Y28" s="47">
        <f t="shared" ref="Y28:Y34" si="27">X28/$X$54</f>
        <v>43.85723999999999</v>
      </c>
    </row>
    <row r="29" spans="1:25" x14ac:dyDescent="0.25">
      <c r="A29" s="79" t="s">
        <v>258</v>
      </c>
      <c r="B29" s="64">
        <f>B54*2.549814</f>
        <v>190144.72960799999</v>
      </c>
      <c r="C29" s="64">
        <f t="shared" ref="C29:F29" si="28">C54*2.549814</f>
        <v>5683.535406</v>
      </c>
      <c r="D29" s="64">
        <f t="shared" si="28"/>
        <v>136981.107708</v>
      </c>
      <c r="E29" s="64">
        <f t="shared" si="28"/>
        <v>8177.253498</v>
      </c>
      <c r="F29" s="64">
        <f t="shared" si="28"/>
        <v>49264.956294000003</v>
      </c>
      <c r="G29" s="64"/>
      <c r="H29" s="64">
        <f t="shared" ref="H29:H33" si="29">Q29*0.5*$H$54</f>
        <v>0</v>
      </c>
      <c r="I29" s="64">
        <f t="shared" si="22"/>
        <v>390251.58251400001</v>
      </c>
      <c r="J29" s="64"/>
      <c r="L29" s="47">
        <f t="shared" si="23"/>
        <v>2.549814</v>
      </c>
      <c r="M29" s="47">
        <f t="shared" si="23"/>
        <v>2.549814</v>
      </c>
      <c r="N29" s="58">
        <f t="shared" si="23"/>
        <v>2.549814</v>
      </c>
      <c r="O29" s="47">
        <f t="shared" si="23"/>
        <v>2.549814</v>
      </c>
      <c r="P29" s="47">
        <f t="shared" si="23"/>
        <v>2.549814</v>
      </c>
      <c r="Q29" s="47">
        <f t="shared" si="23"/>
        <v>0</v>
      </c>
      <c r="R29" s="47">
        <f t="shared" si="23"/>
        <v>0</v>
      </c>
      <c r="S29" s="47">
        <f t="shared" si="23"/>
        <v>2.3540952888908087</v>
      </c>
      <c r="U29" s="64">
        <f t="shared" si="24"/>
        <v>186246.064002</v>
      </c>
      <c r="V29" s="47">
        <f t="shared" si="25"/>
        <v>2.549814</v>
      </c>
      <c r="X29" s="64">
        <f t="shared" si="26"/>
        <v>332809.372722</v>
      </c>
      <c r="Y29" s="47">
        <f t="shared" si="27"/>
        <v>2.549814</v>
      </c>
    </row>
    <row r="30" spans="1:25" x14ac:dyDescent="0.25">
      <c r="A30" s="79" t="s">
        <v>257</v>
      </c>
      <c r="B30" s="64">
        <f>B54*3.076205</f>
        <v>229398.75925999999</v>
      </c>
      <c r="C30" s="64">
        <f t="shared" ref="C30:F30" si="30">C54*3.076205</f>
        <v>6856.8609449999994</v>
      </c>
      <c r="D30" s="64">
        <f t="shared" si="30"/>
        <v>165259.88501</v>
      </c>
      <c r="E30" s="64">
        <f t="shared" si="30"/>
        <v>9865.3894349999991</v>
      </c>
      <c r="F30" s="64">
        <f t="shared" si="30"/>
        <v>59435.356804999996</v>
      </c>
      <c r="G30" s="64">
        <v>27965.07</v>
      </c>
      <c r="H30" s="64">
        <f t="shared" si="29"/>
        <v>2607.2821140274073</v>
      </c>
      <c r="I30" s="64">
        <f t="shared" si="22"/>
        <v>501388.60356902744</v>
      </c>
      <c r="J30" s="64"/>
      <c r="L30" s="47">
        <f t="shared" si="23"/>
        <v>3.0762049999999999</v>
      </c>
      <c r="M30" s="47">
        <f t="shared" si="23"/>
        <v>3.0762049999999999</v>
      </c>
      <c r="N30" s="58">
        <f t="shared" si="23"/>
        <v>3.0762049999999999</v>
      </c>
      <c r="O30" s="47">
        <f t="shared" si="23"/>
        <v>3.0762049999999999</v>
      </c>
      <c r="P30" s="47">
        <f t="shared" si="23"/>
        <v>3.0762049999999999</v>
      </c>
      <c r="Q30" s="47">
        <f t="shared" si="23"/>
        <v>2.6075167905385559</v>
      </c>
      <c r="R30" s="47">
        <f t="shared" si="23"/>
        <v>1.3037583952692779</v>
      </c>
      <c r="S30" s="47">
        <f t="shared" si="23"/>
        <v>3.0245016354880399</v>
      </c>
      <c r="U30" s="64">
        <f t="shared" si="24"/>
        <v>224695.24181499999</v>
      </c>
      <c r="V30" s="47">
        <f t="shared" si="25"/>
        <v>3.0762049999999999</v>
      </c>
      <c r="X30" s="64">
        <f t="shared" si="26"/>
        <v>401515.50521500001</v>
      </c>
      <c r="Y30" s="47">
        <f t="shared" si="27"/>
        <v>3.0762050000000003</v>
      </c>
    </row>
    <row r="31" spans="1:25" x14ac:dyDescent="0.25">
      <c r="A31" s="79" t="s">
        <v>256</v>
      </c>
      <c r="B31" s="64">
        <f>B54*14.722663</f>
        <v>1097898.425236</v>
      </c>
      <c r="C31" s="64">
        <f t="shared" ref="C31:F31" si="31">C54*14.722663</f>
        <v>32816.815826999999</v>
      </c>
      <c r="D31" s="64">
        <f t="shared" si="31"/>
        <v>790930.90168600006</v>
      </c>
      <c r="E31" s="64">
        <f t="shared" si="31"/>
        <v>47215.580241000003</v>
      </c>
      <c r="F31" s="64">
        <f t="shared" si="31"/>
        <v>284456.57182300003</v>
      </c>
      <c r="G31" s="64">
        <v>22266.49</v>
      </c>
      <c r="H31" s="64">
        <f t="shared" si="29"/>
        <v>2075.9834006912952</v>
      </c>
      <c r="I31" s="64">
        <f t="shared" si="22"/>
        <v>2277660.7682136917</v>
      </c>
      <c r="J31" s="64"/>
      <c r="L31" s="47">
        <f t="shared" si="23"/>
        <v>14.722662999999999</v>
      </c>
      <c r="M31" s="47">
        <f t="shared" si="23"/>
        <v>14.722662999999999</v>
      </c>
      <c r="N31" s="58">
        <f t="shared" si="23"/>
        <v>14.722663000000001</v>
      </c>
      <c r="O31" s="47">
        <f t="shared" si="23"/>
        <v>14.722663000000001</v>
      </c>
      <c r="P31" s="47">
        <f t="shared" si="23"/>
        <v>14.722663000000002</v>
      </c>
      <c r="Q31" s="47">
        <f t="shared" si="23"/>
        <v>2.0761702560143367</v>
      </c>
      <c r="R31" s="47">
        <f t="shared" si="23"/>
        <v>1.0380851280071683</v>
      </c>
      <c r="S31" s="47">
        <f t="shared" si="23"/>
        <v>13.739420221187494</v>
      </c>
      <c r="U31" s="64">
        <f t="shared" si="24"/>
        <v>1075387.4735090001</v>
      </c>
      <c r="V31" s="47">
        <f t="shared" si="25"/>
        <v>14.722663000000002</v>
      </c>
      <c r="X31" s="64">
        <f t="shared" si="26"/>
        <v>1921646.1427489999</v>
      </c>
      <c r="Y31" s="47">
        <f t="shared" si="27"/>
        <v>14.722662999999999</v>
      </c>
    </row>
    <row r="32" spans="1:25" x14ac:dyDescent="0.25">
      <c r="A32" s="79" t="s">
        <v>255</v>
      </c>
      <c r="B32" s="64">
        <f>B54*2.450285</f>
        <v>182722.65302</v>
      </c>
      <c r="C32" s="64">
        <f t="shared" ref="C32:F32" si="32">C54*2.450285</f>
        <v>5461.6852650000001</v>
      </c>
      <c r="D32" s="64">
        <f t="shared" si="32"/>
        <v>131634.21077000001</v>
      </c>
      <c r="E32" s="64">
        <f t="shared" si="32"/>
        <v>7858.0639950000004</v>
      </c>
      <c r="F32" s="64">
        <f t="shared" si="32"/>
        <v>47341.956485000002</v>
      </c>
      <c r="G32" s="64">
        <v>2174.31</v>
      </c>
      <c r="H32" s="64">
        <f t="shared" si="29"/>
        <v>202.7185904898837</v>
      </c>
      <c r="I32" s="64">
        <f t="shared" si="22"/>
        <v>377395.59812548989</v>
      </c>
      <c r="J32" s="64"/>
      <c r="L32" s="47">
        <f t="shared" si="23"/>
        <v>2.450285</v>
      </c>
      <c r="M32" s="47">
        <f t="shared" si="23"/>
        <v>2.450285</v>
      </c>
      <c r="N32" s="58">
        <f t="shared" si="23"/>
        <v>2.450285</v>
      </c>
      <c r="O32" s="47">
        <f t="shared" si="23"/>
        <v>2.450285</v>
      </c>
      <c r="P32" s="47">
        <f t="shared" si="23"/>
        <v>2.450285</v>
      </c>
      <c r="Q32" s="47">
        <f t="shared" si="23"/>
        <v>0.20273683680519616</v>
      </c>
      <c r="R32" s="47">
        <f t="shared" si="23"/>
        <v>0.10136841840259808</v>
      </c>
      <c r="S32" s="47">
        <f t="shared" si="23"/>
        <v>2.2765447711245939</v>
      </c>
      <c r="U32" s="64">
        <f t="shared" si="24"/>
        <v>178976.16725500001</v>
      </c>
      <c r="V32" s="47">
        <f t="shared" si="25"/>
        <v>2.450285</v>
      </c>
      <c r="X32" s="64">
        <f t="shared" si="26"/>
        <v>319818.54905500001</v>
      </c>
      <c r="Y32" s="47">
        <f t="shared" si="27"/>
        <v>2.450285</v>
      </c>
    </row>
    <row r="33" spans="1:25" x14ac:dyDescent="0.25">
      <c r="A33" s="79" t="s">
        <v>254</v>
      </c>
      <c r="B33" s="64">
        <f>B54*6.458644</f>
        <v>481634.00036799995</v>
      </c>
      <c r="C33" s="64">
        <f t="shared" ref="C33:F33" si="33">C54*6.458644</f>
        <v>14396.317475999998</v>
      </c>
      <c r="D33" s="64">
        <f t="shared" si="33"/>
        <v>346971.27296799998</v>
      </c>
      <c r="E33" s="64">
        <f t="shared" si="33"/>
        <v>20712.871307999998</v>
      </c>
      <c r="F33" s="64">
        <f t="shared" si="33"/>
        <v>124787.46072399999</v>
      </c>
      <c r="G33" s="64">
        <v>19280.09</v>
      </c>
      <c r="H33" s="64">
        <f t="shared" si="29"/>
        <v>1797.5507951111397</v>
      </c>
      <c r="I33" s="64">
        <f t="shared" si="22"/>
        <v>1009579.563639111</v>
      </c>
      <c r="J33" s="64"/>
      <c r="L33" s="47">
        <f t="shared" si="23"/>
        <v>6.4586439999999996</v>
      </c>
      <c r="M33" s="47">
        <f t="shared" si="23"/>
        <v>6.4586439999999996</v>
      </c>
      <c r="N33" s="58">
        <f t="shared" si="23"/>
        <v>6.4586439999999996</v>
      </c>
      <c r="O33" s="47">
        <f t="shared" si="23"/>
        <v>6.4586439999999996</v>
      </c>
      <c r="P33" s="47">
        <f t="shared" si="23"/>
        <v>6.4586439999999996</v>
      </c>
      <c r="Q33" s="47">
        <f t="shared" si="23"/>
        <v>1.7977125892441717</v>
      </c>
      <c r="R33" s="47">
        <f t="shared" si="23"/>
        <v>0.89885629462208583</v>
      </c>
      <c r="S33" s="47">
        <f t="shared" si="23"/>
        <v>6.0900367891218199</v>
      </c>
      <c r="U33" s="64">
        <f t="shared" si="24"/>
        <v>471758.73369199998</v>
      </c>
      <c r="V33" s="47">
        <f t="shared" si="25"/>
        <v>6.4586439999999996</v>
      </c>
      <c r="X33" s="64">
        <f t="shared" si="26"/>
        <v>843001.59081199998</v>
      </c>
      <c r="Y33" s="47">
        <f t="shared" si="27"/>
        <v>6.4586439999999996</v>
      </c>
    </row>
    <row r="34" spans="1:25" x14ac:dyDescent="0.25">
      <c r="A34" s="79" t="s">
        <v>253</v>
      </c>
      <c r="B34" s="64">
        <f>B8*0.015+B7*0.0100735+B20/55.9*13.27</f>
        <v>205152.29537408001</v>
      </c>
      <c r="C34" s="64">
        <f>C20/55.9*13.27+C8*0.015+C7*0.0100735</f>
        <v>8321.8133266049936</v>
      </c>
      <c r="D34" s="64">
        <f>D20/55.9*13.27+D7*0.0100735+D12*0.015</f>
        <v>250168.10660096954</v>
      </c>
      <c r="E34" s="64">
        <f>E20/55.9*13.27+E8*0.015+E7*0.0100735</f>
        <v>18552.889342739658</v>
      </c>
      <c r="F34" s="64">
        <f>F20/55.9*13.27+F7*0.0100735+F12*0.015</f>
        <v>148301.79729823556</v>
      </c>
      <c r="G34" s="64">
        <f>G20/55.9*13.27+G7*0.01+G12*0.015</f>
        <v>27527.077280000001</v>
      </c>
      <c r="H34" s="64">
        <f>H20/55.9*13.27+H7*0.01+H12*0.015</f>
        <v>2710.3671420000001</v>
      </c>
      <c r="I34" s="64">
        <f t="shared" si="22"/>
        <v>660734.34636462969</v>
      </c>
      <c r="J34" s="64"/>
      <c r="K34" s="64">
        <v>134455.51</v>
      </c>
      <c r="L34" s="47">
        <f t="shared" si="23"/>
        <v>2.7510633397800786</v>
      </c>
      <c r="M34" s="47">
        <f t="shared" si="23"/>
        <v>3.7334290384051116</v>
      </c>
      <c r="N34" s="58">
        <f t="shared" si="23"/>
        <v>4.6567161796092762</v>
      </c>
      <c r="O34" s="47">
        <f t="shared" si="23"/>
        <v>5.7851229631243086</v>
      </c>
      <c r="P34" s="47">
        <f t="shared" si="23"/>
        <v>7.6756791728293337</v>
      </c>
      <c r="Q34" s="47">
        <f t="shared" si="23"/>
        <v>2.5666775088370026</v>
      </c>
      <c r="R34" s="47">
        <f t="shared" si="23"/>
        <v>1.355305548499365</v>
      </c>
      <c r="S34" s="47">
        <f t="shared" si="23"/>
        <v>3.9857150660741332</v>
      </c>
      <c r="U34" s="64">
        <f t="shared" si="24"/>
        <v>398469.90389920509</v>
      </c>
      <c r="V34" s="47">
        <f t="shared" si="25"/>
        <v>5.4552784510384988</v>
      </c>
      <c r="X34" s="64">
        <f t="shared" si="26"/>
        <v>463642.21530165453</v>
      </c>
      <c r="Y34" s="47">
        <f t="shared" si="27"/>
        <v>3.5521878542605867</v>
      </c>
    </row>
    <row r="35" spans="1:25" x14ac:dyDescent="0.25">
      <c r="A35" s="83" t="s">
        <v>252</v>
      </c>
      <c r="B35" s="76">
        <f>SUM(B28:B34)</f>
        <v>5657472.9641460795</v>
      </c>
      <c r="C35" s="76">
        <f>SUM(C28:C34)</f>
        <v>171294.81620560496</v>
      </c>
      <c r="D35" s="76">
        <f>SUM(D28:D34)</f>
        <v>4178044.132022969</v>
      </c>
      <c r="E35" s="76">
        <f t="shared" ref="E35:I35" si="34">SUM(E28:E34)</f>
        <v>253032.21649973965</v>
      </c>
      <c r="F35" s="76">
        <f t="shared" si="34"/>
        <v>1560953.8334692353</v>
      </c>
      <c r="G35" s="76">
        <f t="shared" si="34"/>
        <v>225979.85728</v>
      </c>
      <c r="H35" s="76">
        <f t="shared" si="34"/>
        <v>21212.819800728048</v>
      </c>
      <c r="I35" s="76">
        <f t="shared" si="34"/>
        <v>12067990.639424358</v>
      </c>
      <c r="J35" s="64"/>
      <c r="L35" s="75">
        <f>SUM(L28:L34)</f>
        <v>75.865914339780062</v>
      </c>
      <c r="M35" s="75">
        <f>SUM(M28:M34)</f>
        <v>76.848280038405093</v>
      </c>
      <c r="N35" s="77">
        <f>SUM(N28:N34)</f>
        <v>77.771567179609264</v>
      </c>
      <c r="O35" s="75">
        <f t="shared" ref="O35:S35" si="35">SUM(O28:O34)</f>
        <v>78.899973963124296</v>
      </c>
      <c r="P35" s="75">
        <f t="shared" si="35"/>
        <v>80.790530172829321</v>
      </c>
      <c r="Q35" s="75">
        <f t="shared" si="35"/>
        <v>21.070795538187696</v>
      </c>
      <c r="R35" s="75">
        <f t="shared" si="35"/>
        <v>10.607364563174711</v>
      </c>
      <c r="S35" s="75">
        <f t="shared" si="35"/>
        <v>72.797142109290732</v>
      </c>
      <c r="U35" s="76">
        <f t="shared" ref="U35" si="36">SUM(U28:U34)</f>
        <v>5738997.9654922038</v>
      </c>
      <c r="V35" s="75">
        <f>SUM(V28:V34)</f>
        <v>78.570129451038483</v>
      </c>
      <c r="X35" s="76">
        <f t="shared" ref="X35" si="37">SUM(X28:X34)</f>
        <v>10006811.912374655</v>
      </c>
      <c r="Y35" s="75">
        <f>SUM(Y28:Y34)</f>
        <v>76.667038854260568</v>
      </c>
    </row>
    <row r="36" spans="1:25" x14ac:dyDescent="0.25">
      <c r="A36" s="80"/>
      <c r="B36" s="64"/>
      <c r="C36" s="64"/>
      <c r="D36" s="64"/>
      <c r="E36" s="64"/>
      <c r="F36" s="64"/>
      <c r="G36" s="64"/>
      <c r="H36" s="64"/>
      <c r="I36" s="64"/>
      <c r="J36" s="64"/>
      <c r="L36" s="64"/>
      <c r="M36" s="64"/>
      <c r="N36" s="74"/>
      <c r="O36" s="64"/>
      <c r="P36" s="64"/>
      <c r="Q36" s="64"/>
      <c r="R36" s="64"/>
      <c r="S36" s="64"/>
      <c r="U36" s="64"/>
      <c r="V36" s="64"/>
      <c r="X36" s="64"/>
      <c r="Y36" s="64"/>
    </row>
    <row r="37" spans="1:25" x14ac:dyDescent="0.25">
      <c r="A37" s="79" t="s">
        <v>57</v>
      </c>
      <c r="B37" s="64">
        <f>B54*7.378185</f>
        <v>550206.01182000001</v>
      </c>
      <c r="C37" s="64">
        <f t="shared" ref="C37:F37" si="38">C54*7.378185</f>
        <v>16445.974365000002</v>
      </c>
      <c r="D37" s="64">
        <f t="shared" si="38"/>
        <v>396370.85457000002</v>
      </c>
      <c r="E37" s="64">
        <f t="shared" si="38"/>
        <v>23661.839295000002</v>
      </c>
      <c r="F37" s="64">
        <f t="shared" si="38"/>
        <v>142553.912385</v>
      </c>
      <c r="G37" s="64">
        <v>8566.76</v>
      </c>
      <c r="H37" s="64">
        <f t="shared" ref="H37" si="39">Q37*0.5*$H$54</f>
        <v>798.70925133266007</v>
      </c>
      <c r="I37" s="64">
        <f>SUM(B37:H37)</f>
        <v>1138604.0616863326</v>
      </c>
      <c r="J37" s="64"/>
      <c r="L37" s="47">
        <f>B37/B$54</f>
        <v>7.3781850000000002</v>
      </c>
      <c r="M37" s="47">
        <f>C37/C$54</f>
        <v>7.3781850000000011</v>
      </c>
      <c r="N37" s="58">
        <f>D37/D$54</f>
        <v>7.3781850000000002</v>
      </c>
      <c r="O37" s="47">
        <f>E37/E$54</f>
        <v>7.3781850000000002</v>
      </c>
      <c r="P37" s="47">
        <f>F37/F$54</f>
        <v>7.3781850000000002</v>
      </c>
      <c r="Q37" s="47">
        <f t="shared" ref="Q37:S37" si="40">G37/G$54</f>
        <v>0.79878114163540725</v>
      </c>
      <c r="R37" s="47">
        <f t="shared" si="40"/>
        <v>0.39939057081770363</v>
      </c>
      <c r="S37" s="47">
        <f t="shared" si="40"/>
        <v>6.8683448770680604</v>
      </c>
      <c r="U37" s="64">
        <f>D37+F37</f>
        <v>538924.766955</v>
      </c>
      <c r="V37" s="47">
        <f>U37/$U$54</f>
        <v>7.3781850000000002</v>
      </c>
      <c r="X37" s="64">
        <f>SUM(B37:D37)</f>
        <v>963022.84075500001</v>
      </c>
      <c r="Y37" s="47">
        <f>X37/$X$54</f>
        <v>7.3781850000000002</v>
      </c>
    </row>
    <row r="38" spans="1:25" x14ac:dyDescent="0.25">
      <c r="A38" s="80"/>
      <c r="B38" s="64"/>
      <c r="C38" s="64"/>
      <c r="D38" s="64"/>
      <c r="E38" s="64"/>
      <c r="F38" s="64"/>
      <c r="G38" s="64"/>
      <c r="H38" s="64"/>
      <c r="I38" s="64"/>
      <c r="J38" s="64"/>
      <c r="L38" s="64"/>
      <c r="M38" s="64"/>
      <c r="N38" s="74"/>
      <c r="O38" s="64"/>
      <c r="P38" s="64"/>
      <c r="Q38" s="64"/>
      <c r="R38" s="64"/>
      <c r="S38" s="64"/>
      <c r="U38" s="64"/>
      <c r="V38" s="64"/>
      <c r="X38" s="64"/>
      <c r="Y38" s="64"/>
    </row>
    <row r="39" spans="1:25" x14ac:dyDescent="0.25">
      <c r="A39" s="82" t="s">
        <v>251</v>
      </c>
      <c r="B39" s="76">
        <f>B37+B35</f>
        <v>6207678.9759660792</v>
      </c>
      <c r="C39" s="76">
        <f>C37+C35</f>
        <v>187740.79057060496</v>
      </c>
      <c r="D39" s="76">
        <f>D37+D35</f>
        <v>4574414.9865929689</v>
      </c>
      <c r="E39" s="76">
        <f t="shared" ref="E39:I39" si="41">E37+E35</f>
        <v>276694.05579473963</v>
      </c>
      <c r="F39" s="76">
        <f t="shared" si="41"/>
        <v>1703507.7458542353</v>
      </c>
      <c r="G39" s="76">
        <f t="shared" si="41"/>
        <v>234546.61728000001</v>
      </c>
      <c r="H39" s="76">
        <f t="shared" si="41"/>
        <v>22011.529052060709</v>
      </c>
      <c r="I39" s="76">
        <f t="shared" si="41"/>
        <v>13206594.701110691</v>
      </c>
      <c r="J39" s="64"/>
      <c r="K39" s="64">
        <f>I39/1000-7735</f>
        <v>5471.5947011106909</v>
      </c>
      <c r="L39" s="75">
        <f>L37+L35</f>
        <v>83.244099339780064</v>
      </c>
      <c r="M39" s="75">
        <f>M37+M35</f>
        <v>84.226465038405095</v>
      </c>
      <c r="N39" s="77">
        <f>N37+N35</f>
        <v>85.149752179609266</v>
      </c>
      <c r="O39" s="75">
        <f t="shared" ref="O39:S39" si="42">O37+O35</f>
        <v>86.278158963124298</v>
      </c>
      <c r="P39" s="75">
        <f t="shared" si="42"/>
        <v>88.168715172829323</v>
      </c>
      <c r="Q39" s="75">
        <f t="shared" si="42"/>
        <v>21.869576679823101</v>
      </c>
      <c r="R39" s="75">
        <f t="shared" si="42"/>
        <v>11.006755133992414</v>
      </c>
      <c r="S39" s="75">
        <f t="shared" si="42"/>
        <v>79.665486986358786</v>
      </c>
      <c r="U39" s="76">
        <f t="shared" ref="U39" si="43">U37+U35</f>
        <v>6277922.7324472042</v>
      </c>
      <c r="V39" s="75">
        <f>V37+V35</f>
        <v>85.948314451038485</v>
      </c>
      <c r="X39" s="76">
        <f t="shared" ref="X39" si="44">X37+X35</f>
        <v>10969834.753129655</v>
      </c>
      <c r="Y39" s="75">
        <f>Y37+Y35</f>
        <v>84.04522385426057</v>
      </c>
    </row>
    <row r="40" spans="1:25" x14ac:dyDescent="0.25">
      <c r="A40" s="80"/>
      <c r="B40" s="64"/>
      <c r="C40" s="64"/>
      <c r="D40" s="64"/>
      <c r="E40" s="64"/>
      <c r="F40" s="64"/>
      <c r="G40" s="64"/>
      <c r="H40" s="64"/>
      <c r="I40" s="64"/>
      <c r="J40" s="64"/>
      <c r="L40" s="64"/>
      <c r="M40" s="64"/>
      <c r="N40" s="74"/>
      <c r="O40" s="64"/>
      <c r="P40" s="64"/>
      <c r="Q40" s="64"/>
      <c r="R40" s="64"/>
      <c r="S40" s="64"/>
      <c r="U40" s="64"/>
      <c r="V40" s="64"/>
      <c r="X40" s="64"/>
      <c r="Y40" s="64"/>
    </row>
    <row r="41" spans="1:25" x14ac:dyDescent="0.25">
      <c r="A41" s="81" t="s">
        <v>250</v>
      </c>
      <c r="B41" s="76">
        <f>B26-B39</f>
        <v>489565.95746104605</v>
      </c>
      <c r="C41" s="76">
        <f>C26-C39</f>
        <v>-1339.4654395853868</v>
      </c>
      <c r="D41" s="76">
        <f>D26-D39</f>
        <v>1151276.6061156811</v>
      </c>
      <c r="E41" s="76">
        <f t="shared" ref="E41:I41" si="45">E26-E39</f>
        <v>-96897.99736584819</v>
      </c>
      <c r="F41" s="76">
        <f t="shared" si="45"/>
        <v>-397653.37548294198</v>
      </c>
      <c r="G41" s="76">
        <f t="shared" si="45"/>
        <v>444505.81329249416</v>
      </c>
      <c r="H41" s="76">
        <f t="shared" si="45"/>
        <v>17936.870308467274</v>
      </c>
      <c r="I41" s="76">
        <f t="shared" si="45"/>
        <v>1607394.4088893123</v>
      </c>
      <c r="J41" s="64"/>
      <c r="L41" s="75">
        <f>L26-L39</f>
        <v>6.5650104256429671</v>
      </c>
      <c r="M41" s="75">
        <f>M26-M39</f>
        <v>-0.60092662161746091</v>
      </c>
      <c r="N41" s="77">
        <f>N26-N39</f>
        <v>21.430263320719263</v>
      </c>
      <c r="O41" s="75">
        <f t="shared" ref="O41:S41" si="46">O26-O39</f>
        <v>-30.214529892687317</v>
      </c>
      <c r="P41" s="75">
        <f t="shared" si="46"/>
        <v>-20.581407560837533</v>
      </c>
      <c r="Q41" s="75">
        <f t="shared" si="46"/>
        <v>41.44657501848468</v>
      </c>
      <c r="R41" s="75">
        <f t="shared" si="46"/>
        <v>8.9692423860483963</v>
      </c>
      <c r="S41" s="75">
        <f t="shared" si="46"/>
        <v>9.696205665533725</v>
      </c>
      <c r="U41" s="76">
        <f t="shared" ref="U41" si="47">U26-U39</f>
        <v>753623.23063273821</v>
      </c>
      <c r="V41" s="75">
        <f>V26-V39</f>
        <v>10.317528450813072</v>
      </c>
      <c r="X41" s="76">
        <f t="shared" ref="X41" si="48">X26-X39</f>
        <v>1639503.0981371365</v>
      </c>
      <c r="Y41" s="75">
        <f>Y26-Y39</f>
        <v>12.561028310237575</v>
      </c>
    </row>
    <row r="42" spans="1:25" x14ac:dyDescent="0.25">
      <c r="A42" s="80"/>
      <c r="B42" s="64"/>
      <c r="C42" s="64"/>
      <c r="D42" s="64"/>
      <c r="E42" s="64"/>
      <c r="F42" s="64"/>
      <c r="G42" s="64"/>
      <c r="H42" s="64"/>
      <c r="I42" s="64"/>
      <c r="J42" s="64"/>
      <c r="L42" s="64"/>
      <c r="M42" s="64"/>
      <c r="N42" s="74"/>
      <c r="O42" s="64"/>
      <c r="P42" s="64"/>
      <c r="Q42" s="64"/>
      <c r="R42" s="64"/>
      <c r="S42" s="64"/>
      <c r="U42" s="64"/>
      <c r="V42" s="64"/>
      <c r="X42" s="64"/>
      <c r="Y42" s="64"/>
    </row>
    <row r="43" spans="1:25" x14ac:dyDescent="0.25">
      <c r="A43" s="79" t="s">
        <v>249</v>
      </c>
      <c r="B43" s="64">
        <f>361769.38/$I$54*B$54</f>
        <v>162737.24587929432</v>
      </c>
      <c r="C43" s="64">
        <f t="shared" ref="C43:H43" si="49">361769.38/$I$54*C$54</f>
        <v>4864.3099429403401</v>
      </c>
      <c r="D43" s="64">
        <f t="shared" si="49"/>
        <v>117236.63470374201</v>
      </c>
      <c r="E43" s="64">
        <f t="shared" si="49"/>
        <v>6998.5832153475412</v>
      </c>
      <c r="F43" s="64">
        <f t="shared" si="49"/>
        <v>42163.899689345133</v>
      </c>
      <c r="G43" s="64">
        <f t="shared" si="49"/>
        <v>23404.53236112478</v>
      </c>
      <c r="H43" s="64">
        <f t="shared" si="49"/>
        <v>4364.1742082059</v>
      </c>
      <c r="I43" s="64">
        <f t="shared" ref="I43:I46" si="50">SUM(B43:H43)</f>
        <v>361769.38</v>
      </c>
      <c r="J43" s="64"/>
      <c r="K43" s="64">
        <f>300249-10210</f>
        <v>290039</v>
      </c>
      <c r="L43" s="47">
        <f t="shared" ref="L43:S46" si="51">B43/B$54</f>
        <v>2.1822835096188156</v>
      </c>
      <c r="M43" s="47">
        <f t="shared" si="51"/>
        <v>2.1822835096188156</v>
      </c>
      <c r="N43" s="58">
        <f t="shared" si="51"/>
        <v>2.1822835096188156</v>
      </c>
      <c r="O43" s="47">
        <f t="shared" si="51"/>
        <v>2.1822835096188156</v>
      </c>
      <c r="P43" s="47">
        <f t="shared" si="51"/>
        <v>2.1822835096188156</v>
      </c>
      <c r="Q43" s="47">
        <f t="shared" si="51"/>
        <v>2.1822835096188156</v>
      </c>
      <c r="R43" s="47">
        <f t="shared" si="51"/>
        <v>2.1822835096188156</v>
      </c>
      <c r="S43" s="47">
        <f t="shared" si="51"/>
        <v>2.1822835096188156</v>
      </c>
      <c r="U43" s="64">
        <f t="shared" ref="U43:U46" si="52">D43+F43</f>
        <v>159400.53439308715</v>
      </c>
      <c r="V43" s="47">
        <f>U43/$U$54</f>
        <v>2.1822835096188156</v>
      </c>
      <c r="X43" s="64">
        <f>SUM(B43:D43)</f>
        <v>284838.19052597665</v>
      </c>
      <c r="Y43" s="47">
        <f>X43/$X$54</f>
        <v>2.1822835096188156</v>
      </c>
    </row>
    <row r="44" spans="1:25" x14ac:dyDescent="0.25">
      <c r="A44" s="79" t="s">
        <v>41</v>
      </c>
      <c r="B44" s="64">
        <f>(39060.3)/$I$54*B$54</f>
        <v>17570.767446429545</v>
      </c>
      <c r="C44" s="64">
        <f t="shared" ref="C44:H44" si="53">(39060.3)/$I$54*C$54</f>
        <v>525.200351849105</v>
      </c>
      <c r="D44" s="64">
        <f t="shared" si="53"/>
        <v>12658.058906252858</v>
      </c>
      <c r="E44" s="64">
        <f t="shared" si="53"/>
        <v>755.63819128760872</v>
      </c>
      <c r="F44" s="64">
        <f t="shared" si="53"/>
        <v>4552.4432472303979</v>
      </c>
      <c r="G44" s="64">
        <f t="shared" si="53"/>
        <v>2526.9912433861659</v>
      </c>
      <c r="H44" s="64">
        <f t="shared" si="53"/>
        <v>471.20061356432353</v>
      </c>
      <c r="I44" s="64">
        <f t="shared" si="50"/>
        <v>39060.300000000003</v>
      </c>
      <c r="J44" s="64"/>
      <c r="K44" s="64">
        <f>1017811-K43-K45-K46</f>
        <v>120012</v>
      </c>
      <c r="L44" s="47">
        <f t="shared" si="51"/>
        <v>0.23562151271830639</v>
      </c>
      <c r="M44" s="47">
        <f t="shared" si="51"/>
        <v>0.23562151271830642</v>
      </c>
      <c r="N44" s="58">
        <f t="shared" si="51"/>
        <v>0.23562151271830642</v>
      </c>
      <c r="O44" s="47">
        <f t="shared" si="51"/>
        <v>0.23562151271830642</v>
      </c>
      <c r="P44" s="47">
        <f t="shared" si="51"/>
        <v>0.23562151271830639</v>
      </c>
      <c r="Q44" s="47">
        <f t="shared" si="51"/>
        <v>0.23562151271830645</v>
      </c>
      <c r="R44" s="47">
        <f t="shared" si="51"/>
        <v>0.23562151271830642</v>
      </c>
      <c r="S44" s="47">
        <f t="shared" si="51"/>
        <v>0.23562151271830642</v>
      </c>
      <c r="U44" s="64">
        <f t="shared" si="52"/>
        <v>17210.502153483256</v>
      </c>
      <c r="V44" s="47">
        <f>U44/$U$54</f>
        <v>0.23562151271830642</v>
      </c>
      <c r="X44" s="64">
        <f>SUM(B44:D44)</f>
        <v>30754.026704531505</v>
      </c>
      <c r="Y44" s="47">
        <f>X44/$X$54</f>
        <v>0.23562151271830639</v>
      </c>
    </row>
    <row r="45" spans="1:25" x14ac:dyDescent="0.25">
      <c r="A45" s="79" t="s">
        <v>39</v>
      </c>
      <c r="B45" s="64">
        <f>-32026.43/$I$54*B$54</f>
        <v>-14406.672597736182</v>
      </c>
      <c r="C45" s="64">
        <f t="shared" ref="C45:H45" si="54">-32026.43/$I$54*C$54</f>
        <v>-430.62373572324668</v>
      </c>
      <c r="D45" s="64">
        <f t="shared" si="54"/>
        <v>-10378.630924416446</v>
      </c>
      <c r="E45" s="64">
        <f t="shared" si="54"/>
        <v>-619.5649710473092</v>
      </c>
      <c r="F45" s="64">
        <f t="shared" si="54"/>
        <v>-3732.6519506096229</v>
      </c>
      <c r="G45" s="64">
        <f t="shared" si="54"/>
        <v>-2071.9377006044501</v>
      </c>
      <c r="H45" s="64">
        <f t="shared" si="54"/>
        <v>-386.34811986274701</v>
      </c>
      <c r="I45" s="64">
        <f t="shared" si="50"/>
        <v>-32026.430000000004</v>
      </c>
      <c r="J45" s="64"/>
      <c r="K45" s="64">
        <v>12665</v>
      </c>
      <c r="L45" s="47">
        <f t="shared" si="51"/>
        <v>-0.19319144716161807</v>
      </c>
      <c r="M45" s="47">
        <f t="shared" si="51"/>
        <v>-0.19319144716161807</v>
      </c>
      <c r="N45" s="58">
        <f t="shared" si="51"/>
        <v>-0.19319144716161807</v>
      </c>
      <c r="O45" s="47">
        <f t="shared" si="51"/>
        <v>-0.1931914471616181</v>
      </c>
      <c r="P45" s="47">
        <f t="shared" si="51"/>
        <v>-0.19319144716161807</v>
      </c>
      <c r="Q45" s="47">
        <f t="shared" si="51"/>
        <v>-0.19319144716161807</v>
      </c>
      <c r="R45" s="47">
        <f t="shared" si="51"/>
        <v>-0.19319144716161807</v>
      </c>
      <c r="S45" s="47">
        <f t="shared" si="51"/>
        <v>-0.1931914471616181</v>
      </c>
      <c r="U45" s="64">
        <f t="shared" si="52"/>
        <v>-14111.282875026069</v>
      </c>
      <c r="V45" s="47">
        <f>U45/$U$54</f>
        <v>-0.19319144716161807</v>
      </c>
      <c r="X45" s="64">
        <f>SUM(B45:D45)</f>
        <v>-25215.927257875876</v>
      </c>
      <c r="Y45" s="47">
        <f>X45/$X$54</f>
        <v>-0.19319144716161807</v>
      </c>
    </row>
    <row r="46" spans="1:25" x14ac:dyDescent="0.25">
      <c r="A46" s="79" t="s">
        <v>248</v>
      </c>
      <c r="B46" s="64">
        <f>847210.74/$I$54*B$54</f>
        <v>381106.72193141084</v>
      </c>
      <c r="C46" s="64">
        <f t="shared" ref="C46:H46" si="55">847210.74/$I$54*C$54</f>
        <v>11391.499264940121</v>
      </c>
      <c r="D46" s="64">
        <f t="shared" si="55"/>
        <v>274550.97510592785</v>
      </c>
      <c r="E46" s="64">
        <f t="shared" si="55"/>
        <v>16389.653720351263</v>
      </c>
      <c r="F46" s="64">
        <f t="shared" si="55"/>
        <v>98741.658724947541</v>
      </c>
      <c r="G46" s="64">
        <f t="shared" si="55"/>
        <v>54809.976402708468</v>
      </c>
      <c r="H46" s="64">
        <f t="shared" si="55"/>
        <v>10220.254849714021</v>
      </c>
      <c r="I46" s="64">
        <f t="shared" si="50"/>
        <v>847210.74000000011</v>
      </c>
      <c r="J46" s="64"/>
      <c r="K46" s="64">
        <f>665668-70573</f>
        <v>595095</v>
      </c>
      <c r="L46" s="47">
        <f t="shared" si="51"/>
        <v>5.1105873777210054</v>
      </c>
      <c r="M46" s="47">
        <f t="shared" si="51"/>
        <v>5.1105873777210054</v>
      </c>
      <c r="N46" s="58">
        <f t="shared" si="51"/>
        <v>5.1105873777210054</v>
      </c>
      <c r="O46" s="47">
        <f t="shared" si="51"/>
        <v>5.1105873777210054</v>
      </c>
      <c r="P46" s="47">
        <f t="shared" si="51"/>
        <v>5.1105873777210054</v>
      </c>
      <c r="Q46" s="47">
        <f t="shared" si="51"/>
        <v>5.1105873777210054</v>
      </c>
      <c r="R46" s="47">
        <f t="shared" si="51"/>
        <v>5.1105873777210054</v>
      </c>
      <c r="S46" s="47">
        <f t="shared" si="51"/>
        <v>5.1105873777210062</v>
      </c>
      <c r="U46" s="64">
        <f t="shared" si="52"/>
        <v>373292.63383087539</v>
      </c>
      <c r="V46" s="47">
        <f>U46/$U$54</f>
        <v>5.1105873777210054</v>
      </c>
      <c r="X46" s="64">
        <f>SUM(B46:D46)</f>
        <v>667049.19630227878</v>
      </c>
      <c r="Y46" s="47">
        <f>X46/$X$54</f>
        <v>5.1105873777210054</v>
      </c>
    </row>
    <row r="47" spans="1:25" x14ac:dyDescent="0.25">
      <c r="A47" s="78" t="s">
        <v>247</v>
      </c>
      <c r="B47" s="76">
        <f>SUM(B43:B46)</f>
        <v>547008.06265939854</v>
      </c>
      <c r="C47" s="76">
        <f>SUM(C43:C46)</f>
        <v>16350.38582400632</v>
      </c>
      <c r="D47" s="76">
        <f>SUM(D43:D46)</f>
        <v>394067.03779150627</v>
      </c>
      <c r="E47" s="76">
        <f t="shared" ref="E47:I47" si="56">SUM(E43:E46)</f>
        <v>23524.310155939103</v>
      </c>
      <c r="F47" s="76">
        <f t="shared" si="56"/>
        <v>141725.34971091343</v>
      </c>
      <c r="G47" s="76">
        <f t="shared" si="56"/>
        <v>78669.562306614971</v>
      </c>
      <c r="H47" s="76">
        <f t="shared" si="56"/>
        <v>14669.281551621498</v>
      </c>
      <c r="I47" s="76">
        <f t="shared" si="56"/>
        <v>1216013.9900000002</v>
      </c>
      <c r="J47" s="64"/>
      <c r="L47" s="75">
        <f>SUM(L43:L46)</f>
        <v>7.3353009528965094</v>
      </c>
      <c r="M47" s="75">
        <f>SUM(M43:M46)</f>
        <v>7.3353009528965094</v>
      </c>
      <c r="N47" s="77">
        <f>SUM(N43:N46)</f>
        <v>7.3353009528965094</v>
      </c>
      <c r="O47" s="75">
        <f t="shared" ref="O47:S47" si="57">SUM(O43:O46)</f>
        <v>7.3353009528965094</v>
      </c>
      <c r="P47" s="75">
        <f t="shared" si="57"/>
        <v>7.3353009528965094</v>
      </c>
      <c r="Q47" s="75">
        <f t="shared" si="57"/>
        <v>7.3353009528965094</v>
      </c>
      <c r="R47" s="75">
        <f t="shared" si="57"/>
        <v>7.3353009528965094</v>
      </c>
      <c r="S47" s="75">
        <f t="shared" si="57"/>
        <v>7.3353009528965103</v>
      </c>
      <c r="U47" s="76">
        <f t="shared" ref="U47" si="58">SUM(U43:U46)</f>
        <v>535792.38750241976</v>
      </c>
      <c r="V47" s="75">
        <f>SUM(V43:V46)</f>
        <v>7.3353009528965094</v>
      </c>
      <c r="X47" s="76">
        <f t="shared" ref="X47" si="59">SUM(X43:X46)</f>
        <v>957425.48627491109</v>
      </c>
      <c r="Y47" s="75">
        <f>SUM(Y43:Y46)</f>
        <v>7.3353009528965094</v>
      </c>
    </row>
    <row r="48" spans="1:25" x14ac:dyDescent="0.25">
      <c r="B48" s="64"/>
      <c r="C48" s="64"/>
      <c r="D48" s="64"/>
      <c r="E48" s="64"/>
      <c r="F48" s="64"/>
      <c r="G48" s="64"/>
      <c r="H48" s="64"/>
      <c r="I48" s="64"/>
      <c r="J48" s="64"/>
      <c r="L48" s="64"/>
      <c r="M48" s="64"/>
      <c r="N48" s="74"/>
      <c r="O48" s="64"/>
      <c r="P48" s="64"/>
      <c r="Q48" s="64"/>
      <c r="R48" s="64"/>
      <c r="S48" s="64"/>
      <c r="U48" s="64"/>
      <c r="V48" s="64"/>
      <c r="X48" s="64"/>
      <c r="Y48" s="64"/>
    </row>
    <row r="49" spans="1:25" ht="15.75" thickBot="1" x14ac:dyDescent="0.3">
      <c r="A49" s="73" t="s">
        <v>246</v>
      </c>
      <c r="B49" s="71">
        <f>B41-B47</f>
        <v>-57442.105198352481</v>
      </c>
      <c r="C49" s="71">
        <f>C41-C47</f>
        <v>-17689.851263591707</v>
      </c>
      <c r="D49" s="71">
        <f>D41-D47</f>
        <v>757209.56832417485</v>
      </c>
      <c r="E49" s="71">
        <f t="shared" ref="E49:I49" si="60">E41-E47</f>
        <v>-120422.3075217873</v>
      </c>
      <c r="F49" s="71">
        <f t="shared" si="60"/>
        <v>-539378.72519385535</v>
      </c>
      <c r="G49" s="71">
        <f t="shared" si="60"/>
        <v>365836.25098587922</v>
      </c>
      <c r="H49" s="71">
        <f t="shared" si="60"/>
        <v>3267.5887568457765</v>
      </c>
      <c r="I49" s="71">
        <f t="shared" si="60"/>
        <v>391380.41888931207</v>
      </c>
      <c r="J49" s="64"/>
      <c r="L49" s="70">
        <f>L41-L47</f>
        <v>-0.7702905272535423</v>
      </c>
      <c r="M49" s="70">
        <f>M41-M47</f>
        <v>-7.9362275745139703</v>
      </c>
      <c r="N49" s="72">
        <f>N41-N47</f>
        <v>14.094962367822752</v>
      </c>
      <c r="O49" s="70">
        <f t="shared" ref="O49:S49" si="61">O41-O47</f>
        <v>-37.549830845583827</v>
      </c>
      <c r="P49" s="70">
        <f t="shared" si="61"/>
        <v>-27.916708513734044</v>
      </c>
      <c r="Q49" s="70">
        <f t="shared" si="61"/>
        <v>34.111274065588169</v>
      </c>
      <c r="R49" s="70">
        <f t="shared" si="61"/>
        <v>1.6339414331518869</v>
      </c>
      <c r="S49" s="70">
        <f t="shared" si="61"/>
        <v>2.3609047126372147</v>
      </c>
      <c r="U49" s="71">
        <f t="shared" ref="U49" si="62">U41-U47</f>
        <v>217830.84313031845</v>
      </c>
      <c r="V49" s="70">
        <f>V41-V47</f>
        <v>2.9822274979165622</v>
      </c>
      <c r="X49" s="71">
        <f t="shared" ref="X49" si="63">X41-X47</f>
        <v>682077.61186222546</v>
      </c>
      <c r="Y49" s="70">
        <f>Y41-Y47</f>
        <v>5.2257273573410652</v>
      </c>
    </row>
    <row r="50" spans="1:25" ht="15.75" thickTop="1" x14ac:dyDescent="0.25">
      <c r="L50" s="68">
        <f t="shared" ref="L50:S50" si="64">L49/L16</f>
        <v>-8.1135871759418915E-3</v>
      </c>
      <c r="M50" s="68">
        <f t="shared" si="64"/>
        <v>-8.4914356568373511E-2</v>
      </c>
      <c r="N50" s="69">
        <f t="shared" si="64"/>
        <v>0.1171087406204247</v>
      </c>
      <c r="O50" s="68">
        <f t="shared" si="64"/>
        <v>-0.50315444264820852</v>
      </c>
      <c r="P50" s="68">
        <f t="shared" si="64"/>
        <v>-0.29417346414362089</v>
      </c>
      <c r="Q50" s="68">
        <f t="shared" si="64"/>
        <v>0.4854612409233573</v>
      </c>
      <c r="R50" s="68">
        <f t="shared" si="64"/>
        <v>7.100220132017708E-2</v>
      </c>
      <c r="S50" s="68">
        <f t="shared" si="64"/>
        <v>2.3539675238073807E-2</v>
      </c>
      <c r="V50" s="68">
        <f>V49/V16</f>
        <v>2.6246555322275232E-2</v>
      </c>
      <c r="Y50" s="68">
        <f>Y49/Y16</f>
        <v>4.9591451642010245E-2</v>
      </c>
    </row>
    <row r="51" spans="1:25" x14ac:dyDescent="0.25">
      <c r="A51" t="s">
        <v>245</v>
      </c>
    </row>
    <row r="52" spans="1:25" x14ac:dyDescent="0.25">
      <c r="A52" t="s">
        <v>244</v>
      </c>
      <c r="B52" s="46">
        <v>74572</v>
      </c>
      <c r="C52" s="46">
        <f>76801-B52</f>
        <v>2229</v>
      </c>
      <c r="D52" s="46"/>
      <c r="E52" s="46">
        <v>3207</v>
      </c>
      <c r="F52" s="46"/>
      <c r="G52" s="46">
        <v>5399.4</v>
      </c>
      <c r="H52" s="46">
        <v>1999.82</v>
      </c>
      <c r="I52" s="46">
        <f>SUM(B52:H52)</f>
        <v>87407.22</v>
      </c>
      <c r="L52" s="62"/>
      <c r="M52" s="62"/>
      <c r="N52" s="62"/>
      <c r="O52" s="62"/>
      <c r="P52" s="62"/>
      <c r="Q52" s="62"/>
      <c r="R52" s="62"/>
      <c r="S52" s="62"/>
      <c r="U52" s="46"/>
      <c r="V52" s="62"/>
      <c r="X52" s="46"/>
      <c r="Y52" s="62"/>
    </row>
    <row r="53" spans="1:25" x14ac:dyDescent="0.25">
      <c r="A53" t="s">
        <v>243</v>
      </c>
      <c r="B53" s="46"/>
      <c r="C53" s="46"/>
      <c r="D53" s="46">
        <v>53722</v>
      </c>
      <c r="E53" s="46"/>
      <c r="F53" s="46">
        <v>19321</v>
      </c>
      <c r="G53" s="46">
        <v>5325.39</v>
      </c>
      <c r="H53" s="46"/>
      <c r="I53" s="46">
        <f>SUM(B53:H53)</f>
        <v>78368.39</v>
      </c>
      <c r="L53" s="62"/>
      <c r="M53" s="62"/>
      <c r="N53" s="62"/>
      <c r="O53" s="67"/>
      <c r="P53" s="67"/>
      <c r="Q53" s="62"/>
      <c r="R53" s="62"/>
      <c r="S53" s="62"/>
      <c r="U53" s="46">
        <f>SUM(D53:F53)</f>
        <v>73043</v>
      </c>
      <c r="V53" s="62"/>
      <c r="X53" s="46">
        <f>SUM(B54:D54)</f>
        <v>130523</v>
      </c>
      <c r="Y53" s="62"/>
    </row>
    <row r="54" spans="1:25" x14ac:dyDescent="0.25">
      <c r="A54" t="s">
        <v>242</v>
      </c>
      <c r="B54" s="65">
        <f>SUM(B52:B53)</f>
        <v>74572</v>
      </c>
      <c r="C54" s="65">
        <f>SUM(C52:C53)</f>
        <v>2229</v>
      </c>
      <c r="D54" s="65">
        <f>SUM(D52:D53)</f>
        <v>53722</v>
      </c>
      <c r="E54" s="65">
        <f t="shared" ref="E54:I54" si="65">SUM(E52:E53)</f>
        <v>3207</v>
      </c>
      <c r="F54" s="65">
        <f t="shared" si="65"/>
        <v>19321</v>
      </c>
      <c r="G54" s="65">
        <f t="shared" si="65"/>
        <v>10724.79</v>
      </c>
      <c r="H54" s="65">
        <f t="shared" si="65"/>
        <v>1999.82</v>
      </c>
      <c r="I54" s="65">
        <f t="shared" si="65"/>
        <v>165775.60999999999</v>
      </c>
      <c r="L54" s="62"/>
      <c r="M54" s="62"/>
      <c r="N54" s="62"/>
      <c r="O54" s="62"/>
      <c r="P54" s="62"/>
      <c r="Q54" s="62"/>
      <c r="R54" s="62"/>
      <c r="S54" s="62"/>
      <c r="U54" s="65">
        <f t="shared" ref="U54" si="66">SUM(U52:U53)</f>
        <v>73043</v>
      </c>
      <c r="V54" s="62"/>
      <c r="X54" s="65">
        <f t="shared" ref="X54" si="67">SUM(X52:X53)</f>
        <v>130523</v>
      </c>
      <c r="Y54" s="62"/>
    </row>
    <row r="55" spans="1:25" x14ac:dyDescent="0.25">
      <c r="B55" s="64"/>
      <c r="C55" s="64"/>
      <c r="D55" s="64"/>
      <c r="G55" s="47"/>
      <c r="T55" s="52"/>
    </row>
    <row r="56" spans="1:25" s="52" customFormat="1" x14ac:dyDescent="0.25">
      <c r="A56" s="52" t="s">
        <v>241</v>
      </c>
      <c r="B56" s="62"/>
      <c r="C56" s="62"/>
      <c r="D56" s="62"/>
      <c r="L56" s="60">
        <f>L39+L47</f>
        <v>90.579400292676567</v>
      </c>
      <c r="M56" s="60">
        <f>M39+M47</f>
        <v>91.561765991301598</v>
      </c>
      <c r="N56" s="60">
        <f t="shared" ref="N56:S56" si="68">N39+N47</f>
        <v>92.485053132505769</v>
      </c>
      <c r="O56" s="60">
        <f t="shared" si="68"/>
        <v>93.613459916020801</v>
      </c>
      <c r="P56" s="60">
        <f t="shared" si="68"/>
        <v>95.504016125725826</v>
      </c>
      <c r="Q56" s="60">
        <f t="shared" si="68"/>
        <v>29.204877632719612</v>
      </c>
      <c r="R56" s="60">
        <f t="shared" si="68"/>
        <v>18.342056086888924</v>
      </c>
      <c r="S56" s="60">
        <f t="shared" si="68"/>
        <v>87.000787939255304</v>
      </c>
      <c r="V56" s="60">
        <f t="shared" ref="V56" si="69">V39+V47</f>
        <v>93.283615403934988</v>
      </c>
      <c r="Y56" s="60">
        <f t="shared" ref="Y56" si="70">Y39+Y47</f>
        <v>91.380524807157073</v>
      </c>
    </row>
    <row r="57" spans="1:25" s="52" customFormat="1" ht="15.75" thickBot="1" x14ac:dyDescent="0.3"/>
    <row r="58" spans="1:25" s="52" customFormat="1" ht="15.75" thickBot="1" x14ac:dyDescent="0.3">
      <c r="A58" s="163" t="s">
        <v>344</v>
      </c>
      <c r="B58" s="164"/>
      <c r="C58" s="164"/>
      <c r="D58" s="164"/>
      <c r="E58" s="165"/>
      <c r="F58" s="165"/>
      <c r="G58" s="165"/>
      <c r="H58" s="165"/>
      <c r="I58" s="165"/>
      <c r="J58" s="165"/>
      <c r="K58" s="165"/>
      <c r="L58" s="166">
        <f t="shared" ref="L58:S58" si="71">L7-L19-L20-L22-L21-L23-L34</f>
        <v>47.424767446937786</v>
      </c>
      <c r="M58" s="166">
        <f t="shared" si="71"/>
        <v>42.41549654751681</v>
      </c>
      <c r="N58" s="166">
        <f t="shared" si="71"/>
        <v>38.970463424810688</v>
      </c>
      <c r="O58" s="166">
        <f t="shared" si="71"/>
        <v>40.304605265404355</v>
      </c>
      <c r="P58" s="166">
        <f t="shared" si="71"/>
        <v>3.0296580442553545</v>
      </c>
      <c r="Q58" s="166">
        <f t="shared" si="71"/>
        <v>90.850065436478872</v>
      </c>
      <c r="R58" s="166">
        <f t="shared" si="71"/>
        <v>91.328700692326308</v>
      </c>
      <c r="S58" s="167">
        <f t="shared" si="71"/>
        <v>42.644734431291617</v>
      </c>
      <c r="V58" s="168">
        <f>V7-V19-V20-V22-V21-V23-V34</f>
        <v>29.463566107371516</v>
      </c>
      <c r="Y58" s="168">
        <f>Y7-Y19-Y20-Y22-Y21-Y23-Y34</f>
        <v>43.859512392184811</v>
      </c>
    </row>
    <row r="59" spans="1:25" x14ac:dyDescent="0.25">
      <c r="I59" s="47"/>
      <c r="L59" s="47"/>
      <c r="M59" s="47"/>
      <c r="N59" s="47"/>
      <c r="O59" s="47"/>
      <c r="P59" s="47"/>
      <c r="Q59" s="47"/>
    </row>
    <row r="60" spans="1:25" x14ac:dyDescent="0.25">
      <c r="B60" s="57"/>
      <c r="C60" s="57"/>
      <c r="D60" s="169"/>
      <c r="E60" s="56"/>
      <c r="F60" s="56"/>
      <c r="G60" s="52"/>
      <c r="L60" s="47"/>
      <c r="M60" s="47"/>
      <c r="N60" s="47"/>
      <c r="O60" s="47"/>
      <c r="P60" s="47"/>
    </row>
    <row r="61" spans="1:25" x14ac:dyDescent="0.25">
      <c r="B61" s="52"/>
      <c r="C61" s="52"/>
      <c r="D61" s="52"/>
      <c r="E61" s="52"/>
      <c r="F61" s="52"/>
      <c r="G61" s="52"/>
      <c r="I61" s="47"/>
      <c r="L61" s="47"/>
      <c r="M61" s="47"/>
      <c r="N61" s="47"/>
      <c r="O61" s="47"/>
      <c r="P61" s="47"/>
    </row>
    <row r="62" spans="1:25" x14ac:dyDescent="0.25">
      <c r="B62" s="55"/>
      <c r="C62" s="55"/>
      <c r="D62" s="54"/>
      <c r="E62" s="53"/>
      <c r="F62" s="52"/>
      <c r="G62" s="52"/>
      <c r="L62" s="51"/>
      <c r="M62" s="51"/>
      <c r="N62" s="45"/>
      <c r="O62" s="47"/>
      <c r="P62" s="47"/>
    </row>
    <row r="63" spans="1:25" x14ac:dyDescent="0.25">
      <c r="B63" s="44"/>
      <c r="C63" s="44"/>
      <c r="D63" s="50"/>
      <c r="E63" s="50"/>
      <c r="L63" s="47"/>
      <c r="M63" s="47"/>
      <c r="N63" s="49"/>
      <c r="P63" s="47"/>
      <c r="S63" s="47"/>
    </row>
    <row r="64" spans="1:25" x14ac:dyDescent="0.25">
      <c r="B64" s="44"/>
      <c r="C64" s="44"/>
      <c r="E64" s="45"/>
      <c r="L64" s="47"/>
      <c r="M64" s="47"/>
      <c r="N64" s="49"/>
      <c r="P64" s="47"/>
    </row>
    <row r="65" spans="2:16" x14ac:dyDescent="0.25">
      <c r="B65" s="44"/>
      <c r="C65" s="44"/>
      <c r="D65" s="44"/>
      <c r="E65" s="44"/>
      <c r="F65" s="44"/>
      <c r="N65" s="49"/>
      <c r="P65" s="49"/>
    </row>
    <row r="66" spans="2:16" x14ac:dyDescent="0.25">
      <c r="B66" s="44"/>
      <c r="C66" s="44"/>
      <c r="D66" s="45"/>
      <c r="E66" s="45"/>
      <c r="F66" s="48"/>
      <c r="L66" s="47"/>
      <c r="M66" s="47"/>
      <c r="N66" s="47"/>
    </row>
    <row r="67" spans="2:16" x14ac:dyDescent="0.25">
      <c r="B67" s="44"/>
      <c r="C67" s="44"/>
      <c r="D67" s="44"/>
      <c r="E67" s="44"/>
      <c r="F67" s="45"/>
    </row>
    <row r="68" spans="2:16" x14ac:dyDescent="0.25">
      <c r="B68" s="44"/>
      <c r="C68" s="44"/>
      <c r="D68" s="44"/>
      <c r="E68" s="44"/>
      <c r="F68" s="46"/>
    </row>
    <row r="69" spans="2:16" x14ac:dyDescent="0.25">
      <c r="B69" s="44"/>
      <c r="C69" s="44"/>
      <c r="F69" s="46"/>
    </row>
    <row r="70" spans="2:16" x14ac:dyDescent="0.25">
      <c r="B70" s="44"/>
      <c r="C70" s="44"/>
      <c r="F70" s="45"/>
    </row>
    <row r="71" spans="2:16" x14ac:dyDescent="0.25">
      <c r="B71" s="44"/>
      <c r="C71" s="44"/>
    </row>
    <row r="72" spans="2:16" x14ac:dyDescent="0.25">
      <c r="B72" s="45"/>
      <c r="C72" s="45"/>
    </row>
    <row r="73" spans="2:16" x14ac:dyDescent="0.25">
      <c r="B73" s="44"/>
      <c r="C73" s="44"/>
    </row>
    <row r="74" spans="2:16" x14ac:dyDescent="0.25">
      <c r="B74" s="44"/>
      <c r="C74" s="44"/>
    </row>
    <row r="75" spans="2:16" x14ac:dyDescent="0.25">
      <c r="B75" s="44"/>
      <c r="C75" s="44"/>
    </row>
    <row r="76" spans="2:16" x14ac:dyDescent="0.25">
      <c r="B76" s="44"/>
      <c r="C76" s="44"/>
    </row>
    <row r="77" spans="2:16" x14ac:dyDescent="0.25">
      <c r="B77" s="44"/>
      <c r="C77" s="44"/>
    </row>
    <row r="78" spans="2:16" x14ac:dyDescent="0.25">
      <c r="B78" s="44"/>
      <c r="C78" s="44"/>
    </row>
    <row r="79" spans="2:16" x14ac:dyDescent="0.25">
      <c r="B79" s="44"/>
      <c r="C79" s="44"/>
    </row>
    <row r="80" spans="2:16" x14ac:dyDescent="0.25">
      <c r="B80" s="44"/>
      <c r="C80" s="44"/>
    </row>
  </sheetData>
  <mergeCells count="5">
    <mergeCell ref="U2:U4"/>
    <mergeCell ref="X2:X4"/>
    <mergeCell ref="N3:S3"/>
    <mergeCell ref="V3:V4"/>
    <mergeCell ref="Y3:Y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EEED76C522C5B4C91A6CE6F302E0326" ma:contentTypeVersion="76" ma:contentTypeDescription="" ma:contentTypeScope="" ma:versionID="cd6f76e3651e43837f3e938e84dbc4c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2018-11-14T08:00:00+00:00</OpenedDate>
    <SignificantOrder xmlns="dc463f71-b30c-4ab2-9473-d307f9d35888">false</SignificantOrder>
    <Date1 xmlns="dc463f71-b30c-4ab2-9473-d307f9d35888">2018-11-14T08:00:00+00:00</Date1>
    <IsDocumentOrder xmlns="dc463f71-b30c-4ab2-9473-d307f9d35888">false</IsDocumentOrder>
    <IsHighlyConfidential xmlns="dc463f71-b30c-4ab2-9473-d307f9d35888">false</IsHighlyConfidential>
    <CaseCompanyNames xmlns="dc463f71-b30c-4ab2-9473-d307f9d35888">RABANCO LTD</CaseCompanyNames>
    <Nickname xmlns="http://schemas.microsoft.com/sharepoint/v3" xsi:nil="true"/>
    <DocketNumber xmlns="dc463f71-b30c-4ab2-9473-d307f9d35888">180935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DA5B4F0-4191-4CE1-A18A-ACD8FD320EC5}"/>
</file>

<file path=customXml/itemProps2.xml><?xml version="1.0" encoding="utf-8"?>
<ds:datastoreItem xmlns:ds="http://schemas.openxmlformats.org/officeDocument/2006/customXml" ds:itemID="{A210FB34-9098-452E-A643-9EF5F14032E2}">
  <ds:schemaRefs>
    <ds:schemaRef ds:uri="http://schemas.microsoft.com/sharepoint/v3/contenttype/forms"/>
  </ds:schemaRefs>
</ds:datastoreItem>
</file>

<file path=customXml/itemProps3.xml><?xml version="1.0" encoding="utf-8"?>
<ds:datastoreItem xmlns:ds="http://schemas.openxmlformats.org/officeDocument/2006/customXml" ds:itemID="{BF9C4EAB-69E3-42DE-A0D0-BF3DD99EE9B4}">
  <ds:schemaRefs>
    <ds:schemaRef ds:uri="dc463f71-b30c-4ab2-9473-d307f9d35888"/>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purl.org/dc/terms/"/>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3FA5F597-791E-49CB-ADFB-29AC9356E7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Single Family</vt:lpstr>
      <vt:lpstr>Multi-Family</vt:lpstr>
      <vt:lpstr>Company Surcharge Calculation</vt:lpstr>
      <vt:lpstr>New Calculation</vt:lpstr>
      <vt:lpstr>Staff Calculation</vt:lpstr>
      <vt:lpstr>Current MRF Income Statement</vt:lpstr>
      <vt:lpstr>MRF Income Statmnt</vt:lpstr>
      <vt:lpstr>Staff Q1 INC STAT Compare</vt:lpstr>
      <vt:lpstr>2018 Oct Actual</vt:lpstr>
      <vt:lpstr>2018 Q1 Actual</vt:lpstr>
      <vt:lpstr>Staff Q1 2017 and 2018 compare</vt:lpstr>
      <vt:lpstr>'Staff Calculation'!Print_Area</vt:lpstr>
    </vt:vector>
  </TitlesOfParts>
  <Company>Republic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Waldren, Rick</dc:creator>
  <cp:lastModifiedBy>Cramer, Diane</cp:lastModifiedBy>
  <cp:lastPrinted>2018-11-14T16:15:31Z</cp:lastPrinted>
  <dcterms:created xsi:type="dcterms:W3CDTF">2018-05-08T18:16:00Z</dcterms:created>
  <dcterms:modified xsi:type="dcterms:W3CDTF">2018-11-14T22:55:24Z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0x0101006E56B4D1795A2E4DB2F0B01679ED314A004EEED76C522C5B4C91A6CE6F302E0326</vt:lpwstr>
  </property>
  <property fmtid="{D5CDD505-2E9C-101B-9397-08002B2CF9AE}" pid="3" name="_docset_NoMedatataSyncRequired">
    <vt:lpwstr>False</vt:lpwstr>
  </property>
  <property fmtid="{D5CDD505-2E9C-101B-9397-08002B2CF9AE}" pid="4" name="IsEFSEC">
    <vt:bool>false</vt:bool>
  </property>
</Properties>
</file>