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\State USF Petition Filing - 2018\WTC\Revised Filing\Updated Revised Filing\"/>
    </mc:Choice>
  </mc:AlternateContent>
  <bookViews>
    <workbookView xWindow="0" yWindow="0" windowWidth="25200" windowHeight="12270" tabRatio="720" activeTab="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 concurrentCalc="0"/>
</workbook>
</file>

<file path=xl/calcChain.xml><?xml version="1.0" encoding="utf-8"?>
<calcChain xmlns="http://schemas.openxmlformats.org/spreadsheetml/2006/main">
  <c r="D24" i="13" l="1"/>
  <c r="D30" i="13"/>
  <c r="D27" i="13"/>
  <c r="D21" i="13"/>
  <c r="D20" i="13"/>
  <c r="D18" i="13"/>
  <c r="D17" i="13"/>
  <c r="D16" i="13"/>
  <c r="D12" i="13"/>
  <c r="C46" i="12"/>
  <c r="C42" i="12"/>
  <c r="C43" i="12"/>
  <c r="H12" i="12"/>
  <c r="I35" i="12"/>
  <c r="G35" i="5"/>
  <c r="I35" i="2"/>
  <c r="F35" i="5"/>
  <c r="D22" i="13"/>
  <c r="C22" i="13"/>
  <c r="D22" i="1"/>
  <c r="C22" i="1"/>
  <c r="C3" i="19"/>
  <c r="A3" i="17"/>
  <c r="B3" i="3"/>
  <c r="B3" i="10"/>
  <c r="B3" i="13"/>
  <c r="B3" i="1"/>
  <c r="B3" i="8"/>
  <c r="B3" i="18"/>
  <c r="A3" i="5"/>
  <c r="A3" i="12"/>
  <c r="D28" i="19"/>
  <c r="D26" i="13"/>
  <c r="D20" i="19"/>
  <c r="D12" i="19"/>
  <c r="D26" i="1"/>
  <c r="D30" i="19"/>
  <c r="F14" i="18"/>
  <c r="E20" i="3"/>
  <c r="D20" i="3"/>
  <c r="E52" i="13"/>
  <c r="D52" i="10"/>
  <c r="D51" i="13"/>
  <c r="C51" i="13"/>
  <c r="E50" i="13"/>
  <c r="D50" i="10"/>
  <c r="E49" i="13"/>
  <c r="D49" i="10"/>
  <c r="E48" i="13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17" i="19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E21" i="13"/>
  <c r="E20" i="13"/>
  <c r="D20" i="10"/>
  <c r="E19" i="13"/>
  <c r="D19" i="10"/>
  <c r="E18" i="13"/>
  <c r="D18" i="10"/>
  <c r="E17" i="13"/>
  <c r="D17" i="10"/>
  <c r="E16" i="13"/>
  <c r="D15" i="13"/>
  <c r="C15" i="13"/>
  <c r="E14" i="13"/>
  <c r="D14" i="10"/>
  <c r="E13" i="13"/>
  <c r="D13" i="10"/>
  <c r="E12" i="13"/>
  <c r="D12" i="10"/>
  <c r="E11" i="13"/>
  <c r="D11" i="10"/>
  <c r="E10" i="13"/>
  <c r="D10" i="10"/>
  <c r="E21" i="3"/>
  <c r="E9" i="13"/>
  <c r="D9" i="10"/>
  <c r="E22" i="13"/>
  <c r="E51" i="13"/>
  <c r="E34" i="13"/>
  <c r="D48" i="10"/>
  <c r="D30" i="10"/>
  <c r="D23" i="13"/>
  <c r="D21" i="10"/>
  <c r="C23" i="13"/>
  <c r="C29" i="13"/>
  <c r="C39" i="13"/>
  <c r="D16" i="10"/>
  <c r="E15" i="13"/>
  <c r="C54" i="13"/>
  <c r="C53" i="13"/>
  <c r="D22" i="10"/>
  <c r="E23" i="13"/>
  <c r="D28" i="13"/>
  <c r="E26" i="13"/>
  <c r="C55" i="13"/>
  <c r="C47" i="13"/>
  <c r="C56" i="13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I43" i="12"/>
  <c r="G43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I23" i="12"/>
  <c r="G23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I32" i="12"/>
  <c r="I38" i="12"/>
  <c r="E15" i="18"/>
  <c r="D35" i="19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18" i="19"/>
  <c r="D19" i="19"/>
  <c r="D55" i="13"/>
  <c r="D47" i="13"/>
  <c r="D56" i="13"/>
  <c r="I47" i="12"/>
  <c r="I49" i="12"/>
  <c r="G46" i="5"/>
  <c r="D39" i="12"/>
  <c r="D49" i="12"/>
  <c r="C35" i="5"/>
  <c r="D34" i="2"/>
  <c r="B39" i="2"/>
  <c r="D21" i="19"/>
  <c r="D22" i="19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7" i="1"/>
  <c r="C17" i="10"/>
  <c r="E18" i="1"/>
  <c r="C18" i="10"/>
  <c r="E19" i="1"/>
  <c r="C19" i="10"/>
  <c r="E20" i="1"/>
  <c r="C20" i="10"/>
  <c r="E21" i="1"/>
  <c r="C21" i="10"/>
  <c r="E16" i="1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E22" i="1"/>
  <c r="C16" i="10"/>
  <c r="C22" i="10"/>
  <c r="C35" i="10"/>
  <c r="E34" i="1"/>
  <c r="D15" i="10"/>
  <c r="E22" i="3"/>
  <c r="C10" i="10"/>
  <c r="C53" i="1"/>
  <c r="C54" i="1"/>
  <c r="D51" i="10"/>
  <c r="D34" i="10"/>
  <c r="D10" i="19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3" i="8"/>
  <c r="C13" i="8"/>
  <c r="F11" i="8"/>
  <c r="E23" i="1"/>
  <c r="C15" i="10"/>
  <c r="C23" i="10"/>
  <c r="D21" i="3"/>
  <c r="D22" i="3"/>
  <c r="C29" i="1"/>
  <c r="C39" i="1"/>
  <c r="G47" i="5"/>
  <c r="C39" i="5"/>
  <c r="D54" i="10"/>
  <c r="D53" i="10"/>
  <c r="E13" i="8"/>
  <c r="F13" i="8"/>
  <c r="D23" i="10"/>
  <c r="D29" i="10"/>
  <c r="G38" i="5"/>
  <c r="G32" i="5"/>
  <c r="G20" i="5"/>
  <c r="C47" i="5"/>
  <c r="F38" i="5"/>
  <c r="F32" i="5"/>
  <c r="F20" i="5"/>
  <c r="F12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D8" i="19"/>
  <c r="F11" i="18"/>
  <c r="D15" i="18"/>
  <c r="D34" i="19"/>
  <c r="D36" i="19"/>
  <c r="D37" i="19"/>
  <c r="E26" i="1"/>
  <c r="D28" i="1"/>
  <c r="H46" i="2"/>
  <c r="I46" i="2"/>
  <c r="F46" i="5"/>
  <c r="F47" i="5"/>
  <c r="F49" i="5"/>
  <c r="C47" i="1"/>
  <c r="C56" i="1"/>
  <c r="C55" i="1"/>
  <c r="H47" i="2"/>
  <c r="H49" i="2"/>
  <c r="D35" i="2"/>
  <c r="D39" i="10"/>
  <c r="G49" i="2"/>
  <c r="B49" i="2"/>
  <c r="B47" i="5"/>
  <c r="G49" i="5"/>
  <c r="B25" i="5"/>
  <c r="C49" i="5"/>
  <c r="D11" i="19"/>
  <c r="D47" i="10"/>
  <c r="D27" i="19"/>
  <c r="D29" i="19"/>
  <c r="D31" i="19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D13" i="19"/>
  <c r="D14" i="19"/>
  <c r="D24" i="19"/>
  <c r="E54" i="1"/>
  <c r="E53" i="1"/>
  <c r="E29" i="1"/>
  <c r="C54" i="10"/>
  <c r="C53" i="10"/>
  <c r="C29" i="10"/>
  <c r="E38" i="1"/>
  <c r="D39" i="2"/>
  <c r="D49" i="2"/>
  <c r="B35" i="5"/>
  <c r="B39" i="5"/>
  <c r="B49" i="5"/>
  <c r="D38" i="19"/>
  <c r="D39" i="19"/>
  <c r="E39" i="1"/>
  <c r="D39" i="1"/>
  <c r="D55" i="1"/>
  <c r="C38" i="10"/>
  <c r="C39" i="10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<sst xmlns="http://schemas.openxmlformats.org/spreadsheetml/2006/main" count="685" uniqueCount="310">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</sst>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view="pageLayout" topLeftCell="B1" zoomScaleNormal="100" workbookViewId="0">
      <selection activeCell="C27" sqref="C27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view="pageLayout" topLeftCell="A13" zoomScaleNormal="100" workbookViewId="0">
      <selection activeCell="C27" sqref="C2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Whidbey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1268716</v>
      </c>
      <c r="E9" s="56">
        <v>1336418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667128</v>
      </c>
      <c r="E11" s="53">
        <v>530185</v>
      </c>
    </row>
    <row r="12" spans="1:5" x14ac:dyDescent="0.25">
      <c r="A12" s="11" t="s">
        <v>171</v>
      </c>
      <c r="B12" s="18" t="s">
        <v>225</v>
      </c>
      <c r="C12" s="11"/>
      <c r="D12" s="53">
        <v>1279585</v>
      </c>
      <c r="E12" s="53">
        <v>914444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/>
    </row>
    <row r="15" spans="1:5" x14ac:dyDescent="0.25">
      <c r="A15" s="11" t="s">
        <v>173</v>
      </c>
      <c r="B15" s="18" t="s">
        <v>142</v>
      </c>
      <c r="C15" s="11"/>
      <c r="D15" s="53">
        <v>3065017</v>
      </c>
      <c r="E15" s="53">
        <v>4377796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2708286</v>
      </c>
      <c r="E16" s="53">
        <v>2683646</v>
      </c>
    </row>
    <row r="17" spans="1:5" x14ac:dyDescent="0.25">
      <c r="A17" s="11">
        <v>5</v>
      </c>
      <c r="B17" s="18" t="s">
        <v>308</v>
      </c>
      <c r="C17" s="11" t="s">
        <v>144</v>
      </c>
      <c r="D17" s="53"/>
      <c r="E17" s="53"/>
    </row>
    <row r="18" spans="1:5" x14ac:dyDescent="0.25">
      <c r="A18" s="11">
        <v>6</v>
      </c>
      <c r="B18" s="18" t="s">
        <v>186</v>
      </c>
      <c r="C18" s="11" t="s">
        <v>144</v>
      </c>
      <c r="D18" s="53">
        <v>796916</v>
      </c>
      <c r="E18" s="53">
        <v>891536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9785648</v>
      </c>
      <c r="E20" s="36">
        <f>E9+E11+E12+E14+E15+E16+E18+E19</f>
        <v>10734025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9785647</v>
      </c>
      <c r="E21" s="38">
        <f>IncomeStmtSummary!D10</f>
        <v>10734025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1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3"/>
  <sheetViews>
    <sheetView view="pageLayout" topLeftCell="A22" zoomScaleNormal="100" workbookViewId="0">
      <selection activeCell="C27" sqref="C27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Whidbey Telephone Company</v>
      </c>
      <c r="B3" s="13"/>
    </row>
    <row r="6" spans="1:5" x14ac:dyDescent="0.2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topLeftCell="A31" zoomScaleNormal="100" workbookViewId="0">
      <selection activeCell="C27" sqref="C27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Whidbey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2017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532681</v>
      </c>
      <c r="E8" s="7"/>
    </row>
    <row r="9" spans="1:6" x14ac:dyDescent="0.25">
      <c r="A9" s="11">
        <v>2</v>
      </c>
      <c r="B9" s="18"/>
      <c r="C9" s="18" t="s">
        <v>304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20224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512457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0.37669999999999998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193042.55189999999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287</v>
      </c>
      <c r="D14" s="93">
        <f>D8+D9-D13</f>
        <v>339638.44810000004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2911991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-1094134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1817857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0.37669999999999998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684786.73190000001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1133070.2681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1472708.7162000001</v>
      </c>
      <c r="E24" s="77" t="s">
        <v>290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2330314</v>
      </c>
      <c r="E27" s="7"/>
    </row>
    <row r="28" spans="1:6" x14ac:dyDescent="0.2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2330314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0.62329999999999997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302</v>
      </c>
      <c r="D31" s="104">
        <f>D29*D30</f>
        <v>1452484.7161999999</v>
      </c>
      <c r="E31" s="12" t="s">
        <v>291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266</v>
      </c>
      <c r="D34" s="89">
        <f>'RateBase '!D15</f>
        <v>17298467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288</v>
      </c>
      <c r="D35" s="90">
        <f>'RateBase '!E15</f>
        <v>22578183.180000007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39876650.180000007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19938325.090000004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339638.44810000004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1.7034452320688887E-2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2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zoomScaleNormal="100" workbookViewId="0">
      <selection activeCell="C27" sqref="C2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5466584</v>
      </c>
      <c r="C10" s="120"/>
      <c r="D10" s="60">
        <f>SUM(B10:C10)</f>
        <v>5466584</v>
      </c>
      <c r="E10" s="18"/>
      <c r="F10" s="18" t="s">
        <v>77</v>
      </c>
      <c r="G10" s="53">
        <v>873012</v>
      </c>
      <c r="H10" s="55"/>
      <c r="I10" s="60">
        <f>SUM(G10:H10)</f>
        <v>873012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3125</v>
      </c>
      <c r="H13" s="55">
        <v>-3125</v>
      </c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>
        <v>1719789</v>
      </c>
      <c r="C15" s="55"/>
      <c r="D15" s="60">
        <f t="shared" si="1"/>
        <v>1719789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400541</v>
      </c>
      <c r="C17" s="55"/>
      <c r="D17" s="60">
        <f>SUM(B17:C17)</f>
        <v>400541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1346322</v>
      </c>
      <c r="C18" s="55"/>
      <c r="D18" s="60">
        <f t="shared" ref="D18:D24" si="2">SUM(B18:C18)</f>
        <v>1346322</v>
      </c>
      <c r="E18" s="18"/>
      <c r="F18" s="18" t="s">
        <v>86</v>
      </c>
      <c r="G18" s="53">
        <v>264677</v>
      </c>
      <c r="H18" s="55"/>
      <c r="I18" s="60">
        <f t="shared" si="0"/>
        <v>264677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671157</v>
      </c>
      <c r="H19" s="121"/>
      <c r="I19" s="61">
        <f t="shared" si="0"/>
        <v>671157</v>
      </c>
    </row>
    <row r="20" spans="1:9" x14ac:dyDescent="0.25">
      <c r="A20" s="18" t="s">
        <v>47</v>
      </c>
      <c r="B20" s="53">
        <v>193227</v>
      </c>
      <c r="C20" s="55"/>
      <c r="D20" s="60">
        <f t="shared" si="2"/>
        <v>193227</v>
      </c>
      <c r="E20" s="18"/>
      <c r="F20" s="18" t="s">
        <v>107</v>
      </c>
      <c r="G20" s="60">
        <f>SUM(G10:G19)</f>
        <v>1811971</v>
      </c>
      <c r="H20" s="60">
        <f>SUM(H10:H19)</f>
        <v>-3125</v>
      </c>
      <c r="I20" s="60">
        <f t="shared" ref="I20" si="3">SUM(I10:I19)</f>
        <v>1808846</v>
      </c>
    </row>
    <row r="21" spans="1:9" x14ac:dyDescent="0.25">
      <c r="A21" s="18" t="s">
        <v>48</v>
      </c>
      <c r="B21" s="53">
        <v>874713</v>
      </c>
      <c r="C21" s="55"/>
      <c r="D21" s="60">
        <f t="shared" si="2"/>
        <v>874713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26180</v>
      </c>
      <c r="C22" s="55"/>
      <c r="D22" s="60">
        <f t="shared" si="2"/>
        <v>26180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354765</v>
      </c>
      <c r="C23" s="55"/>
      <c r="D23" s="60">
        <f t="shared" si="2"/>
        <v>354765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>
        <v>590006</v>
      </c>
      <c r="C24" s="121"/>
      <c r="D24" s="61">
        <f t="shared" si="2"/>
        <v>590006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10972127</v>
      </c>
      <c r="C25" s="60">
        <f>C10+C11+C13+C14+C15+C17+C18+C19+C20+C21+C22+C23+C24</f>
        <v>0</v>
      </c>
      <c r="D25" s="60">
        <f t="shared" ref="D25" si="5">D10+D11+D13+D14+D15+D17+D18+D19+D20+D21+D22+D23+D24</f>
        <v>10972127</v>
      </c>
      <c r="E25" s="18"/>
      <c r="F25" s="18" t="s">
        <v>93</v>
      </c>
      <c r="G25" s="53">
        <v>8000000</v>
      </c>
      <c r="H25" s="55"/>
      <c r="I25" s="60">
        <f t="shared" si="4"/>
        <v>8000000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8734033</v>
      </c>
      <c r="C30" s="55"/>
      <c r="D30" s="60">
        <f>SUM(B30:C30)</f>
        <v>8734033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/>
      <c r="D31" s="60">
        <f>SUM(B31:C31)</f>
        <v>4962486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8000000</v>
      </c>
      <c r="H32" s="127">
        <f>SUM(H22:H31)</f>
        <v>0</v>
      </c>
      <c r="I32" s="127">
        <f>SUM(I22:I31)</f>
        <v>8000000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>
        <v>1439096</v>
      </c>
      <c r="C34" s="55"/>
      <c r="D34" s="60">
        <f t="shared" ref="D34:D38" si="7">SUM(B34:C34)</f>
        <v>1439096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>
        <v>6132044</v>
      </c>
      <c r="C35" s="71">
        <f>-1*(C25+C30+C31+C33+C34+C36+C37+C38+C47)</f>
        <v>2405402</v>
      </c>
      <c r="D35" s="60">
        <f t="shared" si="7"/>
        <v>8537446</v>
      </c>
      <c r="E35" s="18"/>
      <c r="F35" s="19" t="s">
        <v>247</v>
      </c>
      <c r="G35" s="53"/>
      <c r="H35" s="53">
        <v>-4456194</v>
      </c>
      <c r="I35" s="60">
        <f>SUM(G35:H35)</f>
        <v>-4456194</v>
      </c>
    </row>
    <row r="36" spans="1:9" x14ac:dyDescent="0.25">
      <c r="A36" s="18" t="s">
        <v>61</v>
      </c>
      <c r="B36" s="53">
        <v>4505938</v>
      </c>
      <c r="C36" s="55"/>
      <c r="D36" s="60">
        <f t="shared" si="7"/>
        <v>4505938</v>
      </c>
      <c r="E36" s="18"/>
      <c r="F36" s="18" t="s">
        <v>271</v>
      </c>
      <c r="G36" s="53">
        <v>422720</v>
      </c>
      <c r="H36" s="120">
        <v>-422720</v>
      </c>
      <c r="I36" s="60">
        <f t="shared" ref="I36:I37" si="8">SUM(G36:H36)</f>
        <v>0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422720</v>
      </c>
      <c r="H38" s="60">
        <f>SUM(H34:H37)</f>
        <v>-4878914</v>
      </c>
      <c r="I38" s="60">
        <f>SUM(I34:I37)</f>
        <v>-4456194</v>
      </c>
    </row>
    <row r="39" spans="1:9" x14ac:dyDescent="0.25">
      <c r="A39" s="18" t="s">
        <v>64</v>
      </c>
      <c r="B39" s="60">
        <f>B30+B31+B33+B34+B35+B36+B37+B38</f>
        <v>25773597</v>
      </c>
      <c r="C39" s="60">
        <f>C30+C31+C33+C34+C35+C36+C37+C38</f>
        <v>2405402</v>
      </c>
      <c r="D39" s="60">
        <f t="shared" ref="D39" si="9">D30+D31+D33+D34+D35+D36+D37+D38</f>
        <v>28178999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94883530</v>
      </c>
      <c r="C42" s="53">
        <v>-3475634</v>
      </c>
      <c r="D42" s="60">
        <f>SUM(B42:C42)</f>
        <v>91407896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>
        <v>798914</v>
      </c>
      <c r="C43" s="53"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2063972</v>
      </c>
      <c r="C44" s="53"/>
      <c r="D44" s="60">
        <f t="shared" si="11"/>
        <v>2063972</v>
      </c>
      <c r="E44" s="18"/>
      <c r="F44" s="18" t="s">
        <v>252</v>
      </c>
      <c r="G44" s="53">
        <v>100029</v>
      </c>
      <c r="H44" s="23"/>
      <c r="I44" s="60">
        <f t="shared" si="10"/>
        <v>100029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-72465299</v>
      </c>
      <c r="C46" s="54">
        <v>1869146</v>
      </c>
      <c r="D46" s="61">
        <f t="shared" si="11"/>
        <v>-70596153</v>
      </c>
      <c r="E46" s="18"/>
      <c r="F46" s="18" t="s">
        <v>254</v>
      </c>
      <c r="G46" s="54">
        <v>51620121</v>
      </c>
      <c r="H46" s="80">
        <f>-1*(H20+H32+H38)</f>
        <v>4882039</v>
      </c>
      <c r="I46" s="61">
        <f t="shared" si="10"/>
        <v>56502160</v>
      </c>
    </row>
    <row r="47" spans="1:9" x14ac:dyDescent="0.25">
      <c r="A47" s="18" t="s">
        <v>70</v>
      </c>
      <c r="B47" s="60">
        <f>B42+B43+B44+B45+B46</f>
        <v>25281117</v>
      </c>
      <c r="C47" s="60">
        <f t="shared" ref="C47:D47" si="12">C42+C43+C44+C45+C46</f>
        <v>-2405402</v>
      </c>
      <c r="D47" s="60">
        <f t="shared" si="12"/>
        <v>22875715</v>
      </c>
      <c r="E47" s="18"/>
      <c r="F47" s="18" t="s">
        <v>259</v>
      </c>
      <c r="G47" s="60">
        <f>SUM(G40:G46)</f>
        <v>51792150</v>
      </c>
      <c r="H47" s="63">
        <f t="shared" ref="H47:I47" si="13">SUM(H40:H46)</f>
        <v>4882039</v>
      </c>
      <c r="I47" s="60">
        <f t="shared" si="13"/>
        <v>56674189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62026841</v>
      </c>
      <c r="C49" s="62">
        <f t="shared" ref="C49:D49" si="14">C25+C39+C47</f>
        <v>0</v>
      </c>
      <c r="D49" s="62">
        <f t="shared" si="14"/>
        <v>62026841</v>
      </c>
      <c r="E49" s="20"/>
      <c r="F49" s="75" t="s">
        <v>256</v>
      </c>
      <c r="G49" s="62">
        <f>G20+G32+G38+G47</f>
        <v>62026841</v>
      </c>
      <c r="H49" s="62">
        <f>H20+H32+H38+H47</f>
        <v>0</v>
      </c>
      <c r="I49" s="62">
        <f>I20+I32+I38+I47</f>
        <v>62026841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view="pageLayout" topLeftCell="A16" zoomScaleNormal="100" workbookViewId="0">
      <selection activeCell="B37" sqref="B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Whidbey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4724126</v>
      </c>
      <c r="C10" s="55"/>
      <c r="D10" s="60">
        <f>SUM(B10:C10)</f>
        <v>4724126</v>
      </c>
      <c r="E10" s="18"/>
      <c r="F10" s="18" t="s">
        <v>77</v>
      </c>
      <c r="G10" s="53">
        <v>722643</v>
      </c>
      <c r="H10" s="55"/>
      <c r="I10" s="60">
        <f>SUM(G10:H10)</f>
        <v>722643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>
        <v>4338</v>
      </c>
      <c r="H12" s="55">
        <f>-G12</f>
        <v>-4338</v>
      </c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1000000</v>
      </c>
      <c r="H14" s="55"/>
      <c r="I14" s="60">
        <f t="shared" si="0"/>
        <v>1000000</v>
      </c>
    </row>
    <row r="15" spans="1:9" x14ac:dyDescent="0.25">
      <c r="A15" s="18" t="s">
        <v>44</v>
      </c>
      <c r="B15" s="53">
        <v>1908915</v>
      </c>
      <c r="C15" s="55"/>
      <c r="D15" s="60">
        <f t="shared" si="1"/>
        <v>1908915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578408</v>
      </c>
      <c r="C17" s="55"/>
      <c r="D17" s="60">
        <f>SUM(B17:C17)</f>
        <v>578408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640406</v>
      </c>
      <c r="C18" s="55"/>
      <c r="D18" s="60">
        <f t="shared" ref="D18:D24" si="2">SUM(B18:C18)</f>
        <v>640406</v>
      </c>
      <c r="E18" s="18"/>
      <c r="F18" s="18" t="s">
        <v>86</v>
      </c>
      <c r="G18" s="53">
        <v>250839</v>
      </c>
      <c r="H18" s="55"/>
      <c r="I18" s="60">
        <f t="shared" si="0"/>
        <v>250839</v>
      </c>
    </row>
    <row r="19" spans="1:9" x14ac:dyDescent="0.25">
      <c r="A19" s="18" t="s">
        <v>44</v>
      </c>
      <c r="B19" s="53">
        <v>0</v>
      </c>
      <c r="C19" s="55"/>
      <c r="D19" s="60">
        <f t="shared" si="2"/>
        <v>0</v>
      </c>
      <c r="E19" s="18"/>
      <c r="F19" s="18" t="s">
        <v>87</v>
      </c>
      <c r="G19" s="54">
        <v>788593</v>
      </c>
      <c r="H19" s="121"/>
      <c r="I19" s="61">
        <f t="shared" si="0"/>
        <v>788593</v>
      </c>
    </row>
    <row r="20" spans="1:9" x14ac:dyDescent="0.25">
      <c r="A20" s="18" t="s">
        <v>47</v>
      </c>
      <c r="B20" s="53">
        <v>373116</v>
      </c>
      <c r="C20" s="55"/>
      <c r="D20" s="60">
        <f t="shared" si="2"/>
        <v>373116</v>
      </c>
      <c r="E20" s="18"/>
      <c r="F20" s="18" t="s">
        <v>107</v>
      </c>
      <c r="G20" s="60">
        <f>SUM(G10:G19)</f>
        <v>2766413</v>
      </c>
      <c r="H20" s="60">
        <f>SUM(H10:H19)</f>
        <v>-4338</v>
      </c>
      <c r="I20" s="60">
        <f t="shared" ref="I20" si="3">SUM(I10:I19)</f>
        <v>2762075</v>
      </c>
    </row>
    <row r="21" spans="1:9" x14ac:dyDescent="0.25">
      <c r="A21" s="18" t="s">
        <v>48</v>
      </c>
      <c r="B21" s="53">
        <v>844205</v>
      </c>
      <c r="C21" s="55"/>
      <c r="D21" s="60">
        <f t="shared" si="2"/>
        <v>844205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34530</v>
      </c>
      <c r="C22" s="55"/>
      <c r="D22" s="60">
        <f t="shared" si="2"/>
        <v>34530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380495</v>
      </c>
      <c r="C23" s="55"/>
      <c r="D23" s="60">
        <f t="shared" si="2"/>
        <v>380495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>
        <v>590006</v>
      </c>
      <c r="C24" s="121"/>
      <c r="D24" s="61">
        <f t="shared" si="2"/>
        <v>590006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10074207</v>
      </c>
      <c r="C25" s="60">
        <f>C10+C11+C13+C14+C15+C17+C18+C19+C20+C21+C22+C23+C24</f>
        <v>0</v>
      </c>
      <c r="D25" s="60">
        <f t="shared" ref="D25" si="5">D10+D11+D13+D14+D15+D17+D18+D19+D20+D21+D22+D23+D24</f>
        <v>10074207</v>
      </c>
      <c r="E25" s="18"/>
      <c r="F25" s="18" t="s">
        <v>93</v>
      </c>
      <c r="G25" s="53">
        <v>11500000</v>
      </c>
      <c r="H25" s="55"/>
      <c r="I25" s="60">
        <f t="shared" si="4"/>
        <v>11500000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8848341</v>
      </c>
      <c r="C30" s="55"/>
      <c r="D30" s="60">
        <f>SUM(B30:C30)</f>
        <v>8848341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/>
      <c r="D31" s="60">
        <f>SUM(B31:C31)</f>
        <v>4962486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11500000</v>
      </c>
      <c r="H32" s="127">
        <f>SUM(H22:H31)</f>
        <v>0</v>
      </c>
      <c r="I32" s="127">
        <f>SUM(I22:I31)</f>
        <v>11500000</v>
      </c>
    </row>
    <row r="33" spans="1:11" x14ac:dyDescent="0.25">
      <c r="A33" s="18" t="s">
        <v>56</v>
      </c>
      <c r="B33" s="53">
        <v>0</v>
      </c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>
        <v>1452711</v>
      </c>
      <c r="C34" s="55"/>
      <c r="D34" s="60">
        <f t="shared" ref="D34:D38" si="7">SUM(B34:C34)</f>
        <v>1452711</v>
      </c>
      <c r="E34" s="18"/>
      <c r="F34" s="14" t="s">
        <v>101</v>
      </c>
      <c r="G34" s="53"/>
      <c r="H34" s="55">
        <v>0</v>
      </c>
      <c r="I34" s="60">
        <f>SUM(G34:H34)</f>
        <v>0</v>
      </c>
    </row>
    <row r="35" spans="1:11" x14ac:dyDescent="0.25">
      <c r="A35" s="18" t="s">
        <v>151</v>
      </c>
      <c r="B35" s="53">
        <v>5521674</v>
      </c>
      <c r="C35" s="71">
        <f>-1*(C25+C30+C31+C33+C34+C36+C37+C38+C47)</f>
        <v>1346848.8199999996</v>
      </c>
      <c r="D35" s="60">
        <f t="shared" si="7"/>
        <v>6868522.8199999994</v>
      </c>
      <c r="E35" s="18"/>
      <c r="F35" s="129" t="s">
        <v>247</v>
      </c>
      <c r="G35" s="53">
        <v>0</v>
      </c>
      <c r="H35" s="53">
        <v>-5840018</v>
      </c>
      <c r="I35" s="60">
        <f>SUM(G35:H35)</f>
        <v>-5840018</v>
      </c>
    </row>
    <row r="36" spans="1:11" x14ac:dyDescent="0.25">
      <c r="A36" s="18" t="s">
        <v>61</v>
      </c>
      <c r="B36" s="53">
        <v>6317771</v>
      </c>
      <c r="C36" s="55"/>
      <c r="D36" s="60">
        <f t="shared" si="7"/>
        <v>6317771</v>
      </c>
      <c r="E36" s="18"/>
      <c r="F36" s="14" t="s">
        <v>271</v>
      </c>
      <c r="G36" s="53">
        <v>468816</v>
      </c>
      <c r="H36" s="120"/>
      <c r="I36" s="60">
        <f t="shared" ref="I36:I37" si="8">SUM(G36:H36)</f>
        <v>468816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468816</v>
      </c>
      <c r="H38" s="60">
        <f>SUM(H34:H37)</f>
        <v>-5840018</v>
      </c>
      <c r="I38" s="60">
        <f>SUM(I34:I37)</f>
        <v>-5371202</v>
      </c>
    </row>
    <row r="39" spans="1:11" x14ac:dyDescent="0.25">
      <c r="A39" s="18" t="s">
        <v>64</v>
      </c>
      <c r="B39" s="60">
        <f>B30+B31+B33+B34+B35+B36+B37+B38</f>
        <v>27102983</v>
      </c>
      <c r="C39" s="60">
        <f>C30+C31+C33+C34+C35+C36+C37+C38</f>
        <v>1346848.8199999996</v>
      </c>
      <c r="D39" s="60">
        <f t="shared" ref="D39" si="9">D30+D31+D33+D34+D35+D36+D37+D38</f>
        <v>28449831.82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103663516</v>
      </c>
      <c r="C42" s="53">
        <f>-3588017+844964.99+276050.6</f>
        <v>-2467001.4099999997</v>
      </c>
      <c r="D42" s="60">
        <f>SUM(B42:C42)</f>
        <v>101196514.59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>
        <v>798914</v>
      </c>
      <c r="C43" s="53">
        <f>-B43</f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123144</v>
      </c>
      <c r="C44" s="53"/>
      <c r="D44" s="60">
        <f t="shared" si="11"/>
        <v>123144</v>
      </c>
      <c r="E44" s="18"/>
      <c r="F44" s="18" t="s">
        <v>252</v>
      </c>
      <c r="G44" s="53">
        <v>105648</v>
      </c>
      <c r="H44" s="23"/>
      <c r="I44" s="60">
        <f t="shared" si="10"/>
        <v>105648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-75606652</v>
      </c>
      <c r="C46" s="54">
        <f>1968516-29573.77-19875.64</f>
        <v>1919066.59</v>
      </c>
      <c r="D46" s="61">
        <f t="shared" si="11"/>
        <v>-73687585.409999996</v>
      </c>
      <c r="E46" s="18"/>
      <c r="F46" s="18" t="s">
        <v>254</v>
      </c>
      <c r="G46" s="54">
        <v>51243235</v>
      </c>
      <c r="H46" s="80">
        <f>-1*(H20+H32+H38)</f>
        <v>5844356</v>
      </c>
      <c r="I46" s="61">
        <f t="shared" si="10"/>
        <v>57087591</v>
      </c>
    </row>
    <row r="47" spans="1:11" x14ac:dyDescent="0.25">
      <c r="A47" s="18" t="s">
        <v>70</v>
      </c>
      <c r="B47" s="60">
        <f>B42+B43+B44+B45+B46</f>
        <v>28978922</v>
      </c>
      <c r="C47" s="60">
        <f t="shared" ref="C47:D47" si="12">C42+C43+C44+C45+C46</f>
        <v>-1346848.8199999996</v>
      </c>
      <c r="D47" s="60">
        <f t="shared" si="12"/>
        <v>27632073.180000007</v>
      </c>
      <c r="E47" s="18"/>
      <c r="F47" s="18" t="s">
        <v>259</v>
      </c>
      <c r="G47" s="60">
        <f>SUM(G40:G46)</f>
        <v>51420883</v>
      </c>
      <c r="H47" s="63">
        <f t="shared" ref="H47:I47" si="13">SUM(H40:H46)</f>
        <v>5844356</v>
      </c>
      <c r="I47" s="60">
        <f t="shared" si="13"/>
        <v>57265239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66156112</v>
      </c>
      <c r="C49" s="62">
        <f t="shared" ref="C49:D49" si="14">C25+C39+C47</f>
        <v>0</v>
      </c>
      <c r="D49" s="62">
        <f t="shared" si="14"/>
        <v>66156112.000000007</v>
      </c>
      <c r="E49" s="20"/>
      <c r="F49" s="75" t="s">
        <v>256</v>
      </c>
      <c r="G49" s="62">
        <f>G20+G32+G38+G47</f>
        <v>66156112</v>
      </c>
      <c r="H49" s="62">
        <f>H20+H32+H38+H47</f>
        <v>0</v>
      </c>
      <c r="I49" s="62">
        <f>I20+I32+I38+I47</f>
        <v>66156112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1"/>
  <sheetViews>
    <sheetView view="pageLayout" topLeftCell="A17" zoomScaleNormal="100" workbookViewId="0">
      <selection activeCell="B52" sqref="B52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Whidbey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5466584</v>
      </c>
      <c r="C10" s="33">
        <f>'CurrentYearBalanceSheet '!D10</f>
        <v>4724126</v>
      </c>
      <c r="D10" s="18"/>
      <c r="E10" s="18" t="s">
        <v>77</v>
      </c>
      <c r="F10" s="33">
        <f>PriorYearBalanceSheet!I10</f>
        <v>873012</v>
      </c>
      <c r="G10" s="33">
        <f>'CurrentYearBalanceSheet '!I10</f>
        <v>722643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46</v>
      </c>
      <c r="B14" s="33">
        <f>PriorYearBalanceSheet!D14</f>
        <v>0</v>
      </c>
      <c r="C14" s="33">
        <f>'CurrentYearBalanceSheet '!D14</f>
        <v>0</v>
      </c>
      <c r="D14" s="18"/>
      <c r="E14" s="18" t="s">
        <v>82</v>
      </c>
      <c r="F14" s="33">
        <f>PriorYearBalanceSheet!I14</f>
        <v>0</v>
      </c>
      <c r="G14" s="33">
        <f>'CurrentYearBalanceSheet '!I14</f>
        <v>1000000</v>
      </c>
    </row>
    <row r="15" spans="1:7" x14ac:dyDescent="0.25">
      <c r="A15" s="18" t="s">
        <v>44</v>
      </c>
      <c r="B15" s="33">
        <f>PriorYearBalanceSheet!D15</f>
        <v>1719789</v>
      </c>
      <c r="C15" s="33">
        <f>'CurrentYearBalanceSheet '!D15</f>
        <v>1908915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400541</v>
      </c>
      <c r="C17" s="33">
        <f>'CurrentYearBalanceSheet '!D17</f>
        <v>578408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1346322</v>
      </c>
      <c r="C18" s="33">
        <f>'CurrentYearBalanceSheet '!D18</f>
        <v>640406</v>
      </c>
      <c r="D18" s="18"/>
      <c r="E18" s="18" t="s">
        <v>86</v>
      </c>
      <c r="F18" s="33">
        <f>PriorYearBalanceSheet!I18</f>
        <v>264677</v>
      </c>
      <c r="G18" s="33">
        <f>'CurrentYearBalanceSheet '!I18</f>
        <v>250839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671157</v>
      </c>
      <c r="G19" s="33">
        <f>'CurrentYearBalanceSheet '!I19</f>
        <v>788593</v>
      </c>
    </row>
    <row r="20" spans="1:7" x14ac:dyDescent="0.25">
      <c r="A20" s="18" t="s">
        <v>47</v>
      </c>
      <c r="B20" s="33">
        <f>PriorYearBalanceSheet!D20</f>
        <v>193227</v>
      </c>
      <c r="C20" s="33">
        <f>'CurrentYearBalanceSheet '!D20</f>
        <v>373116</v>
      </c>
      <c r="D20" s="18"/>
      <c r="E20" s="18" t="s">
        <v>88</v>
      </c>
      <c r="F20" s="37">
        <f>SUM(F10:F19)</f>
        <v>1808846</v>
      </c>
      <c r="G20" s="36">
        <f>SUM(G10:G19)</f>
        <v>2762075</v>
      </c>
    </row>
    <row r="21" spans="1:7" x14ac:dyDescent="0.25">
      <c r="A21" s="18" t="s">
        <v>48</v>
      </c>
      <c r="B21" s="33">
        <f>PriorYearBalanceSheet!D21</f>
        <v>874713</v>
      </c>
      <c r="C21" s="33">
        <f>'CurrentYearBalanceSheet '!D21</f>
        <v>844205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26180</v>
      </c>
      <c r="C22" s="33">
        <f>'CurrentYearBalanceSheet '!D22</f>
        <v>34530</v>
      </c>
      <c r="D22" s="18"/>
      <c r="E22" s="18" t="s">
        <v>90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50</v>
      </c>
      <c r="B23" s="33">
        <f>PriorYearBalanceSheet!D23</f>
        <v>354765</v>
      </c>
      <c r="C23" s="33">
        <f>'CurrentYearBalanceSheet '!D23</f>
        <v>380495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590006</v>
      </c>
      <c r="C24" s="34">
        <f>'CurrentYearBalanceSheet '!D24</f>
        <v>590006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10972127</v>
      </c>
      <c r="C25" s="33">
        <f>C10+C11+C13+C14+C15+C17+C18+C19+C20+C21+C22+C23+C24</f>
        <v>10074207</v>
      </c>
      <c r="D25" s="18"/>
      <c r="E25" s="18" t="s">
        <v>93</v>
      </c>
      <c r="F25" s="33">
        <f>PriorYearBalanceSheet!I25</f>
        <v>8000000</v>
      </c>
      <c r="G25" s="33">
        <f>'CurrentYearBalanceSheet '!I25</f>
        <v>11500000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8734033</v>
      </c>
      <c r="C30" s="33">
        <f>'CurrentYearBalanceSheet '!D30</f>
        <v>8848341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4962486</v>
      </c>
      <c r="C31" s="33">
        <f>'CurrentYearBalanceSheet '!D31</f>
        <v>4962486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8000000</v>
      </c>
      <c r="G32" s="37">
        <f>SUM(G22:G31)</f>
        <v>11500000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1439096</v>
      </c>
      <c r="C34" s="33">
        <f>'CurrentYearBalanceSheet '!D34</f>
        <v>1452711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8537446</v>
      </c>
      <c r="C35" s="33">
        <f>'CurrentYearBalanceSheet '!D35</f>
        <v>6868522.8199999994</v>
      </c>
      <c r="D35" s="18"/>
      <c r="E35" t="s">
        <v>247</v>
      </c>
      <c r="F35" s="33">
        <f>PriorYearBalanceSheet!I35</f>
        <v>-4456194</v>
      </c>
      <c r="G35" s="33">
        <f>'CurrentYearBalanceSheet '!I35</f>
        <v>-5840018</v>
      </c>
    </row>
    <row r="36" spans="1:7" x14ac:dyDescent="0.25">
      <c r="A36" s="18" t="s">
        <v>61</v>
      </c>
      <c r="B36" s="33">
        <f>PriorYearBalanceSheet!D36</f>
        <v>4505938</v>
      </c>
      <c r="C36" s="33">
        <f>'CurrentYearBalanceSheet '!D36</f>
        <v>6317771</v>
      </c>
      <c r="D36" s="18"/>
      <c r="E36" s="14" t="s">
        <v>261</v>
      </c>
      <c r="F36" s="33">
        <f>PriorYearBalanceSheet!I36</f>
        <v>0</v>
      </c>
      <c r="G36" s="33">
        <f>'CurrentYearBalanceSheet '!I36</f>
        <v>468816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-4456194</v>
      </c>
      <c r="G38" s="33">
        <f>SUM(G34:G37)</f>
        <v>-5371202</v>
      </c>
    </row>
    <row r="39" spans="1:7" x14ac:dyDescent="0.25">
      <c r="A39" s="18" t="s">
        <v>64</v>
      </c>
      <c r="B39" s="33">
        <f>B30+B31+B33+B34+B35+B36+B37+B38</f>
        <v>28178999</v>
      </c>
      <c r="C39" s="33">
        <f>C30+C31+C33+C34+C35+C36+C37+C38</f>
        <v>28449831.82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72000</v>
      </c>
      <c r="G40" s="33">
        <f>'CurrentYearBalanceSheet '!I40</f>
        <v>72000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91407896</v>
      </c>
      <c r="C42" s="33">
        <f>'CurrentYearBalanceSheet '!D42</f>
        <v>101196514.59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2063972</v>
      </c>
      <c r="C44" s="33">
        <f>'CurrentYearBalanceSheet '!D44</f>
        <v>123144</v>
      </c>
      <c r="D44" s="18"/>
      <c r="E44" s="18" t="s">
        <v>252</v>
      </c>
      <c r="F44" s="33">
        <f>PriorYearBalanceSheet!I44</f>
        <v>100029</v>
      </c>
      <c r="G44" s="33">
        <f>'CurrentYearBalanceSheet '!I44</f>
        <v>105648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-70596153</v>
      </c>
      <c r="C46" s="34">
        <f>'CurrentYearBalanceSheet '!D46</f>
        <v>-73687585.409999996</v>
      </c>
      <c r="D46" s="18"/>
      <c r="E46" s="18" t="s">
        <v>262</v>
      </c>
      <c r="F46" s="34">
        <f>PriorYearBalanceSheet!I46</f>
        <v>56502160</v>
      </c>
      <c r="G46" s="34">
        <f>'CurrentYearBalanceSheet '!I46</f>
        <v>57087591</v>
      </c>
    </row>
    <row r="47" spans="1:7" x14ac:dyDescent="0.25">
      <c r="A47" s="18" t="s">
        <v>70</v>
      </c>
      <c r="B47" s="33">
        <f>SUM(B42:B46)</f>
        <v>22875715</v>
      </c>
      <c r="C47" s="33">
        <f>SUM(C42:C46)</f>
        <v>27632073.180000007</v>
      </c>
      <c r="D47" s="18"/>
      <c r="E47" s="18" t="s">
        <v>263</v>
      </c>
      <c r="F47" s="33">
        <f>SUM(F40:F46)</f>
        <v>56674189</v>
      </c>
      <c r="G47" s="33">
        <f>SUM(G40:G46)</f>
        <v>57265239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62026841</v>
      </c>
      <c r="C49" s="35">
        <f>C25+C39+C47</f>
        <v>66156112.000000007</v>
      </c>
      <c r="D49" s="18"/>
      <c r="E49" s="22" t="s">
        <v>256</v>
      </c>
      <c r="F49" s="35">
        <f>F20+F32+F38+F47</f>
        <v>62026841</v>
      </c>
      <c r="G49" s="35">
        <f>G20+G32+G38+G47</f>
        <v>66156112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view="pageLayout" topLeftCell="A7" zoomScaleNormal="100" workbookViewId="0">
      <selection activeCell="B25" sqref="B25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296</v>
      </c>
      <c r="C10" s="11">
        <v>18</v>
      </c>
      <c r="D10" s="60">
        <f>'BalanceSheet(Summary)'!B42</f>
        <v>91407896</v>
      </c>
      <c r="E10" s="60">
        <f>'BalanceSheet(Summary)'!C42</f>
        <v>101196514.59</v>
      </c>
      <c r="F10" s="60">
        <f>(D10+E10)/2</f>
        <v>96302205.295000002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-70596153</v>
      </c>
      <c r="E12" s="60">
        <f>'BalanceSheet(Summary)'!C46</f>
        <v>-73687585.409999996</v>
      </c>
      <c r="F12" s="60">
        <f t="shared" ref="F12:F15" si="0">(D12+E12)/2</f>
        <v>-72141869.204999998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874713</v>
      </c>
      <c r="E13" s="60">
        <f>'BalanceSheet(Summary)'!C21</f>
        <v>844205</v>
      </c>
      <c r="F13" s="60">
        <f t="shared" si="0"/>
        <v>859459</v>
      </c>
    </row>
    <row r="14" spans="1:6" x14ac:dyDescent="0.25">
      <c r="A14" s="11">
        <v>5</v>
      </c>
      <c r="B14" s="18" t="s">
        <v>280</v>
      </c>
      <c r="C14" s="12"/>
      <c r="D14" s="53">
        <v>-4387989</v>
      </c>
      <c r="E14" s="53">
        <v>-5774951</v>
      </c>
      <c r="F14" s="60">
        <f t="shared" si="0"/>
        <v>-5081470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17298467</v>
      </c>
      <c r="E15" s="64">
        <f>SUM(E10:E14)</f>
        <v>22578183.180000007</v>
      </c>
      <c r="F15" s="65">
        <f t="shared" si="0"/>
        <v>19938325.090000004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278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25">
      <c r="B20" t="s">
        <v>295</v>
      </c>
      <c r="C20" s="67"/>
      <c r="D20" s="67"/>
      <c r="E20" s="67"/>
      <c r="F20" s="67"/>
    </row>
    <row r="21" spans="1:6" x14ac:dyDescent="0.25">
      <c r="A21" s="67"/>
      <c r="B21" t="s">
        <v>282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view="pageLayout" topLeftCell="A22" zoomScaleNormal="100" workbookViewId="0">
      <selection activeCell="D29" sqref="D29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7113</v>
      </c>
      <c r="D11" s="53">
        <v>6128</v>
      </c>
      <c r="E11" s="33">
        <f>D11-C11</f>
        <v>-985</v>
      </c>
      <c r="F11" s="39">
        <f>E11/C11</f>
        <v>-0.13847884155771123</v>
      </c>
    </row>
    <row r="12" spans="1:6" x14ac:dyDescent="0.25">
      <c r="A12" s="11">
        <v>2</v>
      </c>
      <c r="B12" s="18" t="s">
        <v>122</v>
      </c>
      <c r="C12" s="53">
        <v>1614</v>
      </c>
      <c r="D12" s="53">
        <v>1483</v>
      </c>
      <c r="E12" s="33">
        <f>D12-C12</f>
        <v>-131</v>
      </c>
      <c r="F12" s="39">
        <f t="shared" ref="F12:F13" si="0">E12/C12</f>
        <v>-8.1164807930607194E-2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8727</v>
      </c>
      <c r="D13" s="35">
        <f t="shared" ref="D13:E13" si="1">SUM(D11:D12)</f>
        <v>7611</v>
      </c>
      <c r="E13" s="35">
        <f t="shared" si="1"/>
        <v>-1116</v>
      </c>
      <c r="F13" s="40">
        <f t="shared" si="0"/>
        <v>-0.12787899621863183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5"/>
  <sheetViews>
    <sheetView view="pageLayout" topLeftCell="A43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25">
      <c r="A9" s="10">
        <v>1</v>
      </c>
      <c r="B9" s="4" t="s">
        <v>1</v>
      </c>
      <c r="C9" s="56">
        <v>2301935</v>
      </c>
      <c r="D9" s="53"/>
      <c r="E9" s="60">
        <f>SUM(C9:D9)</f>
        <v>2301935</v>
      </c>
    </row>
    <row r="10" spans="1:6" x14ac:dyDescent="0.25">
      <c r="A10" s="11">
        <v>2</v>
      </c>
      <c r="B10" s="15" t="s">
        <v>2</v>
      </c>
      <c r="C10" s="53">
        <v>9785647</v>
      </c>
      <c r="D10" s="53"/>
      <c r="E10" s="60">
        <f t="shared" ref="E10:E14" si="0">SUM(C10:D10)</f>
        <v>9785647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91818</v>
      </c>
      <c r="D12" s="53">
        <v>-85022</v>
      </c>
      <c r="E12" s="60">
        <f t="shared" si="0"/>
        <v>6796</v>
      </c>
    </row>
    <row r="13" spans="1:6" x14ac:dyDescent="0.25">
      <c r="A13" s="11">
        <v>5</v>
      </c>
      <c r="B13" s="15" t="s">
        <v>5</v>
      </c>
      <c r="C13" s="53">
        <v>416946</v>
      </c>
      <c r="D13" s="53">
        <v>-8327</v>
      </c>
      <c r="E13" s="60">
        <f t="shared" si="0"/>
        <v>408619</v>
      </c>
    </row>
    <row r="14" spans="1:6" x14ac:dyDescent="0.25">
      <c r="A14" s="11">
        <v>6</v>
      </c>
      <c r="B14" s="15" t="s">
        <v>133</v>
      </c>
      <c r="C14" s="53">
        <v>-7210</v>
      </c>
      <c r="D14" s="53"/>
      <c r="E14" s="60">
        <f t="shared" si="0"/>
        <v>-7210</v>
      </c>
    </row>
    <row r="15" spans="1:6" x14ac:dyDescent="0.25">
      <c r="A15" s="11">
        <v>7</v>
      </c>
      <c r="B15" s="79" t="s">
        <v>132</v>
      </c>
      <c r="C15" s="82">
        <f>SUM(C9:C14)</f>
        <v>12589136</v>
      </c>
      <c r="D15" s="82">
        <f t="shared" ref="D15:E15" si="1">SUM(D9:D14)</f>
        <v>-93349</v>
      </c>
      <c r="E15" s="82">
        <f t="shared" si="1"/>
        <v>12495787</v>
      </c>
      <c r="F15" s="1"/>
    </row>
    <row r="16" spans="1:6" x14ac:dyDescent="0.25">
      <c r="A16" s="11">
        <v>8</v>
      </c>
      <c r="B16" s="15" t="s">
        <v>6</v>
      </c>
      <c r="C16" s="53">
        <v>3423438</v>
      </c>
      <c r="D16" s="53">
        <v>-52444</v>
      </c>
      <c r="E16" s="42">
        <f>SUM(C16:D16)</f>
        <v>3370994</v>
      </c>
    </row>
    <row r="17" spans="1:6" x14ac:dyDescent="0.25">
      <c r="A17" s="11">
        <v>9</v>
      </c>
      <c r="B17" s="15" t="s">
        <v>39</v>
      </c>
      <c r="C17" s="53">
        <v>2008423</v>
      </c>
      <c r="D17" s="53">
        <v>-362909</v>
      </c>
      <c r="E17" s="42">
        <f t="shared" ref="E17:E21" si="2">SUM(C17:D17)</f>
        <v>1645514</v>
      </c>
    </row>
    <row r="18" spans="1:6" x14ac:dyDescent="0.25">
      <c r="A18" s="11">
        <v>10</v>
      </c>
      <c r="B18" s="15" t="s">
        <v>7</v>
      </c>
      <c r="C18" s="53">
        <v>3045348</v>
      </c>
      <c r="D18" s="53">
        <v>-74926</v>
      </c>
      <c r="E18" s="42">
        <f t="shared" si="2"/>
        <v>2970422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1170870</v>
      </c>
      <c r="D20" s="53">
        <v>-71800</v>
      </c>
      <c r="E20" s="42">
        <f t="shared" si="2"/>
        <v>1099070</v>
      </c>
    </row>
    <row r="21" spans="1:6" x14ac:dyDescent="0.25">
      <c r="A21" s="11">
        <v>13</v>
      </c>
      <c r="B21" s="15" t="s">
        <v>10</v>
      </c>
      <c r="C21" s="53">
        <v>2752452</v>
      </c>
      <c r="D21" s="53">
        <v>-55570</v>
      </c>
      <c r="E21" s="42">
        <f t="shared" si="2"/>
        <v>2696882</v>
      </c>
    </row>
    <row r="22" spans="1:6" x14ac:dyDescent="0.25">
      <c r="A22" s="11">
        <v>14</v>
      </c>
      <c r="B22" s="76" t="s">
        <v>268</v>
      </c>
      <c r="C22" s="82">
        <f>C16+C17+C18+C19+C20+C21</f>
        <v>12400531</v>
      </c>
      <c r="D22" s="82">
        <f>D16+D17+D18+D19+D20+D21</f>
        <v>-617649</v>
      </c>
      <c r="E22" s="83">
        <f>E16+E17+E18+E19+E20+E21</f>
        <v>11782882</v>
      </c>
      <c r="F22" s="1"/>
    </row>
    <row r="23" spans="1:6" x14ac:dyDescent="0.25">
      <c r="A23" s="11">
        <v>15</v>
      </c>
      <c r="B23" s="15" t="s">
        <v>14</v>
      </c>
      <c r="C23" s="60">
        <f>C15-C22</f>
        <v>188605</v>
      </c>
      <c r="D23" s="60">
        <f>D15-D22</f>
        <v>524300</v>
      </c>
      <c r="E23" s="60">
        <f>E15-E22</f>
        <v>712905</v>
      </c>
    </row>
    <row r="24" spans="1:6" x14ac:dyDescent="0.25">
      <c r="A24" s="11">
        <v>16</v>
      </c>
      <c r="B24" s="15" t="s">
        <v>134</v>
      </c>
      <c r="C24" s="53">
        <v>18182</v>
      </c>
      <c r="D24" s="57">
        <v>-24425</v>
      </c>
      <c r="E24" s="60">
        <f>SUM(C24:D24)</f>
        <v>-6243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365223</v>
      </c>
      <c r="D27" s="53">
        <v>-43934</v>
      </c>
      <c r="E27" s="60">
        <f t="shared" si="3"/>
        <v>321289</v>
      </c>
    </row>
    <row r="28" spans="1:6" x14ac:dyDescent="0.25">
      <c r="A28" s="11">
        <v>20</v>
      </c>
      <c r="B28" s="79" t="s">
        <v>12</v>
      </c>
      <c r="C28" s="74">
        <f>SUM(C25:C27)</f>
        <v>365223</v>
      </c>
      <c r="D28" s="74">
        <f t="shared" ref="D28:E28" si="4">SUM(D25:D27)</f>
        <v>-43934</v>
      </c>
      <c r="E28" s="84">
        <f t="shared" si="4"/>
        <v>321289</v>
      </c>
    </row>
    <row r="29" spans="1:6" x14ac:dyDescent="0.25">
      <c r="A29" s="11">
        <v>21</v>
      </c>
      <c r="B29" s="79" t="s">
        <v>22</v>
      </c>
      <c r="C29" s="74">
        <f>C23+C24-C28</f>
        <v>-158436</v>
      </c>
      <c r="D29" s="74">
        <f>D23+D24-D28</f>
        <v>543809</v>
      </c>
      <c r="E29" s="84">
        <f>E23+E24-E28</f>
        <v>385373</v>
      </c>
    </row>
    <row r="30" spans="1:6" x14ac:dyDescent="0.25">
      <c r="A30" s="11">
        <v>22</v>
      </c>
      <c r="B30" s="15" t="s">
        <v>15</v>
      </c>
      <c r="C30" s="53">
        <v>163413</v>
      </c>
      <c r="D30" s="55">
        <v>-104772</v>
      </c>
      <c r="E30" s="60">
        <f>SUM(C30:D30)</f>
        <v>58641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298</v>
      </c>
      <c r="C34" s="74">
        <f>SUM(C30:C33)</f>
        <v>163413</v>
      </c>
      <c r="D34" s="85">
        <f t="shared" ref="D34" si="6">SUM(D30:D33)</f>
        <v>-104772</v>
      </c>
      <c r="E34" s="74">
        <f>SUM(E30:E33)</f>
        <v>58641</v>
      </c>
    </row>
    <row r="35" spans="1:10" x14ac:dyDescent="0.25">
      <c r="A35" s="11">
        <v>27</v>
      </c>
      <c r="B35" s="15" t="s">
        <v>18</v>
      </c>
      <c r="C35" s="53">
        <v>3754671</v>
      </c>
      <c r="D35" s="55"/>
      <c r="E35" s="33">
        <f>SUM(C35:D35)</f>
        <v>3754671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322522</v>
      </c>
      <c r="D38" s="71">
        <f>-1*(D29-D34)</f>
        <v>-648581</v>
      </c>
      <c r="E38" s="33">
        <f t="shared" si="7"/>
        <v>-326059</v>
      </c>
    </row>
    <row r="39" spans="1:10" x14ac:dyDescent="0.25">
      <c r="A39" s="11">
        <v>31</v>
      </c>
      <c r="B39" s="79" t="s">
        <v>21</v>
      </c>
      <c r="C39" s="74">
        <f>C29-C34+C35+C36+C37+C38</f>
        <v>3755344</v>
      </c>
      <c r="D39" s="74">
        <f t="shared" ref="D39:E39" si="8">D29-D34+D35+D36+D37+D38</f>
        <v>0</v>
      </c>
      <c r="E39" s="74">
        <f t="shared" si="8"/>
        <v>3755344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50353577</v>
      </c>
      <c r="D41" s="55"/>
      <c r="E41" s="60">
        <f t="shared" ref="E41:E46" si="9">SUM(C41:D41)</f>
        <v>50353577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>
        <v>2488800</v>
      </c>
      <c r="D43" s="55"/>
      <c r="E43" s="60">
        <f t="shared" si="9"/>
        <v>2488800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51620121</v>
      </c>
      <c r="D47" s="85">
        <f t="shared" ref="D47:E47" si="10">(D39+D41+D42)-(D43+D44+D45+D46)</f>
        <v>0</v>
      </c>
      <c r="E47" s="84">
        <f t="shared" si="10"/>
        <v>51620121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>
        <v>750000</v>
      </c>
      <c r="D52" s="87"/>
      <c r="E52" s="33">
        <f>C52</f>
        <v>750000</v>
      </c>
    </row>
    <row r="53" spans="1:7" x14ac:dyDescent="0.25">
      <c r="A53" s="11">
        <v>45</v>
      </c>
      <c r="B53" s="15" t="s">
        <v>35</v>
      </c>
      <c r="C53" s="88">
        <f>((C22+C28-C18-C19)/C15)</f>
        <v>0.77212653831049249</v>
      </c>
      <c r="D53" s="88">
        <f>((D22+D28-D18-D19)/D15)</f>
        <v>6.2845558067038745</v>
      </c>
      <c r="E53" s="88">
        <f>((E22+E28-E18-E19)/E15)</f>
        <v>0.73094627813358215</v>
      </c>
    </row>
    <row r="54" spans="1:7" x14ac:dyDescent="0.25">
      <c r="A54" s="11">
        <v>46</v>
      </c>
      <c r="B54" s="15" t="s">
        <v>36</v>
      </c>
      <c r="C54" s="88">
        <f>((C22+C28+C34)/C15)</f>
        <v>1.0270098758167359</v>
      </c>
      <c r="D54" s="88">
        <f>((D22+D28+D34)/D15)</f>
        <v>8.2095683938767419</v>
      </c>
      <c r="E54" s="88">
        <f>((E22+E28+E34)/E15)</f>
        <v>0.97335301890149051</v>
      </c>
    </row>
    <row r="55" spans="1:7" x14ac:dyDescent="0.25">
      <c r="A55" s="11">
        <v>47</v>
      </c>
      <c r="B55" s="15" t="s">
        <v>37</v>
      </c>
      <c r="C55" s="88">
        <f>((C39+C34)/C34)</f>
        <v>23.980693090512993</v>
      </c>
      <c r="D55" s="88">
        <f t="shared" ref="D55:E55" si="13">((D39+D34)/D34)</f>
        <v>1</v>
      </c>
      <c r="E55" s="88">
        <f t="shared" si="13"/>
        <v>65.039562763254381</v>
      </c>
    </row>
    <row r="56" spans="1:7" x14ac:dyDescent="0.25">
      <c r="A56" s="11">
        <v>48</v>
      </c>
      <c r="B56" s="15" t="s">
        <v>38</v>
      </c>
      <c r="C56" s="88">
        <f>(C39+C34+C18+C19)/C52</f>
        <v>9.2854733333333339</v>
      </c>
      <c r="D56" s="88" t="e">
        <f>(D39+D34+D18+D19)/D52</f>
        <v>#DIV/0!</v>
      </c>
      <c r="E56" s="88">
        <f>(E39+E34+E18+E19)/E52</f>
        <v>9.0458759999999998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0.7" right="0.7" top="0.75" bottom="0.75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4"/>
  <sheetViews>
    <sheetView topLeftCell="A58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25">
      <c r="A9" s="10">
        <v>1</v>
      </c>
      <c r="B9" s="7" t="s">
        <v>1</v>
      </c>
      <c r="C9" s="56">
        <v>2162168</v>
      </c>
      <c r="D9" s="53"/>
      <c r="E9" s="33">
        <f>SUM(C9:D9)</f>
        <v>2162168</v>
      </c>
    </row>
    <row r="10" spans="1:6" x14ac:dyDescent="0.25">
      <c r="A10" s="11">
        <v>2</v>
      </c>
      <c r="B10" s="18" t="s">
        <v>2</v>
      </c>
      <c r="C10" s="53">
        <v>10734025</v>
      </c>
      <c r="D10" s="53"/>
      <c r="E10" s="33">
        <f t="shared" ref="E10:E14" si="0">SUM(C10:D10)</f>
        <v>10734025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84404</v>
      </c>
      <c r="D12" s="53">
        <f>-23331-57268</f>
        <v>-80599</v>
      </c>
      <c r="E12" s="33">
        <f t="shared" si="0"/>
        <v>3805</v>
      </c>
    </row>
    <row r="13" spans="1:6" x14ac:dyDescent="0.25">
      <c r="A13" s="11">
        <v>5</v>
      </c>
      <c r="B13" s="18" t="s">
        <v>5</v>
      </c>
      <c r="C13" s="53">
        <v>356866</v>
      </c>
      <c r="D13" s="53">
        <v>-7506</v>
      </c>
      <c r="E13" s="33">
        <f t="shared" si="0"/>
        <v>349360</v>
      </c>
    </row>
    <row r="14" spans="1:6" x14ac:dyDescent="0.25">
      <c r="A14" s="11">
        <v>6</v>
      </c>
      <c r="B14" s="18" t="s">
        <v>133</v>
      </c>
      <c r="C14" s="53">
        <v>1996</v>
      </c>
      <c r="D14" s="53"/>
      <c r="E14" s="33">
        <f t="shared" si="0"/>
        <v>1996</v>
      </c>
    </row>
    <row r="15" spans="1:6" x14ac:dyDescent="0.25">
      <c r="A15" s="11">
        <v>7</v>
      </c>
      <c r="B15" s="76" t="s">
        <v>132</v>
      </c>
      <c r="C15" s="41">
        <f>SUM(C9:C14)</f>
        <v>13339459</v>
      </c>
      <c r="D15" s="41">
        <f t="shared" ref="D15:E15" si="1">SUM(D9:D14)</f>
        <v>-88105</v>
      </c>
      <c r="E15" s="41">
        <f t="shared" si="1"/>
        <v>13251354</v>
      </c>
      <c r="F15" s="1"/>
    </row>
    <row r="16" spans="1:6" x14ac:dyDescent="0.25">
      <c r="A16" s="11">
        <v>8</v>
      </c>
      <c r="B16" s="18" t="s">
        <v>6</v>
      </c>
      <c r="C16" s="53">
        <v>3591531</v>
      </c>
      <c r="D16" s="53">
        <f>3306033-C16</f>
        <v>-285498</v>
      </c>
      <c r="E16" s="42">
        <f>SUM(C16:D16)</f>
        <v>3306033</v>
      </c>
    </row>
    <row r="17" spans="1:6" x14ac:dyDescent="0.25">
      <c r="A17" s="11">
        <v>9</v>
      </c>
      <c r="B17" s="18" t="s">
        <v>39</v>
      </c>
      <c r="C17" s="53">
        <v>1979367</v>
      </c>
      <c r="D17" s="53">
        <f>1871715-C17</f>
        <v>-107652</v>
      </c>
      <c r="E17" s="42">
        <f t="shared" ref="E17:E21" si="2">SUM(C17:D17)</f>
        <v>1871715</v>
      </c>
    </row>
    <row r="18" spans="1:6" x14ac:dyDescent="0.25">
      <c r="A18" s="11">
        <v>10</v>
      </c>
      <c r="B18" s="18" t="s">
        <v>7</v>
      </c>
      <c r="C18" s="53">
        <v>3299778</v>
      </c>
      <c r="D18" s="53">
        <f>3273233-C18</f>
        <v>-26545</v>
      </c>
      <c r="E18" s="42">
        <f t="shared" si="2"/>
        <v>3273233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1265323</v>
      </c>
      <c r="D20" s="53">
        <f>1186260-C20</f>
        <v>-79063</v>
      </c>
      <c r="E20" s="42">
        <f t="shared" si="2"/>
        <v>1186260</v>
      </c>
    </row>
    <row r="21" spans="1:6" x14ac:dyDescent="0.25">
      <c r="A21" s="11">
        <v>13</v>
      </c>
      <c r="B21" s="18" t="s">
        <v>10</v>
      </c>
      <c r="C21" s="53">
        <v>2840281</v>
      </c>
      <c r="D21" s="53">
        <f>2773255-C21</f>
        <v>-67026</v>
      </c>
      <c r="E21" s="42">
        <f t="shared" si="2"/>
        <v>2773255</v>
      </c>
    </row>
    <row r="22" spans="1:6" x14ac:dyDescent="0.25">
      <c r="A22" s="11">
        <v>14</v>
      </c>
      <c r="B22" s="76" t="s">
        <v>268</v>
      </c>
      <c r="C22" s="41">
        <f>C16+C17+C18+C19+C20+C21</f>
        <v>12976280</v>
      </c>
      <c r="D22" s="41">
        <f>D16+D17+D18+D19+D20+D21</f>
        <v>-565784</v>
      </c>
      <c r="E22" s="43">
        <f>E16+E17+E18+E19+E20+E21</f>
        <v>12410496</v>
      </c>
      <c r="F22" s="1"/>
    </row>
    <row r="23" spans="1:6" x14ac:dyDescent="0.25">
      <c r="A23" s="11">
        <v>15</v>
      </c>
      <c r="B23" s="18" t="s">
        <v>14</v>
      </c>
      <c r="C23" s="33">
        <f>C15-C22</f>
        <v>363179</v>
      </c>
      <c r="D23" s="33">
        <f>D15-D22</f>
        <v>477679</v>
      </c>
      <c r="E23" s="33">
        <f>E15-E22</f>
        <v>840858</v>
      </c>
    </row>
    <row r="24" spans="1:6" x14ac:dyDescent="0.25">
      <c r="A24" s="11">
        <v>16</v>
      </c>
      <c r="B24" s="18" t="s">
        <v>134</v>
      </c>
      <c r="C24" s="53">
        <v>22</v>
      </c>
      <c r="D24" s="55">
        <f>-C24</f>
        <v>-22</v>
      </c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355653</v>
      </c>
      <c r="D27" s="120">
        <f>308177-C27</f>
        <v>-47476</v>
      </c>
      <c r="E27" s="33">
        <f t="shared" si="3"/>
        <v>308177</v>
      </c>
    </row>
    <row r="28" spans="1:6" x14ac:dyDescent="0.25">
      <c r="A28" s="11">
        <v>20</v>
      </c>
      <c r="B28" s="76" t="s">
        <v>12</v>
      </c>
      <c r="C28" s="38">
        <f>SUM(C25:C27)</f>
        <v>355653</v>
      </c>
      <c r="D28" s="38">
        <f t="shared" ref="D28:E28" si="4">SUM(D25:D27)</f>
        <v>-47476</v>
      </c>
      <c r="E28" s="44">
        <f t="shared" si="4"/>
        <v>308177</v>
      </c>
    </row>
    <row r="29" spans="1:6" x14ac:dyDescent="0.25">
      <c r="A29" s="11">
        <v>21</v>
      </c>
      <c r="B29" s="76" t="s">
        <v>22</v>
      </c>
      <c r="C29" s="38">
        <f>C23+C24-C28</f>
        <v>7548</v>
      </c>
      <c r="D29" s="38">
        <f>D23+D24-D28</f>
        <v>525133</v>
      </c>
      <c r="E29" s="44">
        <f>E23+E24-E28</f>
        <v>532681</v>
      </c>
    </row>
    <row r="30" spans="1:6" x14ac:dyDescent="0.25">
      <c r="A30" s="11">
        <v>22</v>
      </c>
      <c r="B30" s="18" t="s">
        <v>15</v>
      </c>
      <c r="C30" s="53">
        <v>539187</v>
      </c>
      <c r="D30" s="55">
        <f>243413-C30</f>
        <v>-295774</v>
      </c>
      <c r="E30" s="33">
        <f>SUM(C30:D30)</f>
        <v>243413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299</v>
      </c>
      <c r="C33" s="53">
        <v>-223189</v>
      </c>
      <c r="D33" s="55"/>
      <c r="E33" s="34">
        <f t="shared" si="5"/>
        <v>-223189</v>
      </c>
    </row>
    <row r="34" spans="1:5" x14ac:dyDescent="0.25">
      <c r="A34" s="11">
        <v>26</v>
      </c>
      <c r="B34" s="76" t="s">
        <v>298</v>
      </c>
      <c r="C34" s="38">
        <f>SUM(C30:C33)</f>
        <v>315998</v>
      </c>
      <c r="D34" s="66">
        <f t="shared" ref="D34" si="6">SUM(D30:D33)</f>
        <v>-295774</v>
      </c>
      <c r="E34" s="38">
        <f>SUM(E30:E33)</f>
        <v>20224</v>
      </c>
    </row>
    <row r="35" spans="1:5" x14ac:dyDescent="0.25">
      <c r="A35" s="11">
        <v>27</v>
      </c>
      <c r="B35" s="18" t="s">
        <v>18</v>
      </c>
      <c r="C35" s="53">
        <v>2911991</v>
      </c>
      <c r="D35" s="55"/>
      <c r="E35" s="33">
        <f>SUM(C35:D35)</f>
        <v>2911991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-273227</v>
      </c>
      <c r="D38" s="71">
        <f>-1*(D29-D34)</f>
        <v>-820907</v>
      </c>
      <c r="E38" s="33">
        <f t="shared" si="7"/>
        <v>-1094134</v>
      </c>
    </row>
    <row r="39" spans="1:5" x14ac:dyDescent="0.25">
      <c r="A39" s="11">
        <v>31</v>
      </c>
      <c r="B39" s="76" t="s">
        <v>21</v>
      </c>
      <c r="C39" s="38">
        <f>C29-C34+C35+C36+C37+C38</f>
        <v>2330314</v>
      </c>
      <c r="D39" s="38">
        <f t="shared" ref="D39:E39" si="8">D29-D34+D35+D36+D37+D38</f>
        <v>0</v>
      </c>
      <c r="E39" s="38">
        <f t="shared" si="8"/>
        <v>2330314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51620121</v>
      </c>
      <c r="D41" s="55"/>
      <c r="E41" s="33">
        <f t="shared" ref="E41:E46" si="9">SUM(C41:D41)</f>
        <v>51620121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>
        <v>2707200</v>
      </c>
      <c r="D43" s="55"/>
      <c r="E43" s="33">
        <f t="shared" si="9"/>
        <v>2707200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51243235</v>
      </c>
      <c r="D47" s="66">
        <f t="shared" ref="D47:E47" si="10">(D39+D41+D42)-(D43+D44+D45+D46)</f>
        <v>0</v>
      </c>
      <c r="E47" s="44">
        <f t="shared" si="10"/>
        <v>51243235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35</v>
      </c>
      <c r="C53" s="47">
        <f>((C22+C28-C18-C19)/C15)</f>
        <v>0.7520661070287783</v>
      </c>
      <c r="D53" s="47">
        <f>((D22+D28-D18-D19)/D15)</f>
        <v>6.6592701889790593</v>
      </c>
      <c r="E53" s="47">
        <f>((E22+E28-E18-E19)/E15)</f>
        <v>0.71279055710080641</v>
      </c>
    </row>
    <row r="54" spans="1:7" x14ac:dyDescent="0.25">
      <c r="A54" s="11">
        <v>46</v>
      </c>
      <c r="B54" s="18" t="s">
        <v>36</v>
      </c>
      <c r="C54" s="47">
        <f>((C22+C28+C34)/C15)</f>
        <v>1.0231247758998323</v>
      </c>
      <c r="D54" s="47">
        <f>((D22+D28+D34)/D15)</f>
        <v>10.317621020373418</v>
      </c>
      <c r="E54" s="47">
        <f>((E22+E28+E34)/E15)</f>
        <v>0.96132795184552466</v>
      </c>
    </row>
    <row r="55" spans="1:7" x14ac:dyDescent="0.25">
      <c r="A55" s="11">
        <v>47</v>
      </c>
      <c r="B55" s="18" t="s">
        <v>37</v>
      </c>
      <c r="C55" s="47">
        <f>((C39+C34)/C34)</f>
        <v>8.374458066190293</v>
      </c>
      <c r="D55" s="47">
        <f t="shared" ref="D55:E55" si="13">((D39+D34)/D34)</f>
        <v>1</v>
      </c>
      <c r="E55" s="47">
        <f t="shared" si="13"/>
        <v>116.22517800632912</v>
      </c>
    </row>
    <row r="56" spans="1:7" x14ac:dyDescent="0.25">
      <c r="A56" s="11">
        <v>48</v>
      </c>
      <c r="B56" s="18" t="s">
        <v>38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view="pageLayout" topLeftCell="A43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Whidbey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2016</v>
      </c>
      <c r="D8" s="6">
        <v>2017</v>
      </c>
    </row>
    <row r="9" spans="1:5" x14ac:dyDescent="0.25">
      <c r="A9" s="10">
        <v>1</v>
      </c>
      <c r="B9" s="7" t="s">
        <v>1</v>
      </c>
      <c r="C9" s="37">
        <f>PriorYearIncomeStmt!E9</f>
        <v>2301935</v>
      </c>
      <c r="D9" s="42">
        <f>'CurrentYearIncomeStmt '!E9</f>
        <v>2162168</v>
      </c>
    </row>
    <row r="10" spans="1:5" x14ac:dyDescent="0.25">
      <c r="A10" s="11">
        <v>2</v>
      </c>
      <c r="B10" s="18" t="s">
        <v>2</v>
      </c>
      <c r="C10" s="33">
        <f>PriorYearIncomeStmt!E10</f>
        <v>9785647</v>
      </c>
      <c r="D10" s="42">
        <f>'CurrentYearIncomeStmt '!E10</f>
        <v>10734025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6796</v>
      </c>
      <c r="D12" s="42">
        <f>'CurrentYearIncomeStmt '!E12</f>
        <v>3805</v>
      </c>
    </row>
    <row r="13" spans="1:5" x14ac:dyDescent="0.25">
      <c r="A13" s="11">
        <v>5</v>
      </c>
      <c r="B13" s="18" t="s">
        <v>5</v>
      </c>
      <c r="C13" s="33">
        <f>PriorYearIncomeStmt!E13</f>
        <v>408619</v>
      </c>
      <c r="D13" s="42">
        <f>'CurrentYearIncomeStmt '!E13</f>
        <v>349360</v>
      </c>
    </row>
    <row r="14" spans="1:5" x14ac:dyDescent="0.25">
      <c r="A14" s="11">
        <v>6</v>
      </c>
      <c r="B14" s="18" t="s">
        <v>133</v>
      </c>
      <c r="C14" s="33">
        <f>PriorYearIncomeStmt!E14</f>
        <v>-7210</v>
      </c>
      <c r="D14" s="42">
        <f>'CurrentYearIncomeStmt '!E14</f>
        <v>1996</v>
      </c>
    </row>
    <row r="15" spans="1:5" x14ac:dyDescent="0.25">
      <c r="A15" s="11">
        <v>7</v>
      </c>
      <c r="B15" s="76" t="s">
        <v>132</v>
      </c>
      <c r="C15" s="41">
        <f>SUM(C9:C14)</f>
        <v>12495787</v>
      </c>
      <c r="D15" s="43">
        <f t="shared" ref="D15" si="0">SUM(D9:D14)</f>
        <v>13251354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3370994</v>
      </c>
      <c r="D16" s="42">
        <f>'CurrentYearIncomeStmt '!E16</f>
        <v>3306033</v>
      </c>
    </row>
    <row r="17" spans="1:5" x14ac:dyDescent="0.25">
      <c r="A17" s="11">
        <v>9</v>
      </c>
      <c r="B17" s="18" t="s">
        <v>39</v>
      </c>
      <c r="C17" s="33">
        <f>PriorYearIncomeStmt!E17</f>
        <v>1645514</v>
      </c>
      <c r="D17" s="42">
        <f>'CurrentYearIncomeStmt '!E17</f>
        <v>1871715</v>
      </c>
    </row>
    <row r="18" spans="1:5" x14ac:dyDescent="0.25">
      <c r="A18" s="11">
        <v>10</v>
      </c>
      <c r="B18" s="18" t="s">
        <v>7</v>
      </c>
      <c r="C18" s="33">
        <f>PriorYearIncomeStmt!E18</f>
        <v>2970422</v>
      </c>
      <c r="D18" s="42">
        <f>'CurrentYearIncomeStmt '!E18</f>
        <v>3273233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1099070</v>
      </c>
      <c r="D20" s="42">
        <f>'CurrentYearIncomeStmt '!E20</f>
        <v>1186260</v>
      </c>
    </row>
    <row r="21" spans="1:5" x14ac:dyDescent="0.25">
      <c r="A21" s="11">
        <v>13</v>
      </c>
      <c r="B21" s="18" t="s">
        <v>10</v>
      </c>
      <c r="C21" s="33">
        <f>PriorYearIncomeStmt!E21</f>
        <v>2696882</v>
      </c>
      <c r="D21" s="42">
        <f>'CurrentYearIncomeStmt '!E21</f>
        <v>2773255</v>
      </c>
    </row>
    <row r="22" spans="1:5" x14ac:dyDescent="0.25">
      <c r="A22" s="11">
        <v>14</v>
      </c>
      <c r="B22" s="76" t="s">
        <v>268</v>
      </c>
      <c r="C22" s="41">
        <f>C16+C17+C18+C19+C20+C21</f>
        <v>11782882</v>
      </c>
      <c r="D22" s="43">
        <f>D16+D17+D18+D19+D20+D21</f>
        <v>12410496</v>
      </c>
      <c r="E22" s="1"/>
    </row>
    <row r="23" spans="1:5" x14ac:dyDescent="0.25">
      <c r="A23" s="11">
        <v>15</v>
      </c>
      <c r="B23" s="18" t="s">
        <v>14</v>
      </c>
      <c r="C23" s="33">
        <f>C15-C22</f>
        <v>712905</v>
      </c>
      <c r="D23" s="42">
        <f>D15-D22</f>
        <v>840858</v>
      </c>
    </row>
    <row r="24" spans="1:5" x14ac:dyDescent="0.25">
      <c r="A24" s="11">
        <v>16</v>
      </c>
      <c r="B24" s="18" t="s">
        <v>134</v>
      </c>
      <c r="C24" s="33">
        <f>PriorYearIncomeStmt!E24</f>
        <v>-6243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321289</v>
      </c>
      <c r="D27" s="42">
        <f>'CurrentYearIncomeStmt '!E27</f>
        <v>308177</v>
      </c>
    </row>
    <row r="28" spans="1:5" x14ac:dyDescent="0.25">
      <c r="A28" s="11">
        <v>20</v>
      </c>
      <c r="B28" s="76" t="s">
        <v>12</v>
      </c>
      <c r="C28" s="38">
        <f>SUM(C25:C27)</f>
        <v>321289</v>
      </c>
      <c r="D28" s="44">
        <f t="shared" ref="D28" si="1">SUM(D25:D27)</f>
        <v>308177</v>
      </c>
    </row>
    <row r="29" spans="1:5" x14ac:dyDescent="0.25">
      <c r="A29" s="11">
        <v>21</v>
      </c>
      <c r="B29" s="76" t="s">
        <v>22</v>
      </c>
      <c r="C29" s="38">
        <f>C23+C24-C28</f>
        <v>385373</v>
      </c>
      <c r="D29" s="44">
        <f>D23+D24-D28</f>
        <v>532681</v>
      </c>
    </row>
    <row r="30" spans="1:5" x14ac:dyDescent="0.25">
      <c r="A30" s="11">
        <v>22</v>
      </c>
      <c r="B30" s="18" t="s">
        <v>15</v>
      </c>
      <c r="C30" s="33">
        <f>PriorYearIncomeStmt!E30</f>
        <v>58641</v>
      </c>
      <c r="D30" s="42">
        <f>'CurrentYearIncomeStmt '!E30</f>
        <v>243413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-223189</v>
      </c>
    </row>
    <row r="34" spans="1:4" x14ac:dyDescent="0.25">
      <c r="A34" s="11">
        <v>26</v>
      </c>
      <c r="B34" s="76" t="s">
        <v>298</v>
      </c>
      <c r="C34" s="38">
        <f>SUM(C30:C33)</f>
        <v>58641</v>
      </c>
      <c r="D34" s="44">
        <f t="shared" ref="D34" si="2">SUM(D30:D33)</f>
        <v>20224</v>
      </c>
    </row>
    <row r="35" spans="1:4" x14ac:dyDescent="0.25">
      <c r="A35" s="11">
        <v>27</v>
      </c>
      <c r="B35" s="18" t="s">
        <v>18</v>
      </c>
      <c r="C35" s="33">
        <f>PriorYearIncomeStmt!E35</f>
        <v>3754671</v>
      </c>
      <c r="D35" s="42">
        <f>'CurrentYearIncomeStmt '!E35</f>
        <v>2911991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-326059</v>
      </c>
      <c r="D38" s="42">
        <f>'CurrentYearIncomeStmt '!E38</f>
        <v>-1094134</v>
      </c>
    </row>
    <row r="39" spans="1:4" x14ac:dyDescent="0.25">
      <c r="A39" s="11">
        <v>31</v>
      </c>
      <c r="B39" s="76" t="s">
        <v>21</v>
      </c>
      <c r="C39" s="38">
        <f>C29-C34+C35+C36+C37+C38</f>
        <v>3755344</v>
      </c>
      <c r="D39" s="44">
        <f t="shared" ref="D39" si="3">D29-D34+D35+D36+D37+D38</f>
        <v>2330314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50353577</v>
      </c>
      <c r="D41" s="42">
        <f>'CurrentYearIncomeStmt '!E41</f>
        <v>51620121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2488800</v>
      </c>
      <c r="D43" s="42">
        <f>'CurrentYearIncomeStmt '!E43</f>
        <v>2707200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51620121</v>
      </c>
      <c r="D47" s="44">
        <f t="shared" ref="D47" si="4">(D39+D41+D42)-(D43+D44+D45+D46)</f>
        <v>51243235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750000</v>
      </c>
      <c r="D52" s="42">
        <f>'CurrentYearIncomeStmt '!E52</f>
        <v>0</v>
      </c>
    </row>
    <row r="53" spans="1:4" x14ac:dyDescent="0.25">
      <c r="A53" s="11">
        <v>45</v>
      </c>
      <c r="B53" s="18" t="s">
        <v>35</v>
      </c>
      <c r="C53" s="50">
        <f>((C22+C28-C18-C19)/C15)</f>
        <v>0.73094627813358215</v>
      </c>
      <c r="D53" s="50">
        <f>((D22+D28-D18-D19)/D15)</f>
        <v>0.71279055710080641</v>
      </c>
    </row>
    <row r="54" spans="1:4" x14ac:dyDescent="0.25">
      <c r="A54" s="11">
        <v>46</v>
      </c>
      <c r="B54" s="18" t="s">
        <v>36</v>
      </c>
      <c r="C54" s="50">
        <f>((C22+C28+C34)/C15)</f>
        <v>0.97335301890149051</v>
      </c>
      <c r="D54" s="50">
        <f>((D22+D28+D34)/D15)</f>
        <v>0.96132795184552466</v>
      </c>
    </row>
    <row r="55" spans="1:4" x14ac:dyDescent="0.25">
      <c r="A55" s="11">
        <v>47</v>
      </c>
      <c r="B55" s="18" t="s">
        <v>37</v>
      </c>
      <c r="C55" s="50">
        <f>((C39+C34)/C34)</f>
        <v>65.039562763254381</v>
      </c>
      <c r="D55" s="50">
        <f t="shared" ref="D55" si="6">((D39+D34)/D34)</f>
        <v>116.22517800632912</v>
      </c>
    </row>
    <row r="56" spans="1:4" x14ac:dyDescent="0.25">
      <c r="A56" s="11">
        <v>48</v>
      </c>
      <c r="B56" s="18" t="s">
        <v>38</v>
      </c>
      <c r="C56" s="46">
        <f>(C39+C34+C18+C19)/C52</f>
        <v>9.0458759999999998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265</v>
      </c>
      <c r="D59" s="49" t="s">
        <v>285</v>
      </c>
    </row>
    <row r="60" spans="1:4" x14ac:dyDescent="0.25">
      <c r="A60" s="48" t="s">
        <v>157</v>
      </c>
      <c r="B60" t="s">
        <v>149</v>
      </c>
      <c r="C60" s="58">
        <v>0.37730000000000002</v>
      </c>
      <c r="D60" s="58">
        <v>0.37669999999999998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94D9293E88304DBE39695007FDE92F" ma:contentTypeVersion="76" ma:contentTypeDescription="" ma:contentTypeScope="" ma:versionID="a0806cc26cce8758d915900ecd2c2f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180665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8DC012B-9335-4921-8667-16C864E4F30F}"/>
</file>

<file path=customXml/itemProps2.xml><?xml version="1.0" encoding="utf-8"?>
<ds:datastoreItem xmlns:ds="http://schemas.openxmlformats.org/officeDocument/2006/customXml" ds:itemID="{84605646-C7AC-4481-AC47-34F3DC3AD6BC}"/>
</file>

<file path=customXml/itemProps3.xml><?xml version="1.0" encoding="utf-8"?>
<ds:datastoreItem xmlns:ds="http://schemas.openxmlformats.org/officeDocument/2006/customXml" ds:itemID="{B668B988-BCC8-4EE4-8651-7126819E15F7}"/>
</file>

<file path=customXml/itemProps4.xml><?xml version="1.0" encoding="utf-8"?>
<ds:datastoreItem xmlns:ds="http://schemas.openxmlformats.org/officeDocument/2006/customXml" ds:itemID="{C16851D4-88DA-4D27-A8F0-C975765C9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Gary Ricketts</cp:lastModifiedBy>
  <cp:lastPrinted>2018-09-12T17:04:33Z</cp:lastPrinted>
  <dcterms:created xsi:type="dcterms:W3CDTF">2014-05-21T17:51:51Z</dcterms:created>
  <dcterms:modified xsi:type="dcterms:W3CDTF">2018-09-17T16:44:09Z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0x0101006E56B4D1795A2E4DB2F0B01679ED314A00F994D9293E88304DBE39695007FDE92F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