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odified Parity Increas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<sst xmlns="http://schemas.openxmlformats.org/spreadsheetml/2006/main" count="63" uniqueCount="63">
  <si>
    <t>Puget Sound Energy</t>
  </si>
  <si>
    <t>Twelve Months ended June 30, 2001</t>
  </si>
  <si>
    <t>Summary - Increase based on Cost of Service Parity Ratios</t>
  </si>
  <si>
    <t>Voltage Level</t>
  </si>
  <si>
    <t>Schedule</t>
  </si>
  <si>
    <t>Revenue Required from Rates (COS, TMP2, Line 11)</t>
  </si>
  <si>
    <t>Proforma
Tariffed Revenue
Effective
6-30-01</t>
  </si>
  <si>
    <t>Total Operating Revenue (COS, TMP2, Line 7)</t>
  </si>
  <si>
    <t>Revenue Required from Rates</t>
  </si>
  <si>
    <t>% to Total COS Costs</t>
  </si>
  <si>
    <t>Parity Cost of Service at Proposed Revenues</t>
  </si>
  <si>
    <t>Proforma Revenue % to Total</t>
  </si>
  <si>
    <t>Parity Difference</t>
  </si>
  <si>
    <t>Parity Movement</t>
  </si>
  <si>
    <t>New Ratio Sales of Electricty to Revenue Requirement</t>
  </si>
  <si>
    <t>Proposed Revenue</t>
  </si>
  <si>
    <t>Revenue Increase</t>
  </si>
  <si>
    <t>% Increase</t>
  </si>
  <si>
    <t>Constrained Increase</t>
  </si>
  <si>
    <t>Respread Increase</t>
  </si>
  <si>
    <t>Final Revenue Increase</t>
  </si>
  <si>
    <t>Final % Increase</t>
  </si>
  <si>
    <t>A</t>
  </si>
  <si>
    <t>B</t>
  </si>
  <si>
    <t>C</t>
  </si>
  <si>
    <t>D =
A - (C - B)</t>
  </si>
  <si>
    <t>E =
D / Sum(D)</t>
  </si>
  <si>
    <t>F =
E * Proposed Revenue</t>
  </si>
  <si>
    <t>G =
B / Sum(B)</t>
  </si>
  <si>
    <t>H =
G - E</t>
  </si>
  <si>
    <t>I =
H * Parity Movement</t>
  </si>
  <si>
    <t>J =
G - I</t>
  </si>
  <si>
    <t>K =
J * Proposed Revenue</t>
  </si>
  <si>
    <t>L =
K - B</t>
  </si>
  <si>
    <t>M =
L / B</t>
  </si>
  <si>
    <t>N</t>
  </si>
  <si>
    <t>O</t>
  </si>
  <si>
    <t>P</t>
  </si>
  <si>
    <t>Q =
P / B</t>
  </si>
  <si>
    <t>Total Residential</t>
  </si>
  <si>
    <t>Secondary Voltage</t>
  </si>
  <si>
    <t>Demand &lt;= 50 kW</t>
  </si>
  <si>
    <t>Demand &gt; 50 kW but &lt;= 350 kW</t>
  </si>
  <si>
    <t>25 / 29</t>
  </si>
  <si>
    <t>Demand &gt; 350 kW</t>
  </si>
  <si>
    <t>Total Secondary Voltage</t>
  </si>
  <si>
    <t>Primary Voltage</t>
  </si>
  <si>
    <t>General Service</t>
  </si>
  <si>
    <t>Seasonal Irrigation &amp; Drainage Pumping</t>
  </si>
  <si>
    <t>Interruptible Total Electric Schools</t>
  </si>
  <si>
    <t>Total Primary Voltage</t>
  </si>
  <si>
    <t>Total High Voltage</t>
  </si>
  <si>
    <t>46 / 49</t>
  </si>
  <si>
    <t>Schedule 449</t>
  </si>
  <si>
    <t>Lighting</t>
  </si>
  <si>
    <t>50-59</t>
  </si>
  <si>
    <t>Firm Resale</t>
  </si>
  <si>
    <t>005</t>
  </si>
  <si>
    <t>Total Sales</t>
  </si>
  <si>
    <t xml:space="preserve">Proposed Revenue = </t>
  </si>
  <si>
    <t>% Move to Parity</t>
  </si>
  <si>
    <t>Max Increase</t>
  </si>
  <si>
    <t>Min Increase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</si>
</sst>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0.0%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_);_(* \(#,##0.000\);_(* &quot;-&quot;??_);_(@_)"/>
    <numFmt numFmtId="177" formatCode="#,##0\ \¢"/>
    <numFmt numFmtId="178" formatCode="#,##0.0\ \¢"/>
    <numFmt numFmtId="179" formatCode="#,##0.00\ \¢"/>
    <numFmt numFmtId="180" formatCode="#,##0.000\ \¢"/>
    <numFmt numFmtId="181" formatCode="#,##0.0000\ \¢"/>
    <numFmt numFmtId="182" formatCode="_(* #,##0.000000_);_(* \(#,##0.000000\);_(* &quot;-&quot;??????_);_(@_)"/>
    <numFmt numFmtId="183" formatCode="_(* #,##0.00000_);_(* \(#,##0.00000\);_(* &quot;-&quot;?????_);_(@_)"/>
    <numFmt numFmtId="184" formatCode="0.000%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wrapText="1"/>
    </xf>
    <xf numFmtId="0" fontId="0" fillId="0" borderId="1" xfId="0" applyBorder="1" applyAlignment="1" quotePrefix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 quotePrefix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7" fontId="0" fillId="0" borderId="2" xfId="17" applyNumberFormat="1" applyBorder="1" applyAlignment="1">
      <alignment/>
    </xf>
    <xf numFmtId="175" fontId="0" fillId="0" borderId="2" xfId="15" applyNumberFormat="1" applyBorder="1" applyAlignment="1">
      <alignment/>
    </xf>
    <xf numFmtId="10" fontId="0" fillId="0" borderId="2" xfId="19" applyNumberFormat="1" applyBorder="1" applyAlignment="1" quotePrefix="1">
      <alignment horizontal="right"/>
    </xf>
    <xf numFmtId="167" fontId="0" fillId="0" borderId="0" xfId="17" applyNumberFormat="1" applyBorder="1" applyAlignment="1">
      <alignment/>
    </xf>
    <xf numFmtId="10" fontId="0" fillId="0" borderId="0" xfId="19" applyNumberFormat="1" applyAlignment="1" quotePrefix="1">
      <alignment horizontal="right"/>
    </xf>
    <xf numFmtId="42" fontId="0" fillId="0" borderId="0" xfId="0" applyNumberFormat="1" applyAlignment="1">
      <alignment/>
    </xf>
    <xf numFmtId="0" fontId="0" fillId="0" borderId="0" xfId="0" applyAlignment="1" quotePrefix="1">
      <alignment horizontal="left" indent="1"/>
    </xf>
    <xf numFmtId="175" fontId="0" fillId="0" borderId="0" xfId="15" applyNumberFormat="1" applyBorder="1" applyAlignment="1">
      <alignment/>
    </xf>
    <xf numFmtId="10" fontId="0" fillId="0" borderId="0" xfId="19" applyNumberFormat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 quotePrefix="1">
      <alignment horizontal="center"/>
    </xf>
    <xf numFmtId="167" fontId="0" fillId="0" borderId="3" xfId="17" applyNumberFormat="1" applyBorder="1" applyAlignment="1">
      <alignment/>
    </xf>
    <xf numFmtId="175" fontId="0" fillId="0" borderId="3" xfId="15" applyNumberFormat="1" applyBorder="1" applyAlignment="1">
      <alignment/>
    </xf>
    <xf numFmtId="10" fontId="0" fillId="0" borderId="3" xfId="19" applyNumberFormat="1" applyBorder="1" applyAlignment="1" quotePrefix="1">
      <alignment horizontal="right"/>
    </xf>
    <xf numFmtId="43" fontId="0" fillId="0" borderId="0" xfId="0" applyNumberFormat="1" applyAlignment="1">
      <alignment/>
    </xf>
    <xf numFmtId="37" fontId="0" fillId="0" borderId="0" xfId="0" applyNumberFormat="1" applyAlignment="1">
      <alignment/>
    </xf>
    <xf numFmtId="43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167" fontId="0" fillId="2" borderId="0" xfId="17" applyNumberFormat="1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9" fontId="0" fillId="3" borderId="0" xfId="19" applyFill="1" applyAlignment="1">
      <alignment/>
    </xf>
    <xf numFmtId="10" fontId="0" fillId="3" borderId="0" xfId="19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ates\Public\#%206-30-01%20Electric%20COS%20&amp;%20Rate%20Design%20Files\2001%20Rate%20Case\Revenue%20Data\Proposed%20Revenue%20Data\Proforma%20&amp;%20Proposed%20Revenu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All"/>
      <sheetName val="Modified Parity Increase"/>
      <sheetName val="Summary Parity Increase"/>
      <sheetName val="Summary Uniform ¢ per kWh"/>
      <sheetName val="Summary = % Increase"/>
      <sheetName val="Summary Proforma Proposed"/>
      <sheetName val="Residential Sch 7"/>
      <sheetName val="Secondary Sch 8"/>
      <sheetName val="Secondary Sch 24"/>
      <sheetName val="Secondary Sch 11"/>
      <sheetName val="Secondary Sch 25"/>
      <sheetName val="Secondary Sch 12"/>
      <sheetName val="Secondary Sch 26"/>
      <sheetName val="Secondary Sch 29"/>
      <sheetName val="Primary Sch 10"/>
      <sheetName val="Primary Sch 31"/>
      <sheetName val="Primary Sch 35"/>
      <sheetName val="Primary Sch 43"/>
      <sheetName val="HV Sch 46"/>
      <sheetName val="HV Sch 49"/>
      <sheetName val="RW Sch 449"/>
    </sheetNames>
    <sheetDataSet>
      <sheetData sheetId="2">
        <row r="9">
          <cell r="C9">
            <v>874607989.1276915</v>
          </cell>
          <cell r="D9">
            <v>703834783.2319689</v>
          </cell>
          <cell r="E9">
            <v>741554777.8014975</v>
          </cell>
        </row>
        <row r="12">
          <cell r="C12">
            <v>190912981.8248388</v>
          </cell>
          <cell r="D12">
            <v>163677400.62101653</v>
          </cell>
          <cell r="E12">
            <v>172306475.72346166</v>
          </cell>
        </row>
        <row r="13">
          <cell r="C13">
            <v>195314200.03960773</v>
          </cell>
          <cell r="D13">
            <v>202206631.56316173</v>
          </cell>
          <cell r="E13">
            <v>210920757.7703284</v>
          </cell>
        </row>
        <row r="14">
          <cell r="C14">
            <v>116377154.63271657</v>
          </cell>
          <cell r="D14">
            <v>109659507.56080717</v>
          </cell>
          <cell r="E14">
            <v>114894154.17127672</v>
          </cell>
        </row>
        <row r="18">
          <cell r="C18">
            <v>99590635.1858669</v>
          </cell>
          <cell r="D18">
            <v>82356852.67601526</v>
          </cell>
          <cell r="E18">
            <v>87065424.40720749</v>
          </cell>
        </row>
        <row r="19">
          <cell r="C19">
            <v>432690.68868631776</v>
          </cell>
          <cell r="D19">
            <v>193367.53132799998</v>
          </cell>
          <cell r="E19">
            <v>208121.1050838387</v>
          </cell>
        </row>
        <row r="20">
          <cell r="C20">
            <v>16832609.849592417</v>
          </cell>
          <cell r="D20">
            <v>12368065.920272296</v>
          </cell>
          <cell r="E20">
            <v>12974251.72076747</v>
          </cell>
        </row>
        <row r="23">
          <cell r="C23">
            <v>24467680.311046552</v>
          </cell>
          <cell r="D23">
            <v>19500350.058663163</v>
          </cell>
          <cell r="E23">
            <v>21475090.712892585</v>
          </cell>
        </row>
        <row r="25">
          <cell r="C25">
            <v>5298631.15058894</v>
          </cell>
          <cell r="D25">
            <v>6587689.023571428</v>
          </cell>
          <cell r="E25">
            <v>8007197.251099385</v>
          </cell>
        </row>
        <row r="27">
          <cell r="C27">
            <v>16141661.160457859</v>
          </cell>
          <cell r="D27">
            <v>11262728.64893341</v>
          </cell>
          <cell r="E27">
            <v>11592211.68498184</v>
          </cell>
        </row>
        <row r="29">
          <cell r="C29">
            <v>1418098.2197453978</v>
          </cell>
          <cell r="D29">
            <v>1432635.9786399996</v>
          </cell>
          <cell r="E29">
            <v>1468434.651403802</v>
          </cell>
        </row>
      </sheetData>
      <sheetData sheetId="3">
        <row r="31">
          <cell r="I31">
            <v>1541429760.0052166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6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35.57421875" style="0" customWidth="1"/>
    <col min="2" max="2" width="8.7109375" style="0" customWidth="1"/>
    <col min="3" max="6" width="14.8515625" style="0" customWidth="1"/>
    <col min="7" max="7" width="10.28125" style="0" customWidth="1"/>
    <col min="8" max="8" width="14.8515625" style="0" customWidth="1"/>
    <col min="9" max="9" width="9.7109375" style="0" customWidth="1"/>
    <col min="10" max="11" width="10.28125" style="0" customWidth="1"/>
    <col min="12" max="12" width="11.421875" style="0" bestFit="1" customWidth="1"/>
    <col min="13" max="13" width="14.8515625" style="0" customWidth="1"/>
    <col min="14" max="14" width="13.28125" style="0" customWidth="1"/>
    <col min="15" max="15" width="10.8515625" style="0" customWidth="1"/>
    <col min="16" max="16" width="13.7109375" style="0" customWidth="1"/>
    <col min="17" max="17" width="12.00390625" style="0" customWidth="1"/>
    <col min="18" max="18" width="14.28125" style="0" customWidth="1"/>
    <col min="19" max="19" width="10.8515625" style="0" customWidth="1"/>
    <col min="20" max="16384" width="8.8515625" style="0" customWidth="1"/>
  </cols>
  <sheetData>
    <row r="1" spans="1:1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6" spans="1:19" s="4" customFormat="1" ht="63.75">
      <c r="A6" s="2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2" t="s">
        <v>18</v>
      </c>
      <c r="Q6" s="2" t="s">
        <v>19</v>
      </c>
      <c r="R6" s="2" t="s">
        <v>20</v>
      </c>
      <c r="S6" s="2" t="s">
        <v>21</v>
      </c>
    </row>
    <row r="7" spans="1:19" s="8" customFormat="1" ht="38.25">
      <c r="A7" s="5"/>
      <c r="B7" s="6"/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29</v>
      </c>
      <c r="K7" s="7" t="s">
        <v>30</v>
      </c>
      <c r="L7" s="7" t="s">
        <v>31</v>
      </c>
      <c r="M7" s="7" t="s">
        <v>32</v>
      </c>
      <c r="N7" s="7" t="s">
        <v>33</v>
      </c>
      <c r="O7" s="7" t="s">
        <v>34</v>
      </c>
      <c r="P7" s="6" t="s">
        <v>35</v>
      </c>
      <c r="Q7" s="7" t="s">
        <v>36</v>
      </c>
      <c r="R7" s="8" t="s">
        <v>37</v>
      </c>
      <c r="S7" s="7" t="s">
        <v>38</v>
      </c>
    </row>
    <row r="8" spans="1:19" s="8" customFormat="1" ht="12.75">
      <c r="A8" s="5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S8" s="7"/>
    </row>
    <row r="9" spans="1:19" ht="12.75">
      <c r="A9" s="9" t="s">
        <v>39</v>
      </c>
      <c r="B9" s="10">
        <v>7</v>
      </c>
      <c r="C9" s="11">
        <f>+'[1]Summary Parity Increase'!C9</f>
        <v>874607989.1276915</v>
      </c>
      <c r="D9" s="11">
        <f>+'[1]Summary Parity Increase'!D9</f>
        <v>703834783.2319689</v>
      </c>
      <c r="E9" s="11">
        <f>+'[1]Summary Parity Increase'!E9</f>
        <v>741554777.8014975</v>
      </c>
      <c r="F9" s="11">
        <f>+C9-(E9-D9)</f>
        <v>836887994.5581629</v>
      </c>
      <c r="G9" s="12">
        <f>+F9/$F$31</f>
        <v>0.5685351631150153</v>
      </c>
      <c r="H9" s="11">
        <f>+G9*$H$34</f>
        <v>876357020.0349047</v>
      </c>
      <c r="I9" s="12">
        <f>+D9/$D$31</f>
        <v>0.5360181987108396</v>
      </c>
      <c r="J9" s="12">
        <f>+I9-G9</f>
        <v>-0.03251696440417573</v>
      </c>
      <c r="K9" s="12">
        <f>+J9*$K$36</f>
        <v>-0.016258482202087865</v>
      </c>
      <c r="L9" s="12">
        <f>+I9-K9</f>
        <v>0.5522766809129274</v>
      </c>
      <c r="M9" s="11">
        <f>+L9*$H$34</f>
        <v>851295711.7160912</v>
      </c>
      <c r="N9" s="11">
        <f>+M9-D9</f>
        <v>147460928.48412228</v>
      </c>
      <c r="O9" s="13">
        <f>+N9/D9</f>
        <v>0.20951071472624608</v>
      </c>
      <c r="P9" s="13">
        <f>IF(O9&gt;P$38,P$38,IF(O9&lt;P$39,P$39,O9))</f>
        <v>0.20951071472624608</v>
      </c>
      <c r="Q9" s="11">
        <f>IF(O9=P9,0,P9*D9-N9)</f>
        <v>0</v>
      </c>
      <c r="R9" s="11">
        <f>IF(Q9=0,N9-Q$31*(M9/SUMIF(Q$9:Q$29,"=0",M$9:M$29)),N9+Q9)</f>
        <v>144997597.4610523</v>
      </c>
      <c r="S9" s="13">
        <f>+R9/D9</f>
        <v>0.20601084361763375</v>
      </c>
    </row>
    <row r="10" spans="2:19" ht="12.75">
      <c r="B10" s="1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Q10" s="16"/>
      <c r="S10" s="15"/>
    </row>
    <row r="11" spans="1:19" ht="12.75">
      <c r="A11" t="s">
        <v>40</v>
      </c>
      <c r="B11" s="10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  <c r="Q11" s="16"/>
      <c r="S11" s="15"/>
    </row>
    <row r="12" spans="1:19" ht="12.75">
      <c r="A12" s="17" t="s">
        <v>41</v>
      </c>
      <c r="B12" s="10">
        <v>24</v>
      </c>
      <c r="C12" s="14">
        <f>+'[1]Summary Parity Increase'!C12</f>
        <v>190912981.8248388</v>
      </c>
      <c r="D12" s="14">
        <f>+'[1]Summary Parity Increase'!D12</f>
        <v>163677400.62101653</v>
      </c>
      <c r="E12" s="14">
        <f>+'[1]Summary Parity Increase'!E12</f>
        <v>172306475.72346166</v>
      </c>
      <c r="F12" s="14">
        <f>+C12-(E12-D12)</f>
        <v>182283906.72239366</v>
      </c>
      <c r="G12" s="18">
        <f>+F12/$F$31</f>
        <v>0.1238335491912183</v>
      </c>
      <c r="H12" s="14">
        <f>+G12*$H$34</f>
        <v>190880718.01041383</v>
      </c>
      <c r="I12" s="18">
        <f>+D12/$D$31</f>
        <v>0.12465150563841125</v>
      </c>
      <c r="J12" s="18">
        <f>+I12-G12</f>
        <v>0.000817956447192944</v>
      </c>
      <c r="K12" s="18">
        <f>+J12*$K$36</f>
        <v>0.000408978223596472</v>
      </c>
      <c r="L12" s="18">
        <f>+I12-K12</f>
        <v>0.12424252741481479</v>
      </c>
      <c r="M12" s="14">
        <f>+L12*$H$34</f>
        <v>191511129.2154595</v>
      </c>
      <c r="N12" s="14">
        <f>+M12-D12</f>
        <v>27833728.594442964</v>
      </c>
      <c r="O12" s="19">
        <f>+N12/D12</f>
        <v>0.1700523620783177</v>
      </c>
      <c r="P12" s="19">
        <f>IF(O12&gt;P$38,P$38,IF(O12&lt;P$39,P$39,O12))</f>
        <v>0.1700523620783177</v>
      </c>
      <c r="Q12" s="16">
        <f>IF(O12=P12,0,P12*D12-N12)</f>
        <v>0</v>
      </c>
      <c r="R12" s="14">
        <f>IF(Q12=0,N12-Q$31*(M12/SUMIF(Q$9:Q$29,"=0",M$9:M$29)),N12+Q12)</f>
        <v>27279567.097601153</v>
      </c>
      <c r="S12" s="19">
        <f>+R12/D12</f>
        <v>0.16666666866713667</v>
      </c>
    </row>
    <row r="13" spans="1:19" ht="12.75">
      <c r="A13" s="17" t="s">
        <v>42</v>
      </c>
      <c r="B13" s="10" t="s">
        <v>43</v>
      </c>
      <c r="C13" s="14">
        <f>+'[1]Summary Parity Increase'!C13</f>
        <v>195314200.03960773</v>
      </c>
      <c r="D13" s="14">
        <f>+'[1]Summary Parity Increase'!D13</f>
        <v>202206631.56316173</v>
      </c>
      <c r="E13" s="14">
        <f>+'[1]Summary Parity Increase'!E13</f>
        <v>210920757.7703284</v>
      </c>
      <c r="F13" s="14">
        <f>+C13-(E13-D13)</f>
        <v>186600073.83244106</v>
      </c>
      <c r="G13" s="18">
        <f>+F13/$F$31</f>
        <v>0.1267657130983347</v>
      </c>
      <c r="H13" s="14">
        <f>+G13*$H$34</f>
        <v>195400442.7180562</v>
      </c>
      <c r="I13" s="18">
        <f>+D13/$D$31</f>
        <v>0.15399414322800029</v>
      </c>
      <c r="J13" s="18">
        <f>+I13-G13</f>
        <v>0.027228430129665582</v>
      </c>
      <c r="K13" s="18">
        <f>+J13*$K$36</f>
        <v>0.013614215064832791</v>
      </c>
      <c r="L13" s="18">
        <f>+I13-K13</f>
        <v>0.1403799281631675</v>
      </c>
      <c r="M13" s="14">
        <f>+L13*$H$34</f>
        <v>216385798.9781008</v>
      </c>
      <c r="N13" s="14">
        <f>+M13-D13</f>
        <v>14179167.414939076</v>
      </c>
      <c r="O13" s="19">
        <f>+N13/D13</f>
        <v>0.07012216812735955</v>
      </c>
      <c r="P13" s="19">
        <f>IF(O13&gt;P$38,P$38,IF(O13&lt;P$39,P$39,O13))</f>
        <v>0.08695195455051036</v>
      </c>
      <c r="Q13" s="16">
        <f>IF(O13=P13,0,P13*D13-N13)</f>
        <v>3403094.422552757</v>
      </c>
      <c r="R13" s="14">
        <f>IF(Q13=0,N13-Q$31*(M13/SUMIF(Q$9:Q$29,"=0",M$9:M$29)),N13+Q13)</f>
        <v>17582261.837491833</v>
      </c>
      <c r="S13" s="19">
        <f>+R13/D13</f>
        <v>0.08695195455051036</v>
      </c>
    </row>
    <row r="14" spans="1:19" ht="12.75">
      <c r="A14" s="17" t="s">
        <v>44</v>
      </c>
      <c r="B14" s="10">
        <v>26</v>
      </c>
      <c r="C14" s="14">
        <f>+'[1]Summary Parity Increase'!C14</f>
        <v>116377154.63271657</v>
      </c>
      <c r="D14" s="14">
        <f>+'[1]Summary Parity Increase'!D14</f>
        <v>109659507.56080717</v>
      </c>
      <c r="E14" s="14">
        <f>+'[1]Summary Parity Increase'!E14</f>
        <v>114894154.17127672</v>
      </c>
      <c r="F14" s="14">
        <f>+C14-(E14-D14)</f>
        <v>111142508.02224702</v>
      </c>
      <c r="G14" s="18">
        <f>+F14/$F$31</f>
        <v>0.07550403917647378</v>
      </c>
      <c r="H14" s="14">
        <f>+G14*$H$34</f>
        <v>116384172.98721644</v>
      </c>
      <c r="I14" s="18">
        <f>+D14/$D$31</f>
        <v>0.08351319530465587</v>
      </c>
      <c r="J14" s="18">
        <f>+I14-G14</f>
        <v>0.008009156128182093</v>
      </c>
      <c r="K14" s="18">
        <f>+J14*$K$36</f>
        <v>0.004004578064091047</v>
      </c>
      <c r="L14" s="18">
        <f>+I14-K14</f>
        <v>0.07950861724056482</v>
      </c>
      <c r="M14" s="14">
        <f>+L14*$H$34</f>
        <v>122556948.79147045</v>
      </c>
      <c r="N14" s="14">
        <f>+M14-D14</f>
        <v>12897441.230663285</v>
      </c>
      <c r="O14" s="19">
        <f>+N14/D14</f>
        <v>0.117613524969657</v>
      </c>
      <c r="P14" s="19">
        <f>IF(O14&gt;P$38,P$38,IF(O14&lt;P$39,P$39,O14))</f>
        <v>0.117613524969657</v>
      </c>
      <c r="Q14" s="16">
        <f>IF(O14=P14,0,P14*D14-N14)</f>
        <v>0</v>
      </c>
      <c r="R14" s="14">
        <f>IF(Q14=0,N14-Q$31*(M14/SUMIF(Q$9:Q$29,"=0",M$9:M$29)),N14+Q14)</f>
        <v>12542807.312160108</v>
      </c>
      <c r="S14" s="19">
        <f>+R14/D14</f>
        <v>0.11437956991741013</v>
      </c>
    </row>
    <row r="15" spans="1:19" ht="12.75">
      <c r="A15" s="20" t="s">
        <v>45</v>
      </c>
      <c r="B15" s="10"/>
      <c r="C15" s="11">
        <f aca="true" t="shared" si="0" ref="C15:N15">SUM(C12:C14)</f>
        <v>502604336.49716306</v>
      </c>
      <c r="D15" s="11">
        <f t="shared" si="0"/>
        <v>475543539.7449854</v>
      </c>
      <c r="E15" s="11">
        <f t="shared" si="0"/>
        <v>498121387.6650667</v>
      </c>
      <c r="F15" s="11">
        <f t="shared" si="0"/>
        <v>480026488.57708174</v>
      </c>
      <c r="G15" s="12">
        <f t="shared" si="0"/>
        <v>0.32610330146602673</v>
      </c>
      <c r="H15" s="11">
        <f t="shared" si="0"/>
        <v>502665333.71568644</v>
      </c>
      <c r="I15" s="12">
        <f t="shared" si="0"/>
        <v>0.36215884417106736</v>
      </c>
      <c r="J15" s="12">
        <f t="shared" si="0"/>
        <v>0.03605554270504062</v>
      </c>
      <c r="K15" s="12">
        <f t="shared" si="0"/>
        <v>0.01802777135252031</v>
      </c>
      <c r="L15" s="12">
        <f t="shared" si="0"/>
        <v>0.34413107281854705</v>
      </c>
      <c r="M15" s="11">
        <f t="shared" si="0"/>
        <v>530453876.9850308</v>
      </c>
      <c r="N15" s="11">
        <f t="shared" si="0"/>
        <v>54910337.240045324</v>
      </c>
      <c r="O15" s="13">
        <f>+N15/D15</f>
        <v>0.11546857995272419</v>
      </c>
      <c r="P15" s="13">
        <f>IF(O15&gt;P$38,P$38,IF(O15&lt;P$39,P$39,O15))</f>
        <v>0.11546857995272419</v>
      </c>
      <c r="Q15" s="11">
        <f>SUM(Q12:Q14)</f>
        <v>3403094.422552757</v>
      </c>
      <c r="R15" s="11">
        <f>SUM(R12:R14)</f>
        <v>57404636.24725309</v>
      </c>
      <c r="S15" s="13">
        <f>+R15/D15</f>
        <v>0.12071373375829446</v>
      </c>
    </row>
    <row r="16" spans="2:19" ht="12.75">
      <c r="B16" s="10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S16" s="15"/>
    </row>
    <row r="17" spans="1:19" ht="12.75">
      <c r="A17" t="s">
        <v>46</v>
      </c>
      <c r="B17" s="10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S17" s="15"/>
    </row>
    <row r="18" spans="1:19" ht="12.75">
      <c r="A18" s="17" t="s">
        <v>47</v>
      </c>
      <c r="B18" s="10">
        <v>31</v>
      </c>
      <c r="C18" s="14">
        <f>+'[1]Summary Parity Increase'!C18</f>
        <v>99590635.1858669</v>
      </c>
      <c r="D18" s="14">
        <f>+'[1]Summary Parity Increase'!D18</f>
        <v>82356852.67601526</v>
      </c>
      <c r="E18" s="14">
        <f>+'[1]Summary Parity Increase'!E18</f>
        <v>87065424.40720749</v>
      </c>
      <c r="F18" s="14">
        <f>+C18-(E18-D18)</f>
        <v>94882063.45467468</v>
      </c>
      <c r="G18" s="18">
        <f>+F18/$F$31</f>
        <v>0.06445759740091916</v>
      </c>
      <c r="H18" s="14">
        <f>+G18*$H$34</f>
        <v>99356858.8922117</v>
      </c>
      <c r="I18" s="18">
        <f>+D18/$D$31</f>
        <v>0.06272036119070647</v>
      </c>
      <c r="J18" s="18">
        <f>+I18-G18</f>
        <v>-0.0017372362102126976</v>
      </c>
      <c r="K18" s="18">
        <f>+J18*$K$36</f>
        <v>-0.0008686181051063488</v>
      </c>
      <c r="L18" s="18">
        <f>+I18-K18</f>
        <v>0.06358897929581281</v>
      </c>
      <c r="M18" s="14">
        <f>+L18*$H$34</f>
        <v>98017945.09492142</v>
      </c>
      <c r="N18" s="14">
        <f>+M18-D18</f>
        <v>15661092.418906167</v>
      </c>
      <c r="O18" s="19">
        <f>+N18/D18</f>
        <v>0.19016137589079019</v>
      </c>
      <c r="P18" s="19">
        <f>IF(O18&gt;P$38,P$38,IF(O18&lt;P$39,P$39,O18))</f>
        <v>0.19016137589079019</v>
      </c>
      <c r="Q18" s="16">
        <f>IF(O18=P18,0,P18*D18-N18)</f>
        <v>0</v>
      </c>
      <c r="R18" s="14">
        <f>IF(Q18=0,N18-Q$31*(M18/SUMIF(Q$9:Q$29,"=0",M$9:M$29)),N18+Q18)</f>
        <v>15377465.188500931</v>
      </c>
      <c r="S18" s="19">
        <f>+R18/D18</f>
        <v>0.18671749452343148</v>
      </c>
    </row>
    <row r="19" spans="1:19" ht="12.75">
      <c r="A19" s="21" t="s">
        <v>48</v>
      </c>
      <c r="B19" s="10">
        <v>35</v>
      </c>
      <c r="C19" s="14">
        <f>+'[1]Summary Parity Increase'!C19</f>
        <v>432690.68868631776</v>
      </c>
      <c r="D19" s="14">
        <f>+'[1]Summary Parity Increase'!D19</f>
        <v>193367.53132799998</v>
      </c>
      <c r="E19" s="14">
        <f>+'[1]Summary Parity Increase'!E19</f>
        <v>208121.1050838387</v>
      </c>
      <c r="F19" s="14">
        <f>+C19-(E19-D19)</f>
        <v>417937.1149304791</v>
      </c>
      <c r="G19" s="18">
        <f>+F19/$F$31</f>
        <v>0.00028392323387822836</v>
      </c>
      <c r="H19" s="14">
        <f>+G19*$H$34</f>
        <v>437647.7222568225</v>
      </c>
      <c r="I19" s="18">
        <f>+D19/$D$31</f>
        <v>0.00014726256544987497</v>
      </c>
      <c r="J19" s="18">
        <f>+I19-G19</f>
        <v>-0.0001366606684283534</v>
      </c>
      <c r="K19" s="18">
        <f>+J19*$K$36</f>
        <v>-6.83303342141767E-05</v>
      </c>
      <c r="L19" s="18">
        <f>+I19-K19</f>
        <v>0.00021559289966405166</v>
      </c>
      <c r="M19" s="14">
        <f>+L19*$H$34</f>
        <v>332321.3115879879</v>
      </c>
      <c r="N19" s="14">
        <f>+M19-D19</f>
        <v>138953.7802599879</v>
      </c>
      <c r="O19" s="19">
        <f>+N19/D19</f>
        <v>0.7185993393290382</v>
      </c>
      <c r="P19" s="19">
        <f>IF(O19&gt;P$38,P$38,IF(O19&lt;P$39,P$39,O19))</f>
        <v>0.2608558636515311</v>
      </c>
      <c r="Q19" s="16">
        <f>IF(O19=P19,0,P19*D19-N19)</f>
        <v>-88512.72587325796</v>
      </c>
      <c r="R19" s="14">
        <f>IF(Q19=0,N19-Q$31*(M19/SUMIF(Q$9:Q$29,"=0",M$9:M$29)),N19+Q19)</f>
        <v>50441.05438672993</v>
      </c>
      <c r="S19" s="19">
        <f>+R19/D19</f>
        <v>0.2608558636515311</v>
      </c>
    </row>
    <row r="20" spans="1:19" ht="12.75">
      <c r="A20" s="21" t="s">
        <v>49</v>
      </c>
      <c r="B20" s="10">
        <v>43</v>
      </c>
      <c r="C20" s="14">
        <f>+'[1]Summary Parity Increase'!C20</f>
        <v>16832609.849592417</v>
      </c>
      <c r="D20" s="14">
        <f>+'[1]Summary Parity Increase'!D20</f>
        <v>12368065.920272296</v>
      </c>
      <c r="E20" s="14">
        <f>+'[1]Summary Parity Increase'!E20</f>
        <v>12974251.72076747</v>
      </c>
      <c r="F20" s="14">
        <f>+C20-(E20-D20)</f>
        <v>16226424.049097244</v>
      </c>
      <c r="G20" s="18">
        <f>+F20/$F$31</f>
        <v>0.011023330127226194</v>
      </c>
      <c r="H20" s="14">
        <f>+G20*$H$34</f>
        <v>16991689.112468548</v>
      </c>
      <c r="I20" s="18">
        <f>+D20/$D$31</f>
        <v>0.009419125871669707</v>
      </c>
      <c r="J20" s="18">
        <f>+I20-G20</f>
        <v>-0.0016042042555564871</v>
      </c>
      <c r="K20" s="18">
        <f>+J20*$K$36</f>
        <v>-0.0008021021277782436</v>
      </c>
      <c r="L20" s="18">
        <f>+I20-K20</f>
        <v>0.010221227999447951</v>
      </c>
      <c r="M20" s="14">
        <f>+L20*$H$34</f>
        <v>15755305.022147655</v>
      </c>
      <c r="N20" s="14">
        <f>+M20-D20</f>
        <v>3387239.101875359</v>
      </c>
      <c r="O20" s="19">
        <f>+N20/D20</f>
        <v>0.2738697484077434</v>
      </c>
      <c r="P20" s="19">
        <f>IF(O20&gt;P$38,P$38,IF(O20&lt;P$39,P$39,O20))</f>
        <v>0.2608558636515311</v>
      </c>
      <c r="Q20" s="16">
        <f>IF(O20=P20,0,P20*D20-N20)</f>
        <v>-160956.58454366075</v>
      </c>
      <c r="R20" s="14">
        <f>IF(Q20=0,N20-Q$31*(M20/SUMIF(Q$9:Q$29,"=0",M$9:M$29)),N20+Q20)</f>
        <v>3226282.5173316984</v>
      </c>
      <c r="S20" s="19">
        <f>+R20/D20</f>
        <v>0.2608558636515311</v>
      </c>
    </row>
    <row r="21" spans="1:19" ht="12.75">
      <c r="A21" s="9" t="s">
        <v>50</v>
      </c>
      <c r="B21" s="10"/>
      <c r="C21" s="11">
        <f aca="true" t="shared" si="1" ref="C21:N21">SUM(C18:C20)</f>
        <v>116855935.72414564</v>
      </c>
      <c r="D21" s="11">
        <f t="shared" si="1"/>
        <v>94918286.12761554</v>
      </c>
      <c r="E21" s="11">
        <f t="shared" si="1"/>
        <v>100247797.2330588</v>
      </c>
      <c r="F21" s="11">
        <f t="shared" si="1"/>
        <v>111526424.6187024</v>
      </c>
      <c r="G21" s="12">
        <f t="shared" si="1"/>
        <v>0.07576485076202359</v>
      </c>
      <c r="H21" s="11">
        <f t="shared" si="1"/>
        <v>116786195.72693709</v>
      </c>
      <c r="I21" s="12">
        <f t="shared" si="1"/>
        <v>0.07228674962782605</v>
      </c>
      <c r="J21" s="12">
        <f t="shared" si="1"/>
        <v>-0.003478101134197538</v>
      </c>
      <c r="K21" s="12">
        <f t="shared" si="1"/>
        <v>-0.001739050567098769</v>
      </c>
      <c r="L21" s="12">
        <f t="shared" si="1"/>
        <v>0.07402580019492482</v>
      </c>
      <c r="M21" s="11">
        <f t="shared" si="1"/>
        <v>114105571.42865707</v>
      </c>
      <c r="N21" s="11">
        <f t="shared" si="1"/>
        <v>19187285.301041514</v>
      </c>
      <c r="O21" s="13">
        <f>+N21/D21</f>
        <v>0.20214529869665612</v>
      </c>
      <c r="P21" s="13">
        <f>IF(O21&gt;P$38,P$38,IF(O21&lt;P$39,P$39,O21))</f>
        <v>0.20214529869665612</v>
      </c>
      <c r="Q21" s="11">
        <f>SUM(Q18:Q20)</f>
        <v>-249469.3104169187</v>
      </c>
      <c r="R21" s="11">
        <f>SUM(R18:R20)</f>
        <v>18654188.760219358</v>
      </c>
      <c r="S21" s="13">
        <f>+R21/D21</f>
        <v>0.1965289252603994</v>
      </c>
    </row>
    <row r="22" spans="2:19" ht="12.75">
      <c r="B22" s="10"/>
      <c r="O22" s="15"/>
      <c r="S22" s="15"/>
    </row>
    <row r="23" spans="1:19" ht="12.75">
      <c r="A23" s="20" t="s">
        <v>51</v>
      </c>
      <c r="B23" s="10" t="s">
        <v>52</v>
      </c>
      <c r="C23" s="11">
        <f>+'[1]Summary Parity Increase'!C23</f>
        <v>24467680.311046552</v>
      </c>
      <c r="D23" s="11">
        <f>+'[1]Summary Parity Increase'!D23</f>
        <v>19500350.058663163</v>
      </c>
      <c r="E23" s="11">
        <f>+'[1]Summary Parity Increase'!E23</f>
        <v>21475090.712892585</v>
      </c>
      <c r="F23" s="11">
        <f>+C23-(E23-D23)</f>
        <v>22492939.65681713</v>
      </c>
      <c r="G23" s="12">
        <f>+F23/$F$31</f>
        <v>0.015280452342342649</v>
      </c>
      <c r="H23" s="11">
        <f>+G23*$H$34</f>
        <v>23553743.98682838</v>
      </c>
      <c r="I23" s="12">
        <f>+D23/$D$31</f>
        <v>0.014850846763608313</v>
      </c>
      <c r="J23" s="12">
        <f>+I23-G23</f>
        <v>-0.00042960557873433607</v>
      </c>
      <c r="K23" s="12">
        <f>+J23*$K$36</f>
        <v>-0.00021480278936716803</v>
      </c>
      <c r="L23" s="12">
        <f>+I23-K23</f>
        <v>0.015065649552975482</v>
      </c>
      <c r="M23" s="11">
        <f>+L23*$H$34</f>
        <v>23222640.574765697</v>
      </c>
      <c r="N23" s="11">
        <f>+M23-D23</f>
        <v>3722290.516102534</v>
      </c>
      <c r="O23" s="13">
        <f>+N23/D23</f>
        <v>0.19088326644930564</v>
      </c>
      <c r="P23" s="13">
        <f>IF(O23&gt;P$38,P$38,IF(O23&lt;P$39,P$39,O23))</f>
        <v>0.19088326644930564</v>
      </c>
      <c r="Q23" s="11">
        <f>IF(O23=P23,0,P23*D23-N23)</f>
        <v>0</v>
      </c>
      <c r="R23" s="11">
        <f>IF(Q23=0,N23-Q$31*(M23/SUMIF(Q$9:Q$29,"=0",M$9:M$29)),N23+Q23)</f>
        <v>3655092.8899684767</v>
      </c>
      <c r="S23" s="13">
        <f>+R23/D23</f>
        <v>0.18743729620098162</v>
      </c>
    </row>
    <row r="24" spans="2:19" ht="12.75">
      <c r="B24" s="1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9"/>
      <c r="S24" s="19"/>
    </row>
    <row r="25" spans="1:19" ht="12.75">
      <c r="A25" s="20" t="s">
        <v>53</v>
      </c>
      <c r="B25" s="10">
        <v>449</v>
      </c>
      <c r="C25" s="11">
        <f>+'[1]Summary Parity Increase'!C25</f>
        <v>5298631.15058894</v>
      </c>
      <c r="D25" s="11">
        <f>+'[1]Summary Parity Increase'!D25</f>
        <v>6587689.023571428</v>
      </c>
      <c r="E25" s="11">
        <f>+'[1]Summary Parity Increase'!E25</f>
        <v>8007197.251099385</v>
      </c>
      <c r="F25" s="11">
        <f>+C25-(E25-D25)</f>
        <v>3879122.9230609825</v>
      </c>
      <c r="G25" s="12">
        <f>+F25/$F$31</f>
        <v>0.0026352603910515244</v>
      </c>
      <c r="H25" s="11">
        <f>+G25*$H$34</f>
        <v>4062068.7921298044</v>
      </c>
      <c r="I25" s="12">
        <f>+D25/$D$31</f>
        <v>0.005016974563074619</v>
      </c>
      <c r="J25" s="12">
        <f>+I25-G25</f>
        <v>0.002381714172023094</v>
      </c>
      <c r="K25" s="12">
        <f>+J25*$K$36</f>
        <v>0.001190857086011547</v>
      </c>
      <c r="L25" s="12">
        <f>+I25-K25</f>
        <v>0.0038261174770630717</v>
      </c>
      <c r="M25" s="11">
        <f>+L25*$H$34</f>
        <v>5897691.344421095</v>
      </c>
      <c r="N25" s="11">
        <f>+M25-D25</f>
        <v>-689997.6791503327</v>
      </c>
      <c r="O25" s="13">
        <f>+N25/D25</f>
        <v>-0.10474047525337796</v>
      </c>
      <c r="P25" s="13">
        <f>IF(O25&gt;P$38,P$38,IF(O25&lt;P$39,P$39,O25))</f>
        <v>0.08695195455051036</v>
      </c>
      <c r="Q25" s="11">
        <f>IF(O25=P25,0,P25*D25-N25)</f>
        <v>1262810.1157208113</v>
      </c>
      <c r="R25" s="11">
        <f>IF(Q25=0,N25-Q$31*(M25/SUMIF(Q$9:Q$29,"=0",M$9:M$29)),N25+Q25)</f>
        <v>572812.4365704786</v>
      </c>
      <c r="S25" s="13">
        <f>+R25/D25</f>
        <v>0.08695195455051033</v>
      </c>
    </row>
    <row r="26" spans="2:19" ht="12.75">
      <c r="B26" s="1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9"/>
      <c r="S26" s="19"/>
    </row>
    <row r="27" spans="1:19" ht="12.75">
      <c r="A27" t="s">
        <v>54</v>
      </c>
      <c r="B27" s="10" t="s">
        <v>55</v>
      </c>
      <c r="C27" s="11">
        <f>+'[1]Summary Parity Increase'!C27</f>
        <v>16141661.160457859</v>
      </c>
      <c r="D27" s="11">
        <f>+'[1]Summary Parity Increase'!D27</f>
        <v>11262728.64893341</v>
      </c>
      <c r="E27" s="11">
        <f>+'[1]Summary Parity Increase'!E27</f>
        <v>11592211.68498184</v>
      </c>
      <c r="F27" s="11">
        <f>+C27-(E27-D27)</f>
        <v>15812178.12440943</v>
      </c>
      <c r="G27" s="12">
        <f>+F27/$F$31</f>
        <v>0.010741914482727127</v>
      </c>
      <c r="H27" s="11">
        <f>+G27*$H$34</f>
        <v>16557906.663106637</v>
      </c>
      <c r="I27" s="12">
        <f>+D27/$D$31</f>
        <v>0.008577336140235313</v>
      </c>
      <c r="J27" s="12">
        <f>+I27-G27</f>
        <v>-0.0021645783424918148</v>
      </c>
      <c r="K27" s="12">
        <f>+J27*$K$36</f>
        <v>-0.0010822891712459074</v>
      </c>
      <c r="L27" s="12">
        <f>+I27-K27</f>
        <v>0.00965962531148122</v>
      </c>
      <c r="M27" s="11">
        <f>+L27*$H$34</f>
        <v>14889633.925616814</v>
      </c>
      <c r="N27" s="11">
        <f>+M27-D27</f>
        <v>3626905.276683403</v>
      </c>
      <c r="O27" s="13">
        <f>+N27/D27</f>
        <v>0.3220272271255398</v>
      </c>
      <c r="P27" s="13">
        <f>IF(O27&gt;P$38,P$38,IF(O27&lt;P$39,P$39,O27))</f>
        <v>0.2608558636515311</v>
      </c>
      <c r="Q27" s="11">
        <f>IF(O27=P27,0,P27*D27-N27)</f>
        <v>-688956.4678930365</v>
      </c>
      <c r="R27" s="11">
        <f>IF(Q27=0,N27-Q$31*(M27/SUMIF(Q$9:Q$29,"=0",M$9:M$29)),N27+Q27)</f>
        <v>2937948.8087903666</v>
      </c>
      <c r="S27" s="13">
        <f>+R27/D27</f>
        <v>0.2608558636515311</v>
      </c>
    </row>
    <row r="28" spans="2:19" ht="12.75">
      <c r="B28" s="1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9"/>
      <c r="S28" s="19"/>
    </row>
    <row r="29" spans="1:19" ht="12.75">
      <c r="A29" t="s">
        <v>56</v>
      </c>
      <c r="B29" s="23" t="s">
        <v>57</v>
      </c>
      <c r="C29" s="11">
        <f>+'[1]Summary Parity Increase'!C29</f>
        <v>1418098.2197453978</v>
      </c>
      <c r="D29" s="11">
        <f>+'[1]Summary Parity Increase'!D29</f>
        <v>1432635.9786399996</v>
      </c>
      <c r="E29" s="11">
        <f>+'[1]Summary Parity Increase'!E29</f>
        <v>1468434.651403802</v>
      </c>
      <c r="F29" s="11">
        <f>+C29-(E29-D29)</f>
        <v>1382299.5469815955</v>
      </c>
      <c r="G29" s="12">
        <f>+F29/$F$31</f>
        <v>0.0009390574408130965</v>
      </c>
      <c r="H29" s="11">
        <f>+G29*$H$34</f>
        <v>1447491.0856236443</v>
      </c>
      <c r="I29" s="12">
        <f>+D29/$D$31</f>
        <v>0.001091050023348823</v>
      </c>
      <c r="J29" s="12">
        <f>+I29-G29</f>
        <v>0.00015199258253572646</v>
      </c>
      <c r="K29" s="12">
        <f>+J29*$K$36</f>
        <v>7.599629126786323E-05</v>
      </c>
      <c r="L29" s="12">
        <f>+I29-K29</f>
        <v>0.0010150537320809598</v>
      </c>
      <c r="M29" s="11">
        <f>+L29*$H$34</f>
        <v>1564634.0306339532</v>
      </c>
      <c r="N29" s="11">
        <f>+M29-D29</f>
        <v>131998.05199395353</v>
      </c>
      <c r="O29" s="13">
        <f>+N29/D29</f>
        <v>0.09213649102911627</v>
      </c>
      <c r="P29" s="13">
        <f>IF(O29&gt;P$38,P$38,IF(O29&lt;P$39,P$39,O29))</f>
        <v>0.09213649102911627</v>
      </c>
      <c r="Q29" s="11">
        <f>IF(O29=P29,0,P29*D29-N29)</f>
        <v>0</v>
      </c>
      <c r="R29" s="11">
        <f>IF(Q29=0,N29-Q$31*(M29/SUMIF(Q$9:Q$29,"=0",M$9:M$29)),N29+Q29)</f>
        <v>127470.58698459492</v>
      </c>
      <c r="S29" s="13">
        <f>+R29/D29</f>
        <v>0.08897625697324918</v>
      </c>
    </row>
    <row r="30" spans="2:19" ht="12.75">
      <c r="B30" s="10"/>
      <c r="O30" s="15"/>
      <c r="S30" s="15"/>
    </row>
    <row r="31" spans="1:19" ht="13.5" thickBot="1">
      <c r="A31" t="s">
        <v>58</v>
      </c>
      <c r="B31" s="10"/>
      <c r="C31" s="24">
        <f aca="true" t="shared" si="2" ref="C31:N31">SUM(C29,C27,C25,C23,C21,C15,C9)</f>
        <v>1541394332.1908388</v>
      </c>
      <c r="D31" s="24">
        <f t="shared" si="2"/>
        <v>1313080012.8143778</v>
      </c>
      <c r="E31" s="24">
        <f t="shared" si="2"/>
        <v>1382466897.0000005</v>
      </c>
      <c r="F31" s="24">
        <f t="shared" si="2"/>
        <v>1472007448.0052161</v>
      </c>
      <c r="G31" s="25">
        <f t="shared" si="2"/>
        <v>1</v>
      </c>
      <c r="H31" s="24">
        <f t="shared" si="2"/>
        <v>1541429760.0052166</v>
      </c>
      <c r="I31" s="25">
        <f t="shared" si="2"/>
        <v>1</v>
      </c>
      <c r="J31" s="25">
        <f t="shared" si="2"/>
        <v>0</v>
      </c>
      <c r="K31" s="25">
        <f t="shared" si="2"/>
        <v>0</v>
      </c>
      <c r="L31" s="25">
        <f t="shared" si="2"/>
        <v>1</v>
      </c>
      <c r="M31" s="24">
        <f t="shared" si="2"/>
        <v>1541429760.0052166</v>
      </c>
      <c r="N31" s="24">
        <f t="shared" si="2"/>
        <v>228349747.19083866</v>
      </c>
      <c r="O31" s="26">
        <f>+N31/D31</f>
        <v>0.17390390910102071</v>
      </c>
      <c r="Q31" s="24">
        <f>SUM(Q29,Q27,Q25,Q23,Q21,Q15,Q9)</f>
        <v>3727478.759963613</v>
      </c>
      <c r="R31" s="24">
        <f>SUM(R29,R27,R25,R23,R21,R15,R9)</f>
        <v>228349747.19083866</v>
      </c>
      <c r="S31" s="13">
        <f>+R31/D31</f>
        <v>0.17390390910102071</v>
      </c>
    </row>
    <row r="32" spans="2:19" ht="13.5" thickTop="1">
      <c r="B32" s="10"/>
      <c r="C32" s="27"/>
      <c r="D32" s="27"/>
      <c r="E32" s="27"/>
      <c r="G32" s="27"/>
      <c r="H32" s="27"/>
      <c r="I32" s="27"/>
      <c r="J32" s="27"/>
      <c r="K32" s="27"/>
      <c r="L32" s="27"/>
      <c r="M32" s="27"/>
      <c r="N32" s="27"/>
      <c r="O32" s="27"/>
      <c r="S32" s="27"/>
    </row>
    <row r="33" spans="2:7" ht="12.75">
      <c r="B33" s="10"/>
      <c r="C33" s="28"/>
      <c r="E33" s="28"/>
      <c r="F33" s="28"/>
      <c r="G33" s="28"/>
    </row>
    <row r="34" spans="1:93" ht="12.75">
      <c r="A34" s="29" t="s">
        <v>59</v>
      </c>
      <c r="B34" s="30"/>
      <c r="C34" s="29"/>
      <c r="D34" s="31"/>
      <c r="E34" s="29"/>
      <c r="F34" s="29"/>
      <c r="G34" s="29"/>
      <c r="H34" s="32">
        <f>+'[1]Summary Uniform ¢ per kWh'!I31</f>
        <v>1541429760.0052166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</row>
    <row r="35" ht="12.75">
      <c r="B35" s="10"/>
    </row>
    <row r="36" spans="1:11" ht="12.75">
      <c r="A36" s="34" t="s">
        <v>60</v>
      </c>
      <c r="B36" s="35"/>
      <c r="C36" s="34"/>
      <c r="D36" s="34"/>
      <c r="E36" s="34"/>
      <c r="F36" s="34"/>
      <c r="G36" s="34"/>
      <c r="H36" s="34"/>
      <c r="I36" s="34"/>
      <c r="J36" s="34"/>
      <c r="K36" s="36">
        <v>0.5</v>
      </c>
    </row>
    <row r="37" ht="12.75">
      <c r="B37" s="10"/>
    </row>
    <row r="38" spans="1:16" ht="12.75">
      <c r="A38" s="34" t="s">
        <v>61</v>
      </c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7">
        <f>1.5*O31</f>
        <v>0.2608558636515311</v>
      </c>
    </row>
    <row r="39" spans="1:16" ht="12.75">
      <c r="A39" s="34" t="s">
        <v>62</v>
      </c>
      <c r="B39" s="35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7">
        <f>0.5*O31</f>
        <v>0.08695195455051036</v>
      </c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</sheetData>
  <printOptions horizontalCentered="1"/>
  <pageMargins left="0.25" right="0.25" top="1" bottom="1" header="1" footer="0.5"/>
  <pageSetup fitToHeight="1" fitToWidth="1" horizontalDpi="600" verticalDpi="600" orientation="landscape" scale="52" r:id="rId1"/>
  <headerFooter alignWithMargins="0">
    <oddHeader>&amp;RGeneral Rate Case Filing
Exhibit No. _____ JAH-4</oddHeader>
    <oddFooter>&amp;L&amp;F, &amp;A&amp;CPage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No Name</cp:lastModifiedBy>
  <cp:lastPrinted>2001-11-20T19:46:38Z</cp:lastPrinted>
  <dcterms:created xsi:type="dcterms:W3CDTF">2001-11-20T19:24:31Z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011571</vt:lpwstr>
  </property>
  <property fmtid="{D5CDD505-2E9C-101B-9397-08002B2CF9AE}" pid="6" name="IsConfidenti">
    <vt:lpwstr>0</vt:lpwstr>
  </property>
  <property fmtid="{D5CDD505-2E9C-101B-9397-08002B2CF9AE}" pid="7" name="Dat">
    <vt:lpwstr>2001-11-26T00:00:00Z</vt:lpwstr>
  </property>
  <property fmtid="{D5CDD505-2E9C-101B-9397-08002B2CF9AE}" pid="8" name="CaseTy">
    <vt:lpwstr>Tariff Revision</vt:lpwstr>
  </property>
  <property fmtid="{D5CDD505-2E9C-101B-9397-08002B2CF9AE}" pid="9" name="OpenedDa">
    <vt:lpwstr>2001-11-26T00:00:00Z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