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Rebuttal\Exhibits\"/>
    </mc:Choice>
  </mc:AlternateContent>
  <bookViews>
    <workbookView xWindow="0" yWindow="0" windowWidth="28800" windowHeight="12300"/>
  </bookViews>
  <sheets>
    <sheet name="Exh. JDT-13 (Delivery Rev)" sheetId="1" r:id="rId1"/>
    <sheet name="Exh. JDT-13 (Allowed RPC)" sheetId="2" r:id="rId2"/>
    <sheet name="Exh. JDT-13 (Del Rev Rates)" sheetId="3" r:id="rId3"/>
    <sheet name="Exh. JDT-13 (Monthly Allow RPC)" sheetId="4" r:id="rId4"/>
  </sheets>
  <definedNames>
    <definedName name="_xlnm.Print_Area" localSheetId="2">'Exh. JDT-13 (Del Rev Rates)'!$A$1:$P$55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4" l="1"/>
  <c r="D32" i="4"/>
  <c r="W32" i="4" s="1"/>
  <c r="B31" i="4"/>
  <c r="U31" i="4" s="1"/>
  <c r="X29" i="4"/>
  <c r="D28" i="4"/>
  <c r="W28" i="4" s="1"/>
  <c r="U27" i="4"/>
  <c r="B27" i="4"/>
  <c r="X25" i="4"/>
  <c r="W24" i="4"/>
  <c r="B23" i="4"/>
  <c r="U23" i="4" s="1"/>
  <c r="AJ20" i="4"/>
  <c r="AI20" i="4"/>
  <c r="AH20" i="4"/>
  <c r="AG20" i="4"/>
  <c r="AF20" i="4"/>
  <c r="AK19" i="4"/>
  <c r="V19" i="4"/>
  <c r="C19" i="4"/>
  <c r="U18" i="4"/>
  <c r="AK15" i="4"/>
  <c r="N16" i="4"/>
  <c r="M16" i="4"/>
  <c r="L16" i="4"/>
  <c r="K16" i="4"/>
  <c r="J16" i="4"/>
  <c r="I16" i="4"/>
  <c r="R15" i="4"/>
  <c r="D15" i="4"/>
  <c r="D19" i="4" s="1"/>
  <c r="C15" i="4"/>
  <c r="U14" i="4"/>
  <c r="AJ12" i="4"/>
  <c r="AH12" i="4"/>
  <c r="AG12" i="4"/>
  <c r="AF12" i="4"/>
  <c r="AE12" i="4"/>
  <c r="AD12" i="4"/>
  <c r="AC12" i="4"/>
  <c r="AK11" i="4"/>
  <c r="W11" i="4"/>
  <c r="W19" i="4" s="1"/>
  <c r="V11" i="4"/>
  <c r="V15" i="4" s="1"/>
  <c r="T11" i="4"/>
  <c r="T12" i="4" s="1"/>
  <c r="Q12" i="4"/>
  <c r="P12" i="4"/>
  <c r="O12" i="4"/>
  <c r="N12" i="4"/>
  <c r="R11" i="4"/>
  <c r="A11" i="4"/>
  <c r="A12" i="4" s="1"/>
  <c r="U10" i="4"/>
  <c r="T5" i="4"/>
  <c r="A5" i="4"/>
  <c r="T4" i="4"/>
  <c r="T3" i="4"/>
  <c r="T2" i="4"/>
  <c r="T1" i="4"/>
  <c r="O55" i="3"/>
  <c r="O54" i="3"/>
  <c r="O51" i="3"/>
  <c r="J50" i="3"/>
  <c r="O48" i="3"/>
  <c r="O46" i="3"/>
  <c r="O45" i="3"/>
  <c r="O42" i="3"/>
  <c r="J41" i="3"/>
  <c r="O39" i="3"/>
  <c r="O38" i="3"/>
  <c r="O35" i="3"/>
  <c r="J34" i="3"/>
  <c r="O32" i="3"/>
  <c r="O30" i="3"/>
  <c r="O29" i="3"/>
  <c r="O26" i="3"/>
  <c r="J25" i="3"/>
  <c r="O23" i="3"/>
  <c r="J22" i="3"/>
  <c r="O20" i="3"/>
  <c r="O18" i="3"/>
  <c r="J17" i="3"/>
  <c r="O15" i="3"/>
  <c r="E15" i="3"/>
  <c r="E18" i="3" s="1"/>
  <c r="E20" i="3" s="1"/>
  <c r="E23" i="3" s="1"/>
  <c r="E26" i="3" s="1"/>
  <c r="E29" i="3" s="1"/>
  <c r="E30" i="3" s="1"/>
  <c r="E32" i="3" s="1"/>
  <c r="E35" i="3" s="1"/>
  <c r="E38" i="3" s="1"/>
  <c r="E39" i="3" s="1"/>
  <c r="E42" i="3" s="1"/>
  <c r="E45" i="3" s="1"/>
  <c r="E46" i="3" s="1"/>
  <c r="E48" i="3" s="1"/>
  <c r="E51" i="3" s="1"/>
  <c r="E54" i="3" s="1"/>
  <c r="E55" i="3" s="1"/>
  <c r="J14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O12" i="3"/>
  <c r="M12" i="3"/>
  <c r="M15" i="3" s="1"/>
  <c r="M18" i="3" s="1"/>
  <c r="M20" i="3" s="1"/>
  <c r="M23" i="3" s="1"/>
  <c r="M26" i="3" s="1"/>
  <c r="M29" i="3" s="1"/>
  <c r="M30" i="3" s="1"/>
  <c r="M32" i="3" s="1"/>
  <c r="M35" i="3" s="1"/>
  <c r="M38" i="3" s="1"/>
  <c r="M39" i="3" s="1"/>
  <c r="M42" i="3" s="1"/>
  <c r="M45" i="3" s="1"/>
  <c r="M46" i="3" s="1"/>
  <c r="M48" i="3" s="1"/>
  <c r="M51" i="3" s="1"/>
  <c r="M54" i="3" s="1"/>
  <c r="M55" i="3" s="1"/>
  <c r="I12" i="3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A12" i="3"/>
  <c r="J11" i="3"/>
  <c r="I5" i="3"/>
  <c r="A5" i="3"/>
  <c r="I4" i="3"/>
  <c r="I3" i="3"/>
  <c r="I2" i="3"/>
  <c r="I1" i="3"/>
  <c r="C29" i="2"/>
  <c r="A28" i="2"/>
  <c r="A29" i="2" s="1"/>
  <c r="A30" i="2" s="1"/>
  <c r="A27" i="2"/>
  <c r="A22" i="2"/>
  <c r="A21" i="2"/>
  <c r="A20" i="2"/>
  <c r="A18" i="2"/>
  <c r="A11" i="2"/>
  <c r="A12" i="2" s="1"/>
  <c r="A10" i="2"/>
  <c r="A5" i="2"/>
  <c r="A19" i="2"/>
  <c r="J38" i="1"/>
  <c r="G38" i="1"/>
  <c r="M36" i="1"/>
  <c r="J36" i="1"/>
  <c r="C36" i="1"/>
  <c r="A36" i="1"/>
  <c r="O36" i="1"/>
  <c r="N36" i="1"/>
  <c r="F35" i="1"/>
  <c r="E35" i="1"/>
  <c r="D35" i="1"/>
  <c r="A35" i="1"/>
  <c r="F34" i="1"/>
  <c r="K36" i="1"/>
  <c r="K38" i="1" s="1"/>
  <c r="E34" i="1"/>
  <c r="E36" i="1" s="1"/>
  <c r="I36" i="1"/>
  <c r="H36" i="1"/>
  <c r="H38" i="1" s="1"/>
  <c r="A34" i="1"/>
  <c r="O38" i="1"/>
  <c r="M38" i="1"/>
  <c r="F32" i="1"/>
  <c r="E32" i="1"/>
  <c r="D32" i="1"/>
  <c r="C32" i="1"/>
  <c r="A31" i="1"/>
  <c r="A32" i="1" s="1"/>
  <c r="A25" i="1"/>
  <c r="A24" i="1"/>
  <c r="A22" i="1"/>
  <c r="M15" i="1"/>
  <c r="J15" i="1"/>
  <c r="I15" i="1"/>
  <c r="H15" i="1"/>
  <c r="E15" i="1"/>
  <c r="D15" i="1"/>
  <c r="F14" i="1"/>
  <c r="E14" i="1"/>
  <c r="D14" i="1"/>
  <c r="O15" i="1"/>
  <c r="N15" i="1"/>
  <c r="N17" i="1" s="1"/>
  <c r="L15" i="1"/>
  <c r="L17" i="1" s="1"/>
  <c r="K15" i="1"/>
  <c r="K17" i="1" s="1"/>
  <c r="E13" i="1"/>
  <c r="D13" i="1"/>
  <c r="C13" i="1"/>
  <c r="C34" i="1" s="1"/>
  <c r="A13" i="1"/>
  <c r="A14" i="1" s="1"/>
  <c r="O17" i="1"/>
  <c r="M17" i="1"/>
  <c r="J17" i="1"/>
  <c r="I17" i="1"/>
  <c r="H17" i="1"/>
  <c r="E11" i="1"/>
  <c r="E17" i="1" s="1"/>
  <c r="E11" i="2" s="1"/>
  <c r="E13" i="2" s="1"/>
  <c r="R28" i="4" s="1"/>
  <c r="D11" i="1"/>
  <c r="D17" i="1" s="1"/>
  <c r="D11" i="2" s="1"/>
  <c r="D13" i="2" s="1"/>
  <c r="R24" i="4" s="1"/>
  <c r="A11" i="1"/>
  <c r="A23" i="1"/>
  <c r="W15" i="4" l="1"/>
  <c r="Q25" i="4"/>
  <c r="J25" i="4"/>
  <c r="I25" i="4"/>
  <c r="P25" i="4"/>
  <c r="O25" i="4"/>
  <c r="N25" i="4"/>
  <c r="F25" i="4"/>
  <c r="Z16" i="4"/>
  <c r="P20" i="4"/>
  <c r="AB16" i="4"/>
  <c r="D38" i="1"/>
  <c r="D28" i="2" s="1"/>
  <c r="D30" i="2" s="1"/>
  <c r="AK24" i="4" s="1"/>
  <c r="A13" i="4"/>
  <c r="A14" i="4" s="1"/>
  <c r="A15" i="4" s="1"/>
  <c r="A16" i="4" s="1"/>
  <c r="AC16" i="4"/>
  <c r="G20" i="4"/>
  <c r="C38" i="1"/>
  <c r="H20" i="4"/>
  <c r="AI16" i="4"/>
  <c r="AG16" i="4"/>
  <c r="AF16" i="4"/>
  <c r="AH16" i="4"/>
  <c r="AD16" i="4"/>
  <c r="Q29" i="4"/>
  <c r="N29" i="4"/>
  <c r="M29" i="4"/>
  <c r="J29" i="4"/>
  <c r="H29" i="4"/>
  <c r="L29" i="4"/>
  <c r="K29" i="4"/>
  <c r="I29" i="4"/>
  <c r="M12" i="4"/>
  <c r="M25" i="4" s="1"/>
  <c r="I12" i="4"/>
  <c r="J12" i="4"/>
  <c r="L12" i="4"/>
  <c r="L25" i="4" s="1"/>
  <c r="K12" i="4"/>
  <c r="K25" i="4" s="1"/>
  <c r="H12" i="4"/>
  <c r="H25" i="4" s="1"/>
  <c r="F36" i="1"/>
  <c r="F38" i="1" s="1"/>
  <c r="F28" i="2" s="1"/>
  <c r="F30" i="2" s="1"/>
  <c r="AK32" i="4" s="1"/>
  <c r="G12" i="4"/>
  <c r="G25" i="4" s="1"/>
  <c r="AB12" i="4"/>
  <c r="Y12" i="4"/>
  <c r="AI12" i="4"/>
  <c r="Z12" i="4"/>
  <c r="AA12" i="4"/>
  <c r="A13" i="2"/>
  <c r="C13" i="2"/>
  <c r="AA16" i="4"/>
  <c r="Q20" i="4"/>
  <c r="F20" i="4"/>
  <c r="T13" i="4"/>
  <c r="T14" i="4" s="1"/>
  <c r="T15" i="4" s="1"/>
  <c r="T16" i="4" s="1"/>
  <c r="AD20" i="4"/>
  <c r="AA20" i="4"/>
  <c r="AC20" i="4"/>
  <c r="AB20" i="4"/>
  <c r="Y20" i="4"/>
  <c r="I38" i="1"/>
  <c r="AE16" i="4"/>
  <c r="Z20" i="4"/>
  <c r="E38" i="1"/>
  <c r="E28" i="2" s="1"/>
  <c r="E30" i="2" s="1"/>
  <c r="AK28" i="4" s="1"/>
  <c r="A15" i="1"/>
  <c r="C15" i="1"/>
  <c r="N38" i="1"/>
  <c r="H16" i="4"/>
  <c r="O16" i="4"/>
  <c r="O29" i="4" s="1"/>
  <c r="P16" i="4"/>
  <c r="P29" i="4" s="1"/>
  <c r="F16" i="4"/>
  <c r="R16" i="4" s="1"/>
  <c r="G16" i="4"/>
  <c r="G29" i="4" s="1"/>
  <c r="Q16" i="4"/>
  <c r="AJ16" i="4"/>
  <c r="AE20" i="4"/>
  <c r="C14" i="1"/>
  <c r="C35" i="1" s="1"/>
  <c r="Y16" i="4"/>
  <c r="F13" i="1"/>
  <c r="F15" i="1" s="1"/>
  <c r="C30" i="2"/>
  <c r="F12" i="4"/>
  <c r="A37" i="1"/>
  <c r="A38" i="1" s="1"/>
  <c r="L36" i="1"/>
  <c r="L38" i="1"/>
  <c r="R19" i="4"/>
  <c r="F11" i="1"/>
  <c r="D34" i="1"/>
  <c r="D36" i="1" s="1"/>
  <c r="Y33" i="4" l="1"/>
  <c r="AK33" i="4" s="1"/>
  <c r="AF33" i="4"/>
  <c r="AD33" i="4"/>
  <c r="AC33" i="4"/>
  <c r="AJ33" i="4"/>
  <c r="AH33" i="4"/>
  <c r="AI33" i="4"/>
  <c r="AG33" i="4"/>
  <c r="AB33" i="4"/>
  <c r="AA33" i="4"/>
  <c r="AE33" i="4"/>
  <c r="Z33" i="4"/>
  <c r="AK16" i="4"/>
  <c r="C17" i="1"/>
  <c r="A16" i="1"/>
  <c r="A17" i="1" s="1"/>
  <c r="R25" i="4"/>
  <c r="AF29" i="4"/>
  <c r="AC29" i="4"/>
  <c r="AE29" i="4"/>
  <c r="Y29" i="4"/>
  <c r="AD29" i="4"/>
  <c r="AB29" i="4"/>
  <c r="AA29" i="4"/>
  <c r="AJ29" i="4"/>
  <c r="AI29" i="4"/>
  <c r="Z29" i="4"/>
  <c r="AH29" i="4"/>
  <c r="AG29" i="4"/>
  <c r="F17" i="1"/>
  <c r="F11" i="2" s="1"/>
  <c r="F13" i="2" s="1"/>
  <c r="R32" i="4" s="1"/>
  <c r="K20" i="4"/>
  <c r="O20" i="4"/>
  <c r="M20" i="4"/>
  <c r="N20" i="4"/>
  <c r="L20" i="4"/>
  <c r="J20" i="4"/>
  <c r="AK20" i="4"/>
  <c r="A17" i="4"/>
  <c r="A18" i="4" s="1"/>
  <c r="A19" i="4" s="1"/>
  <c r="A20" i="4" s="1"/>
  <c r="F29" i="4"/>
  <c r="R29" i="4" s="1"/>
  <c r="AA25" i="4"/>
  <c r="AJ25" i="4"/>
  <c r="Z25" i="4"/>
  <c r="Y25" i="4"/>
  <c r="AI25" i="4"/>
  <c r="AG25" i="4"/>
  <c r="AE25" i="4"/>
  <c r="AD25" i="4"/>
  <c r="AC25" i="4"/>
  <c r="AF25" i="4"/>
  <c r="AB25" i="4"/>
  <c r="AH25" i="4"/>
  <c r="AK12" i="4"/>
  <c r="R12" i="4"/>
  <c r="T17" i="4"/>
  <c r="T18" i="4" s="1"/>
  <c r="T19" i="4" s="1"/>
  <c r="T20" i="4" s="1"/>
  <c r="I20" i="4"/>
  <c r="R20" i="4" s="1"/>
  <c r="AK29" i="4" l="1"/>
  <c r="AK25" i="4"/>
  <c r="T21" i="4"/>
  <c r="T22" i="4" s="1"/>
  <c r="T23" i="4" s="1"/>
  <c r="T24" i="4" s="1"/>
  <c r="J33" i="4"/>
  <c r="I33" i="4"/>
  <c r="P33" i="4"/>
  <c r="H33" i="4"/>
  <c r="G33" i="4"/>
  <c r="Q33" i="4"/>
  <c r="F33" i="4"/>
  <c r="M33" i="4"/>
  <c r="O33" i="4"/>
  <c r="L33" i="4"/>
  <c r="K33" i="4"/>
  <c r="N33" i="4"/>
  <c r="A21" i="4"/>
  <c r="A22" i="4" s="1"/>
  <c r="A23" i="4" s="1"/>
  <c r="A24" i="4" s="1"/>
  <c r="T25" i="4" l="1"/>
  <c r="T26" i="4" s="1"/>
  <c r="T27" i="4" s="1"/>
  <c r="T28" i="4" s="1"/>
  <c r="W25" i="4"/>
  <c r="R33" i="4"/>
  <c r="A25" i="4"/>
  <c r="A26" i="4" s="1"/>
  <c r="A27" i="4" s="1"/>
  <c r="A28" i="4" s="1"/>
  <c r="D25" i="4"/>
  <c r="T29" i="4" l="1"/>
  <c r="T30" i="4" s="1"/>
  <c r="T31" i="4" s="1"/>
  <c r="T32" i="4" s="1"/>
  <c r="W29" i="4"/>
  <c r="A29" i="4"/>
  <c r="A30" i="4" s="1"/>
  <c r="A31" i="4" s="1"/>
  <c r="A32" i="4" s="1"/>
  <c r="D29" i="4"/>
  <c r="A33" i="4" l="1"/>
  <c r="D33" i="4"/>
  <c r="T33" i="4"/>
  <c r="W33" i="4"/>
</calcChain>
</file>

<file path=xl/sharedStrings.xml><?xml version="1.0" encoding="utf-8"?>
<sst xmlns="http://schemas.openxmlformats.org/spreadsheetml/2006/main" count="371" uniqueCount="110">
  <si>
    <t>Puget Sound Energy</t>
  </si>
  <si>
    <t>Gas Decoupling Mechanism (Schedule 142)</t>
  </si>
  <si>
    <t>Development of Decoupled Delivery Revenue by Decoupling Group</t>
  </si>
  <si>
    <t>Proposed Effective January 2025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</si>
  <si>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</si>
  <si>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</si>
  <si>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</si>
  <si>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</si>
  <si>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</si>
  <si>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</si>
  <si>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</si>
  <si>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Schedule 23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</si>
  <si>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</si>
  <si>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</si>
  <si>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</si>
  <si>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</si>
  <si>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</si>
  <si>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</si>
  <si>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</si>
  <si>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</si>
  <si>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</si>
  <si>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</si>
  <si>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</si>
  <si>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</si>
  <si>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</si>
  <si>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</si>
  <si>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</si>
  <si>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</si>
  <si>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</si>
  <si>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</si>
  <si>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</si>
  <si>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</si>
  <si>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Proposed:</t>
  </si>
  <si>
    <t xml:space="preserve">   Total Base Revenue </t>
  </si>
  <si>
    <t xml:space="preserve">   Basic Charge Revenue</t>
  </si>
  <si>
    <t xml:space="preserve">   Minimum Charge Revenue</t>
  </si>
  <si>
    <t>Total Basic &amp; Minimum Charge Revenue</t>
  </si>
  <si>
    <t>Net Delivery Revenue</t>
  </si>
  <si>
    <t>Check</t>
  </si>
  <si>
    <t>Proposed Effective January 2026</t>
  </si>
  <si>
    <t>Development of Allowed Delivery Revenue Per Customer</t>
  </si>
  <si>
    <t>(c)</t>
  </si>
  <si>
    <t>(d)</t>
  </si>
  <si>
    <t>(e)</t>
  </si>
  <si>
    <t>Rate Year Delivery Revenue</t>
  </si>
  <si>
    <t>Forecasted Customers (Average)</t>
  </si>
  <si>
    <t>Work Papers, Billing Determinants</t>
  </si>
  <si>
    <t>Annual Allowed Delivery Revenue Per Customer</t>
  </si>
  <si>
    <t>Summary of Delivery Revenue Per Unit Rates ($/therm)</t>
  </si>
  <si>
    <t>Proposed Rates:</t>
  </si>
  <si>
    <t>Base Delivery Revenue</t>
  </si>
  <si>
    <t>Units</t>
  </si>
  <si>
    <t>Per Unit Rates</t>
  </si>
  <si>
    <t>Tariff</t>
  </si>
  <si>
    <t>Schedule 23 Residential</t>
  </si>
  <si>
    <t>Delivery Charge</t>
  </si>
  <si>
    <t>$/Therm</t>
  </si>
  <si>
    <t>Sheet No. 1142-A</t>
  </si>
  <si>
    <t>Schedule 53 Residential Propane</t>
  </si>
  <si>
    <t>Schedule 31 Commercial &amp; Industrial - Sales</t>
  </si>
  <si>
    <t>Procurement Charge</t>
  </si>
  <si>
    <t>Schedule 31 Commercial &amp; Industrial - Transportation</t>
  </si>
  <si>
    <t>Schedule 41 Large Volume High Load Factor - Sales</t>
  </si>
  <si>
    <t>Demand Charge</t>
  </si>
  <si>
    <t>Sheet No. 1142-B</t>
  </si>
  <si>
    <t>Delivery Charge:</t>
  </si>
  <si>
    <t>901 to 5,000 therms</t>
  </si>
  <si>
    <t>All over 5,000 therms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</si>
  <si>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</si>
  <si>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</si>
  <si>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</si>
  <si>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</si>
  <si>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</si>
  <si>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</si>
  <si>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</si>
  <si>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</si>
  <si>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</si>
  <si>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</si>
  <si>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</si>
  <si>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</si>
  <si>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</si>
  <si>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</si>
  <si>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</si>
  <si>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</si>
  <si>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</si>
  <si>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</si>
  <si>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</si>
  <si>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</si>
  <si>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</si>
  <si>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</si>
  <si>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(p)</t>
  </si>
  <si>
    <t>Sales</t>
  </si>
  <si>
    <t>Schedules 23 &amp; 53</t>
  </si>
  <si>
    <t>Forecasted Delivered Volumes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</si>
  <si>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</si>
  <si>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</si>
  <si>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</si>
  <si>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</si>
  <si>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</si>
  <si>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</si>
  <si>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</si>
  <si>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</si>
  <si>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Sheet No. 1142-C</t>
  </si>
  <si>
    <t>Sheet No. 1142-C.1</t>
  </si>
  <si>
    <t>Sheet No. 1142-C.2</t>
  </si>
  <si>
    <t>2024 Gas General Rate Case (Dockets UE-240004 &amp; 240005)</t>
  </si>
  <si>
    <t>Exhibit JDT-11, GAS RATE SPREAD DESIGN</t>
  </si>
  <si>
    <t>Exhibit JDT-13, Delivery Rev</t>
  </si>
  <si>
    <t>Exhibit JDT-9, Gas Normalized Revenue</t>
  </si>
  <si>
    <t>Exhibit JDT-13, Allowed 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</si>
</sst>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\(&quot;$&quot;#,##0.00000\)"/>
    <numFmt numFmtId="167" formatCode="&quot;$&quot;#,##0.00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43" fontId="3" fillId="0" borderId="0" xfId="1" applyFont="1" applyFill="1"/>
    <xf numFmtId="0" fontId="3" fillId="0" borderId="0" xfId="0" applyFont="1"/>
    <xf numFmtId="0" fontId="3" fillId="0" borderId="1" xfId="0" applyFont="1" applyFill="1" applyBorder="1"/>
    <xf numFmtId="0" fontId="3" fillId="0" borderId="0" xfId="0" quotePrefix="1" applyFont="1" applyFill="1" applyAlignment="1">
      <alignment horizontal="center"/>
    </xf>
    <xf numFmtId="165" fontId="3" fillId="0" borderId="0" xfId="0" applyNumberFormat="1" applyFont="1" applyFill="1" applyBorder="1"/>
    <xf numFmtId="44" fontId="3" fillId="0" borderId="3" xfId="0" applyNumberFormat="1" applyFont="1" applyFill="1" applyBorder="1"/>
    <xf numFmtId="0" fontId="0" fillId="0" borderId="0" xfId="0" applyFont="1" applyFill="1" applyAlignment="1"/>
    <xf numFmtId="0" fontId="3" fillId="2" borderId="0" xfId="0" applyFont="1" applyFill="1"/>
    <xf numFmtId="0" fontId="2" fillId="0" borderId="0" xfId="0" applyFont="1" applyFill="1"/>
    <xf numFmtId="0" fontId="2" fillId="2" borderId="0" xfId="0" applyFont="1" applyFill="1"/>
    <xf numFmtId="0" fontId="0" fillId="0" borderId="0" xfId="0" applyFont="1" applyFill="1" applyAlignment="1"/>
    <xf numFmtId="0" fontId="2" fillId="0" borderId="0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1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Alignment="1"/>
    <xf numFmtId="0" fontId="3" fillId="0" borderId="0" xfId="0" applyFont="1" applyFill="1" applyBorder="1" applyProtection="1">
      <protection locked="0"/>
    </xf>
    <xf numFmtId="7" fontId="3" fillId="0" borderId="0" xfId="0" applyNumberFormat="1" applyFont="1" applyFill="1" applyAlignment="1"/>
    <xf numFmtId="167" fontId="3" fillId="0" borderId="0" xfId="0" applyNumberFormat="1" applyFont="1" applyFill="1" applyAlignment="1"/>
    <xf numFmtId="41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3" fontId="3" fillId="0" borderId="0" xfId="0" applyNumberFormat="1" applyFont="1" applyFill="1"/>
    <xf numFmtId="10" fontId="3" fillId="0" borderId="0" xfId="0" applyNumberFormat="1" applyFont="1" applyFill="1"/>
    <xf numFmtId="4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3" fontId="0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FX41"/>
  <sheetViews>
    <sheetView tabSelected="1" zoomScaleNormal="100" workbookViewId="0">
      <pane ySplit="8" topLeftCell="A9" activePane="bottomLeft" state="frozen"/>
      <selection activeCell="J43" sqref="J43"/>
      <selection pane="bottomLeft" activeCell="C42" sqref="C42"/>
    </sheetView>
  </sheetViews>
  <sheetFormatPr defaultColWidth="9.140625" defaultRowHeight="11.25" x14ac:dyDescent="0.2"/>
  <cols>
    <col min="1" max="1" width="4.42578125" style="2" bestFit="1" customWidth="1"/>
    <col min="2" max="2" width="27.7109375" style="2" customWidth="1"/>
    <col min="3" max="3" width="31" style="2" bestFit="1" customWidth="1"/>
    <col min="4" max="5" width="11.5703125" style="2" bestFit="1" customWidth="1"/>
    <col min="6" max="6" width="13.7109375" style="2" bestFit="1" customWidth="1"/>
    <col min="7" max="7" width="0.7109375" style="2" customWidth="1"/>
    <col min="8" max="8" width="12.140625" style="2" bestFit="1" customWidth="1"/>
    <col min="9" max="9" width="10.42578125" style="2" bestFit="1" customWidth="1"/>
    <col min="10" max="10" width="11.5703125" style="2" bestFit="1" customWidth="1"/>
    <col min="11" max="11" width="11.42578125" style="2" bestFit="1" customWidth="1"/>
    <col min="12" max="12" width="11.28515625" style="2" bestFit="1" customWidth="1"/>
    <col min="13" max="13" width="11.42578125" style="2" bestFit="1" customWidth="1"/>
    <col min="14" max="14" width="10.42578125" style="2" bestFit="1" customWidth="1"/>
    <col min="15" max="15" width="11.42578125" style="2" bestFit="1" customWidth="1"/>
    <col min="16" max="16384" width="9.140625" style="2"/>
  </cols>
  <sheetData>
    <row r="1" spans="1:1572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728" x14ac:dyDescent="0.2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728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728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728" s="5" customFormat="1" ht="15" x14ac:dyDescent="0.25">
      <c r="A5" s="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</row>
    <row r="6" spans="1:15728" x14ac:dyDescent="0.2">
      <c r="A6" s="4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</row>
    <row r="7" spans="1:15728" x14ac:dyDescent="0.2">
      <c r="A7" s="6" t="s">
        <v>4</v>
      </c>
      <c r="B7" s="7"/>
      <c r="C7" s="7"/>
      <c r="D7" s="6" t="s">
        <v>5</v>
      </c>
      <c r="E7" s="6" t="s">
        <v>5</v>
      </c>
      <c r="F7" s="6" t="s">
        <v>5</v>
      </c>
      <c r="G7" s="7"/>
      <c r="H7" s="8"/>
      <c r="I7" s="8"/>
      <c r="J7" s="8"/>
      <c r="K7" s="8"/>
      <c r="L7" s="8"/>
      <c r="M7" s="8"/>
      <c r="N7" s="8"/>
      <c r="O7" s="8"/>
    </row>
    <row r="8" spans="1:15728" x14ac:dyDescent="0.2">
      <c r="A8" s="9" t="s">
        <v>6</v>
      </c>
      <c r="B8" s="10"/>
      <c r="C8" s="9" t="s">
        <v>7</v>
      </c>
      <c r="D8" s="9" t="s">
        <v>8</v>
      </c>
      <c r="E8" s="9" t="s">
        <v>9</v>
      </c>
      <c r="F8" s="9" t="s">
        <v>10</v>
      </c>
      <c r="G8" s="9"/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</row>
    <row r="9" spans="1:15728" x14ac:dyDescent="0.2">
      <c r="B9" s="5" t="s">
        <v>19</v>
      </c>
      <c r="C9" s="5" t="s">
        <v>20</v>
      </c>
      <c r="D9" s="5" t="s">
        <v>21</v>
      </c>
      <c r="E9" s="5" t="s">
        <v>22</v>
      </c>
      <c r="F9" s="5" t="s">
        <v>23</v>
      </c>
      <c r="G9" s="5"/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5" t="s">
        <v>29</v>
      </c>
      <c r="N9" s="5" t="s">
        <v>30</v>
      </c>
      <c r="O9" s="5" t="s">
        <v>31</v>
      </c>
    </row>
    <row r="10" spans="1:15728" x14ac:dyDescent="0.2">
      <c r="A10" s="5">
        <v>1</v>
      </c>
      <c r="B10" s="12" t="s">
        <v>32</v>
      </c>
      <c r="C10" s="5"/>
      <c r="D10" s="5"/>
      <c r="J10" s="5"/>
      <c r="K10" s="5"/>
      <c r="L10" s="5"/>
      <c r="M10" s="5"/>
      <c r="N10" s="5"/>
      <c r="O10" s="5"/>
    </row>
    <row r="11" spans="1:15728" x14ac:dyDescent="0.2">
      <c r="A11" s="5">
        <f t="shared" ref="A11:A17" si="0">A10+1</f>
        <v>2</v>
      </c>
      <c r="B11" s="2" t="s">
        <v>33</v>
      </c>
      <c r="C11" s="5" t="s">
        <v>106</v>
      </c>
      <c r="D11" s="13">
        <f t="shared" ref="D11" si="1">SUM(H11:I11)</f>
        <v>526064111.24102414</v>
      </c>
      <c r="E11" s="13">
        <f t="shared" ref="E11" si="2">SUM(J11:K11)</f>
        <v>198846787.55974302</v>
      </c>
      <c r="F11" s="13">
        <f t="shared" ref="F11" si="3">SUM(L11:O11)</f>
        <v>35649441.08118505</v>
      </c>
      <c r="G11" s="13"/>
      <c r="H11" s="14">
        <v>526064111.24102414</v>
      </c>
      <c r="I11" s="14">
        <v>0</v>
      </c>
      <c r="J11" s="14">
        <v>198846787.55974302</v>
      </c>
      <c r="K11" s="14">
        <v>0</v>
      </c>
      <c r="L11" s="14">
        <v>26857086.939131938</v>
      </c>
      <c r="M11" s="14">
        <v>7203173.5574922711</v>
      </c>
      <c r="N11" s="14">
        <v>1312037.8825193685</v>
      </c>
      <c r="O11" s="14">
        <v>277142.70204147056</v>
      </c>
    </row>
    <row r="12" spans="1:15728" x14ac:dyDescent="0.2">
      <c r="A12" s="5">
        <v>3</v>
      </c>
      <c r="C12" s="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728" x14ac:dyDescent="0.2">
      <c r="A13" s="5">
        <f t="shared" si="0"/>
        <v>4</v>
      </c>
      <c r="B13" s="2" t="s">
        <v>34</v>
      </c>
      <c r="C13" s="5" t="str">
        <f>C11</f>
        <v>Exhibit JDT-11, GAS RATE SPREAD DESIGN</v>
      </c>
      <c r="D13" s="13">
        <f t="shared" ref="D13:D14" si="4">SUM(H13:I13)</f>
        <v>147105621.28153169</v>
      </c>
      <c r="E13" s="13">
        <f t="shared" ref="E13:E14" si="5">SUM(J13:K13)</f>
        <v>36039759.678000003</v>
      </c>
      <c r="F13" s="13">
        <f t="shared" ref="F13:F14" si="6">SUM(L13:O13)</f>
        <v>3275959.6758444365</v>
      </c>
      <c r="G13" s="13"/>
      <c r="H13" s="14">
        <v>147105621.28153169</v>
      </c>
      <c r="I13" s="15">
        <v>0</v>
      </c>
      <c r="J13" s="15">
        <v>36039759.678000003</v>
      </c>
      <c r="K13" s="15">
        <v>0</v>
      </c>
      <c r="L13" s="15">
        <v>2552956.1720000003</v>
      </c>
      <c r="M13" s="15">
        <v>476907.12</v>
      </c>
      <c r="N13" s="15">
        <v>213137.66384443585</v>
      </c>
      <c r="O13" s="15">
        <v>32958.720000000001</v>
      </c>
    </row>
    <row r="14" spans="1:15728" x14ac:dyDescent="0.2">
      <c r="A14" s="5">
        <f t="shared" si="0"/>
        <v>5</v>
      </c>
      <c r="B14" s="2" t="s">
        <v>35</v>
      </c>
      <c r="C14" s="5" t="str">
        <f t="shared" ref="C14" si="7">C13</f>
        <v>Exhibit JDT-11, GAS RATE SPREAD DESIGN</v>
      </c>
      <c r="D14" s="13">
        <f t="shared" si="4"/>
        <v>0</v>
      </c>
      <c r="E14" s="13">
        <f t="shared" si="5"/>
        <v>0</v>
      </c>
      <c r="F14" s="13">
        <f t="shared" si="6"/>
        <v>3753818.296908549</v>
      </c>
      <c r="G14" s="13"/>
      <c r="H14" s="15">
        <v>0</v>
      </c>
      <c r="I14" s="15">
        <v>0</v>
      </c>
      <c r="J14" s="15">
        <v>0</v>
      </c>
      <c r="K14" s="15">
        <v>0</v>
      </c>
      <c r="L14" s="15">
        <v>3490242.4332142514</v>
      </c>
      <c r="M14" s="15">
        <v>261281.75369429757</v>
      </c>
      <c r="N14" s="15">
        <v>2294.1099999999997</v>
      </c>
      <c r="O14" s="15">
        <v>0</v>
      </c>
    </row>
    <row r="15" spans="1:15728" x14ac:dyDescent="0.2">
      <c r="A15" s="5">
        <f t="shared" si="0"/>
        <v>6</v>
      </c>
      <c r="B15" s="2" t="s">
        <v>36</v>
      </c>
      <c r="C15" s="5" t="str">
        <f>"("&amp;A13&amp;") + ("&amp;A14&amp;")"</f>
        <v>(4) + (5)</v>
      </c>
      <c r="D15" s="16">
        <f>SUM(D13:D14)</f>
        <v>147105621.28153169</v>
      </c>
      <c r="E15" s="16">
        <f>SUM(E13:E14)</f>
        <v>36039759.678000003</v>
      </c>
      <c r="F15" s="16">
        <f>SUM(F13:F14)</f>
        <v>7029777.9727529855</v>
      </c>
      <c r="G15" s="13"/>
      <c r="H15" s="16">
        <f t="shared" ref="H15:O15" si="8">SUM(H13:H14)</f>
        <v>147105621.28153169</v>
      </c>
      <c r="I15" s="16">
        <f t="shared" si="8"/>
        <v>0</v>
      </c>
      <c r="J15" s="16">
        <f t="shared" si="8"/>
        <v>36039759.678000003</v>
      </c>
      <c r="K15" s="16">
        <f t="shared" si="8"/>
        <v>0</v>
      </c>
      <c r="L15" s="16">
        <f t="shared" si="8"/>
        <v>6043198.6052142512</v>
      </c>
      <c r="M15" s="16">
        <f t="shared" si="8"/>
        <v>738188.87369429762</v>
      </c>
      <c r="N15" s="16">
        <f t="shared" si="8"/>
        <v>215431.77384443584</v>
      </c>
      <c r="O15" s="16">
        <f t="shared" si="8"/>
        <v>32958.720000000001</v>
      </c>
    </row>
    <row r="16" spans="1:15728" x14ac:dyDescent="0.2">
      <c r="A16" s="5">
        <f t="shared" si="0"/>
        <v>7</v>
      </c>
      <c r="C16" s="5"/>
      <c r="D16" s="13"/>
      <c r="E16" s="13"/>
      <c r="F16" s="13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2" thickBot="1" x14ac:dyDescent="0.25">
      <c r="A17" s="5">
        <f t="shared" si="0"/>
        <v>8</v>
      </c>
      <c r="B17" s="2" t="s">
        <v>37</v>
      </c>
      <c r="C17" s="5" t="str">
        <f>"("&amp;A15&amp;") - ("&amp;A11&amp;")"</f>
        <v>(6) - (2)</v>
      </c>
      <c r="D17" s="17">
        <f>D11-D15</f>
        <v>378958489.95949244</v>
      </c>
      <c r="E17" s="17">
        <f>E11-E15</f>
        <v>162807027.88174301</v>
      </c>
      <c r="F17" s="17">
        <f>F11-F15</f>
        <v>28619663.108432066</v>
      </c>
      <c r="G17" s="15"/>
      <c r="H17" s="17">
        <f t="shared" ref="H17:O17" si="9">H11-H15</f>
        <v>378958489.95949244</v>
      </c>
      <c r="I17" s="17">
        <f t="shared" si="9"/>
        <v>0</v>
      </c>
      <c r="J17" s="17">
        <f t="shared" si="9"/>
        <v>162807027.88174301</v>
      </c>
      <c r="K17" s="17">
        <f t="shared" si="9"/>
        <v>0</v>
      </c>
      <c r="L17" s="17">
        <f t="shared" si="9"/>
        <v>20813888.333917685</v>
      </c>
      <c r="M17" s="17">
        <f t="shared" si="9"/>
        <v>6464984.6837979732</v>
      </c>
      <c r="N17" s="17">
        <f t="shared" si="9"/>
        <v>1096606.1086749327</v>
      </c>
      <c r="O17" s="17">
        <f t="shared" si="9"/>
        <v>244183.98204147056</v>
      </c>
    </row>
    <row r="18" spans="1:15" ht="12" thickTop="1" x14ac:dyDescent="0.2">
      <c r="A18" s="5"/>
      <c r="C18" s="18" t="s">
        <v>38</v>
      </c>
      <c r="G18" s="19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</row>
    <row r="19" spans="1:15" x14ac:dyDescent="0.2">
      <c r="E19" s="13"/>
      <c r="F19" s="13"/>
    </row>
    <row r="20" spans="1:15" ht="4.5" customHeight="1" x14ac:dyDescent="0.2"/>
    <row r="22" spans="1:15" x14ac:dyDescent="0.2">
      <c r="A22" s="1" t="str">
        <f>A1</f>
        <v>Puget Sound Energy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" t="str">
        <f>A2</f>
        <v>2024 Gas General Rate Case (Dockets UE-240004 &amp; 240005)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" t="str">
        <f>A3</f>
        <v>Gas Decoupling Mechanism (Schedule 142)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1" t="str">
        <f>A4</f>
        <v>Development of Decoupled Delivery Revenue by Decoupling Group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x14ac:dyDescent="0.25">
      <c r="A26" s="1" t="s">
        <v>39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5"/>
      <c r="N27" s="5"/>
      <c r="O27" s="5"/>
    </row>
    <row r="28" spans="1:15" x14ac:dyDescent="0.2">
      <c r="A28" s="6" t="s">
        <v>4</v>
      </c>
      <c r="B28" s="7"/>
      <c r="C28" s="7"/>
      <c r="D28" s="6" t="s">
        <v>5</v>
      </c>
      <c r="E28" s="6" t="s">
        <v>5</v>
      </c>
      <c r="F28" s="6" t="s">
        <v>5</v>
      </c>
      <c r="G28" s="7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9" t="s">
        <v>6</v>
      </c>
      <c r="B29" s="10"/>
      <c r="C29" s="9" t="s">
        <v>7</v>
      </c>
      <c r="D29" s="9" t="s">
        <v>8</v>
      </c>
      <c r="E29" s="9" t="s">
        <v>9</v>
      </c>
      <c r="F29" s="9" t="s">
        <v>10</v>
      </c>
      <c r="G29" s="9"/>
      <c r="H29" s="11" t="s">
        <v>11</v>
      </c>
      <c r="I29" s="11" t="s">
        <v>12</v>
      </c>
      <c r="J29" s="11" t="s">
        <v>13</v>
      </c>
      <c r="K29" s="11" t="s">
        <v>14</v>
      </c>
      <c r="L29" s="11" t="s">
        <v>15</v>
      </c>
      <c r="M29" s="11" t="s">
        <v>16</v>
      </c>
      <c r="N29" s="11" t="s">
        <v>17</v>
      </c>
      <c r="O29" s="11" t="s">
        <v>18</v>
      </c>
    </row>
    <row r="30" spans="1:15" x14ac:dyDescent="0.2">
      <c r="B30" s="5" t="s">
        <v>19</v>
      </c>
      <c r="C30" s="5" t="s">
        <v>20</v>
      </c>
      <c r="D30" s="5" t="s">
        <v>21</v>
      </c>
      <c r="E30" s="5" t="s">
        <v>22</v>
      </c>
      <c r="F30" s="5" t="s">
        <v>23</v>
      </c>
      <c r="G30" s="5"/>
      <c r="H30" s="5" t="s">
        <v>24</v>
      </c>
      <c r="I30" s="5" t="s">
        <v>25</v>
      </c>
      <c r="J30" s="5" t="s">
        <v>26</v>
      </c>
      <c r="K30" s="5" t="s">
        <v>27</v>
      </c>
      <c r="L30" s="5" t="s">
        <v>28</v>
      </c>
      <c r="M30" s="5" t="s">
        <v>29</v>
      </c>
      <c r="N30" s="5" t="s">
        <v>30</v>
      </c>
      <c r="O30" s="5" t="s">
        <v>31</v>
      </c>
    </row>
    <row r="31" spans="1:15" x14ac:dyDescent="0.2">
      <c r="A31" s="5">
        <f>1</f>
        <v>1</v>
      </c>
      <c r="B31" s="12" t="s">
        <v>32</v>
      </c>
      <c r="C31" s="5"/>
      <c r="D31" s="5"/>
      <c r="J31" s="5"/>
      <c r="K31" s="5"/>
      <c r="L31" s="5"/>
      <c r="M31" s="5"/>
      <c r="N31" s="5"/>
      <c r="O31" s="5"/>
    </row>
    <row r="32" spans="1:15" x14ac:dyDescent="0.2">
      <c r="A32" s="5">
        <f t="shared" ref="A32:A38" si="10">A31+1</f>
        <v>2</v>
      </c>
      <c r="B32" s="2" t="s">
        <v>33</v>
      </c>
      <c r="C32" s="5" t="str">
        <f>C11</f>
        <v>Exhibit JDT-11, GAS RATE SPREAD DESIGN</v>
      </c>
      <c r="D32" s="13">
        <f t="shared" ref="D32" si="11">SUM(H32:I32)</f>
        <v>539463411.55595398</v>
      </c>
      <c r="E32" s="13">
        <f t="shared" ref="E32" si="12">SUM(J32:K32)</f>
        <v>207028731.72657743</v>
      </c>
      <c r="F32" s="13">
        <f t="shared" ref="F32" si="13">SUM(L32:O32)</f>
        <v>36827277.392967068</v>
      </c>
      <c r="G32" s="13"/>
      <c r="H32" s="14">
        <v>539463411.55595398</v>
      </c>
      <c r="I32" s="14">
        <v>0</v>
      </c>
      <c r="J32" s="14">
        <v>207028731.72657743</v>
      </c>
      <c r="K32" s="14">
        <v>0</v>
      </c>
      <c r="L32" s="14">
        <v>27954152.722860526</v>
      </c>
      <c r="M32" s="14">
        <v>7283947.0125697199</v>
      </c>
      <c r="N32" s="14">
        <v>1319230.3136213692</v>
      </c>
      <c r="O32" s="14">
        <v>269947.34391544736</v>
      </c>
    </row>
    <row r="33" spans="1:17" x14ac:dyDescent="0.2">
      <c r="A33" s="5">
        <v>3</v>
      </c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7" x14ac:dyDescent="0.2">
      <c r="A34" s="5">
        <f t="shared" si="10"/>
        <v>4</v>
      </c>
      <c r="B34" s="2" t="s">
        <v>34</v>
      </c>
      <c r="C34" s="5" t="str">
        <f>C13</f>
        <v>Exhibit JDT-11, GAS RATE SPREAD DESIGN</v>
      </c>
      <c r="D34" s="13">
        <f t="shared" ref="D34:D35" si="14">SUM(H34:I34)</f>
        <v>174902699.04317373</v>
      </c>
      <c r="E34" s="13">
        <f t="shared" ref="E34:E35" si="15">SUM(J34:K34)</f>
        <v>47025724.998200007</v>
      </c>
      <c r="F34" s="13">
        <f t="shared" ref="F34:F35" si="16">SUM(L34:O34)</f>
        <v>4089078.9410083401</v>
      </c>
      <c r="G34" s="13"/>
      <c r="H34" s="14">
        <v>174902699.04317373</v>
      </c>
      <c r="I34" s="14">
        <v>0</v>
      </c>
      <c r="J34" s="15">
        <v>47025724.998200007</v>
      </c>
      <c r="K34" s="15">
        <v>0</v>
      </c>
      <c r="L34" s="15">
        <v>3313777.0965000009</v>
      </c>
      <c r="M34" s="15">
        <v>476907.12</v>
      </c>
      <c r="N34" s="15">
        <v>265436.00450833864</v>
      </c>
      <c r="O34" s="15">
        <v>32958.720000000001</v>
      </c>
    </row>
    <row r="35" spans="1:17" x14ac:dyDescent="0.2">
      <c r="A35" s="5">
        <f t="shared" si="10"/>
        <v>5</v>
      </c>
      <c r="B35" s="2" t="s">
        <v>35</v>
      </c>
      <c r="C35" s="5" t="str">
        <f>C14</f>
        <v>Exhibit JDT-11, GAS RATE SPREAD DESIGN</v>
      </c>
      <c r="D35" s="13">
        <f t="shared" si="14"/>
        <v>0</v>
      </c>
      <c r="E35" s="13">
        <f t="shared" si="15"/>
        <v>0</v>
      </c>
      <c r="F35" s="13">
        <f t="shared" si="16"/>
        <v>3521635.5536897471</v>
      </c>
      <c r="G35" s="13"/>
      <c r="H35" s="15">
        <v>0</v>
      </c>
      <c r="I35" s="15">
        <v>0</v>
      </c>
      <c r="J35" s="15">
        <v>0</v>
      </c>
      <c r="K35" s="15">
        <v>0</v>
      </c>
      <c r="L35" s="15">
        <v>3273881.9031912601</v>
      </c>
      <c r="M35" s="15">
        <v>245459.54049848727</v>
      </c>
      <c r="N35" s="15">
        <v>2294.1099999999997</v>
      </c>
      <c r="O35" s="15">
        <v>0</v>
      </c>
    </row>
    <row r="36" spans="1:17" x14ac:dyDescent="0.2">
      <c r="A36" s="5">
        <f t="shared" si="10"/>
        <v>6</v>
      </c>
      <c r="B36" s="2" t="s">
        <v>36</v>
      </c>
      <c r="C36" s="5" t="str">
        <f>"("&amp;A34&amp;") + ("&amp;A35&amp;")"</f>
        <v>(4) + (5)</v>
      </c>
      <c r="D36" s="16">
        <f>SUM(D34:D35)</f>
        <v>174902699.04317373</v>
      </c>
      <c r="E36" s="16">
        <f>SUM(E34:E35)</f>
        <v>47025724.998200007</v>
      </c>
      <c r="F36" s="16">
        <f>SUM(F34:F35)</f>
        <v>7610714.4946980868</v>
      </c>
      <c r="G36" s="13"/>
      <c r="H36" s="16">
        <f t="shared" ref="H36:O36" si="17">SUM(H34:H35)</f>
        <v>174902699.04317373</v>
      </c>
      <c r="I36" s="16">
        <f t="shared" si="17"/>
        <v>0</v>
      </c>
      <c r="J36" s="16">
        <f t="shared" si="17"/>
        <v>47025724.998200007</v>
      </c>
      <c r="K36" s="16">
        <f t="shared" si="17"/>
        <v>0</v>
      </c>
      <c r="L36" s="16">
        <f t="shared" si="17"/>
        <v>6587658.999691261</v>
      </c>
      <c r="M36" s="16">
        <f t="shared" si="17"/>
        <v>722366.6604984873</v>
      </c>
      <c r="N36" s="16">
        <f t="shared" si="17"/>
        <v>267730.11450833862</v>
      </c>
      <c r="O36" s="16">
        <f t="shared" si="17"/>
        <v>32958.720000000001</v>
      </c>
    </row>
    <row r="37" spans="1:17" x14ac:dyDescent="0.2">
      <c r="A37" s="5">
        <f t="shared" si="10"/>
        <v>7</v>
      </c>
      <c r="C37" s="5"/>
      <c r="D37" s="13"/>
      <c r="E37" s="13"/>
      <c r="F37" s="13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2" thickBot="1" x14ac:dyDescent="0.25">
      <c r="A38" s="5">
        <f t="shared" si="10"/>
        <v>8</v>
      </c>
      <c r="B38" s="2" t="s">
        <v>37</v>
      </c>
      <c r="C38" s="5" t="str">
        <f>"("&amp;A36&amp;") - ("&amp;A32&amp;")"</f>
        <v>(6) - (2)</v>
      </c>
      <c r="D38" s="17">
        <f t="shared" ref="D38:O38" si="18">D32-D36</f>
        <v>364560712.51278025</v>
      </c>
      <c r="E38" s="17">
        <f t="shared" si="18"/>
        <v>160003006.72837743</v>
      </c>
      <c r="F38" s="17">
        <f t="shared" si="18"/>
        <v>29216562.898268983</v>
      </c>
      <c r="G38" s="17">
        <f t="shared" si="18"/>
        <v>0</v>
      </c>
      <c r="H38" s="17">
        <f t="shared" si="18"/>
        <v>364560712.51278025</v>
      </c>
      <c r="I38" s="17">
        <f t="shared" si="18"/>
        <v>0</v>
      </c>
      <c r="J38" s="17">
        <f t="shared" si="18"/>
        <v>160003006.72837743</v>
      </c>
      <c r="K38" s="17">
        <f t="shared" si="18"/>
        <v>0</v>
      </c>
      <c r="L38" s="17">
        <f t="shared" si="18"/>
        <v>21366493.723169267</v>
      </c>
      <c r="M38" s="17">
        <f t="shared" si="18"/>
        <v>6561580.3520712331</v>
      </c>
      <c r="N38" s="17">
        <f t="shared" si="18"/>
        <v>1051500.1991130305</v>
      </c>
      <c r="O38" s="17">
        <f t="shared" si="18"/>
        <v>236988.62391544736</v>
      </c>
    </row>
    <row r="39" spans="1:17" ht="12" thickTop="1" x14ac:dyDescent="0.2">
      <c r="A39" s="5"/>
      <c r="C39" s="18" t="s">
        <v>38</v>
      </c>
      <c r="G39" s="19"/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Q39" s="15"/>
    </row>
    <row r="40" spans="1:17" x14ac:dyDescent="0.2">
      <c r="E40" s="13"/>
      <c r="F40" s="13"/>
    </row>
    <row r="41" spans="1:17" ht="4.5" customHeight="1" x14ac:dyDescent="0.2"/>
  </sheetData>
  <mergeCells count="10">
    <mergeCell ref="A23:O23"/>
    <mergeCell ref="A24:O24"/>
    <mergeCell ref="A25:O25"/>
    <mergeCell ref="A26:O26"/>
    <mergeCell ref="A1:O1"/>
    <mergeCell ref="A2:O2"/>
    <mergeCell ref="A3:O3"/>
    <mergeCell ref="A4:O4"/>
    <mergeCell ref="A5:O5"/>
    <mergeCell ref="A22:O22"/>
  </mergeCells>
  <printOptions horizontalCentered="1"/>
  <pageMargins left="0.45" right="0.45" top="0.75" bottom="0.75" header="0.3" footer="0.3"/>
  <pageSetup scale="68" fitToHeight="3" orientation="landscape" blackAndWhite="1" horizontalDpi="1200" verticalDpi="1200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Normal="100" workbookViewId="0">
      <pane ySplit="8" topLeftCell="A9" activePane="bottomLeft" state="frozen"/>
      <selection activeCell="J43" sqref="J43"/>
      <selection pane="bottomLeft" activeCell="C34" sqref="C34"/>
    </sheetView>
  </sheetViews>
  <sheetFormatPr defaultColWidth="9.140625" defaultRowHeight="11.25" x14ac:dyDescent="0.2"/>
  <cols>
    <col min="1" max="1" width="5.28515625" style="2" customWidth="1"/>
    <col min="2" max="2" width="35.140625" style="2" bestFit="1" customWidth="1"/>
    <col min="3" max="3" width="39" style="2" customWidth="1"/>
    <col min="4" max="6" width="15.5703125" style="2" customWidth="1"/>
    <col min="7" max="16384" width="9.140625" style="2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">
        <v>105</v>
      </c>
      <c r="B2" s="1"/>
      <c r="C2" s="1"/>
      <c r="D2" s="1"/>
      <c r="E2" s="1"/>
      <c r="F2" s="1"/>
    </row>
    <row r="3" spans="1:6" x14ac:dyDescent="0.2">
      <c r="A3" s="1" t="s">
        <v>1</v>
      </c>
      <c r="B3" s="1"/>
      <c r="C3" s="1"/>
      <c r="D3" s="1"/>
      <c r="E3" s="1"/>
      <c r="F3" s="1"/>
    </row>
    <row r="4" spans="1:6" x14ac:dyDescent="0.2">
      <c r="A4" s="1" t="s">
        <v>40</v>
      </c>
      <c r="B4" s="1"/>
      <c r="C4" s="1"/>
      <c r="D4" s="1"/>
      <c r="E4" s="1"/>
      <c r="F4" s="1"/>
    </row>
    <row r="5" spans="1:6" x14ac:dyDescent="0.2">
      <c r="A5" s="1" t="str">
        <f>'Exh. JDT-13 (Delivery Rev)'!A5</f>
        <v>Proposed Effective January 2025</v>
      </c>
      <c r="B5" s="1"/>
      <c r="C5" s="1"/>
      <c r="D5" s="1"/>
      <c r="E5" s="1"/>
      <c r="F5" s="1"/>
    </row>
    <row r="7" spans="1:6" x14ac:dyDescent="0.2">
      <c r="A7" s="6" t="s">
        <v>4</v>
      </c>
      <c r="D7" s="6" t="s">
        <v>5</v>
      </c>
      <c r="E7" s="6" t="s">
        <v>5</v>
      </c>
      <c r="F7" s="6" t="s">
        <v>5</v>
      </c>
    </row>
    <row r="8" spans="1:6" x14ac:dyDescent="0.2">
      <c r="A8" s="9" t="s">
        <v>6</v>
      </c>
      <c r="B8" s="22"/>
      <c r="C8" s="9" t="s">
        <v>7</v>
      </c>
      <c r="D8" s="9" t="s">
        <v>8</v>
      </c>
      <c r="E8" s="9" t="s">
        <v>9</v>
      </c>
      <c r="F8" s="9" t="s">
        <v>10</v>
      </c>
    </row>
    <row r="9" spans="1:6" x14ac:dyDescent="0.2">
      <c r="B9" s="5" t="s">
        <v>19</v>
      </c>
      <c r="C9" s="5" t="s">
        <v>20</v>
      </c>
      <c r="D9" s="5" t="s">
        <v>41</v>
      </c>
      <c r="E9" s="5" t="s">
        <v>42</v>
      </c>
      <c r="F9" s="5" t="s">
        <v>43</v>
      </c>
    </row>
    <row r="10" spans="1:6" x14ac:dyDescent="0.2">
      <c r="A10" s="5">
        <f>1</f>
        <v>1</v>
      </c>
      <c r="B10" s="12" t="s">
        <v>32</v>
      </c>
      <c r="C10" s="5"/>
      <c r="D10" s="5"/>
      <c r="E10" s="5"/>
      <c r="F10" s="5"/>
    </row>
    <row r="11" spans="1:6" x14ac:dyDescent="0.2">
      <c r="A11" s="5">
        <f>A10+1</f>
        <v>2</v>
      </c>
      <c r="B11" s="2" t="s">
        <v>44</v>
      </c>
      <c r="C11" s="23" t="s">
        <v>107</v>
      </c>
      <c r="D11" s="13">
        <f>'Exh. JDT-13 (Delivery Rev)'!D17</f>
        <v>378958489.95949244</v>
      </c>
      <c r="E11" s="13">
        <f>'Exh. JDT-13 (Delivery Rev)'!E17</f>
        <v>162807027.88174301</v>
      </c>
      <c r="F11" s="13">
        <f>'Exh. JDT-13 (Delivery Rev)'!F17</f>
        <v>28619663.108432066</v>
      </c>
    </row>
    <row r="12" spans="1:6" x14ac:dyDescent="0.2">
      <c r="A12" s="5">
        <f t="shared" ref="A12:A13" si="0">A11+1</f>
        <v>3</v>
      </c>
      <c r="B12" s="2" t="s">
        <v>45</v>
      </c>
      <c r="C12" s="23" t="s">
        <v>46</v>
      </c>
      <c r="D12" s="24">
        <v>818788</v>
      </c>
      <c r="E12" s="24">
        <v>58552.333333333336</v>
      </c>
      <c r="F12" s="24">
        <v>1435.5</v>
      </c>
    </row>
    <row r="13" spans="1:6" ht="12" thickBot="1" x14ac:dyDescent="0.25">
      <c r="A13" s="5">
        <f t="shared" si="0"/>
        <v>4</v>
      </c>
      <c r="B13" s="2" t="s">
        <v>47</v>
      </c>
      <c r="C13" s="5" t="str">
        <f>"("&amp;A11&amp;") / ("&amp;A12&amp;")"</f>
        <v>(2) / (3)</v>
      </c>
      <c r="D13" s="25">
        <f>ROUND(D11/D12,2)</f>
        <v>462.83</v>
      </c>
      <c r="E13" s="25">
        <f>ROUND(E11/E12,2)</f>
        <v>2780.54</v>
      </c>
      <c r="F13" s="25">
        <f>ROUND(F11/F12,2)</f>
        <v>19937.07</v>
      </c>
    </row>
    <row r="14" spans="1:6" ht="12" thickTop="1" x14ac:dyDescent="0.2">
      <c r="A14" s="5"/>
    </row>
    <row r="16" spans="1:6" ht="4.5" customHeight="1" x14ac:dyDescent="0.2"/>
    <row r="18" spans="1:7" x14ac:dyDescent="0.2">
      <c r="A18" s="1" t="str">
        <f>A1</f>
        <v>Puget Sound Energy</v>
      </c>
      <c r="B18" s="1"/>
      <c r="C18" s="1"/>
      <c r="D18" s="1"/>
      <c r="E18" s="1"/>
      <c r="F18" s="1"/>
    </row>
    <row r="19" spans="1:7" x14ac:dyDescent="0.2">
      <c r="A19" s="1" t="str">
        <f>A2</f>
        <v>2024 Gas General Rate Case (Dockets UE-240004 &amp; 240005)</v>
      </c>
      <c r="B19" s="1"/>
      <c r="C19" s="1"/>
      <c r="D19" s="1"/>
      <c r="E19" s="1"/>
      <c r="F19" s="1"/>
    </row>
    <row r="20" spans="1:7" x14ac:dyDescent="0.2">
      <c r="A20" s="1" t="str">
        <f>A3</f>
        <v>Gas Decoupling Mechanism (Schedule 142)</v>
      </c>
      <c r="B20" s="1"/>
      <c r="C20" s="1"/>
      <c r="D20" s="1"/>
      <c r="E20" s="1"/>
      <c r="F20" s="1"/>
    </row>
    <row r="21" spans="1:7" x14ac:dyDescent="0.2">
      <c r="A21" s="1" t="str">
        <f>A4</f>
        <v>Development of Allowed Delivery Revenue Per Customer</v>
      </c>
      <c r="B21" s="1"/>
      <c r="C21" s="1"/>
      <c r="D21" s="1"/>
      <c r="E21" s="1"/>
      <c r="F21" s="1"/>
    </row>
    <row r="22" spans="1:7" x14ac:dyDescent="0.2">
      <c r="A22" s="1" t="str">
        <f>'Exh. JDT-13 (Delivery Rev)'!A26:O26</f>
        <v>Proposed Effective January 2026</v>
      </c>
      <c r="B22" s="1"/>
      <c r="C22" s="1"/>
      <c r="D22" s="1"/>
      <c r="E22" s="1"/>
      <c r="F22" s="1"/>
    </row>
    <row r="24" spans="1:7" x14ac:dyDescent="0.2">
      <c r="A24" s="6" t="s">
        <v>4</v>
      </c>
      <c r="D24" s="6" t="s">
        <v>5</v>
      </c>
      <c r="E24" s="6" t="s">
        <v>5</v>
      </c>
      <c r="F24" s="6" t="s">
        <v>5</v>
      </c>
    </row>
    <row r="25" spans="1:7" x14ac:dyDescent="0.2">
      <c r="A25" s="9" t="s">
        <v>6</v>
      </c>
      <c r="B25" s="22"/>
      <c r="C25" s="9" t="s">
        <v>7</v>
      </c>
      <c r="D25" s="9" t="s">
        <v>8</v>
      </c>
      <c r="E25" s="9" t="s">
        <v>9</v>
      </c>
      <c r="F25" s="9" t="s">
        <v>10</v>
      </c>
    </row>
    <row r="26" spans="1:7" x14ac:dyDescent="0.2">
      <c r="B26" s="5" t="s">
        <v>19</v>
      </c>
      <c r="C26" s="5" t="s">
        <v>20</v>
      </c>
      <c r="D26" s="5" t="s">
        <v>41</v>
      </c>
      <c r="E26" s="5" t="s">
        <v>42</v>
      </c>
      <c r="F26" s="5" t="s">
        <v>43</v>
      </c>
    </row>
    <row r="27" spans="1:7" x14ac:dyDescent="0.2">
      <c r="A27" s="5">
        <f>1</f>
        <v>1</v>
      </c>
      <c r="B27" s="12" t="s">
        <v>32</v>
      </c>
      <c r="C27" s="5"/>
      <c r="D27" s="5"/>
      <c r="E27" s="5"/>
      <c r="F27" s="5"/>
      <c r="G27" s="2"/>
    </row>
    <row r="28" spans="1:7" x14ac:dyDescent="0.2">
      <c r="A28" s="5">
        <f t="shared" ref="A28:A30" si="1">A27+1</f>
        <v>2</v>
      </c>
      <c r="B28" s="2" t="s">
        <v>44</v>
      </c>
      <c r="C28" s="23" t="s">
        <v>107</v>
      </c>
      <c r="D28" s="13">
        <f>'Exh. JDT-13 (Delivery Rev)'!D38</f>
        <v>364560712.51278025</v>
      </c>
      <c r="E28" s="13">
        <f>'Exh. JDT-13 (Delivery Rev)'!E38</f>
        <v>160003006.72837743</v>
      </c>
      <c r="F28" s="13">
        <f>'Exh. JDT-13 (Delivery Rev)'!F38</f>
        <v>29216562.898268983</v>
      </c>
      <c r="G28" s="2"/>
    </row>
    <row r="29" spans="1:7" x14ac:dyDescent="0.2">
      <c r="A29" s="5">
        <f t="shared" si="1"/>
        <v>3</v>
      </c>
      <c r="B29" s="2" t="s">
        <v>45</v>
      </c>
      <c r="C29" s="23" t="str">
        <f>C12</f>
        <v>Work Papers, Billing Determinants</v>
      </c>
      <c r="D29" s="24">
        <v>818788</v>
      </c>
      <c r="E29" s="24">
        <v>58770</v>
      </c>
      <c r="F29" s="24">
        <v>1429.75</v>
      </c>
      <c r="G29" s="2"/>
    </row>
    <row r="30" spans="1:7" ht="12" thickBot="1" x14ac:dyDescent="0.25">
      <c r="A30" s="5">
        <f t="shared" si="1"/>
        <v>4</v>
      </c>
      <c r="B30" s="2" t="s">
        <v>47</v>
      </c>
      <c r="C30" s="5" t="str">
        <f>"("&amp;A28&amp;") / ("&amp;A29&amp;")"</f>
        <v>(2) / (3)</v>
      </c>
      <c r="D30" s="25">
        <f>ROUND(D28/D29,2)</f>
        <v>445.24</v>
      </c>
      <c r="E30" s="25">
        <f>ROUND(E28/E29,2)</f>
        <v>2722.53</v>
      </c>
      <c r="F30" s="25">
        <f>ROUND(F28/F29,2)</f>
        <v>20434.740000000002</v>
      </c>
      <c r="G30" s="2"/>
    </row>
    <row r="31" spans="1:7" ht="12" thickTop="1" x14ac:dyDescent="0.2">
      <c r="A31" s="5"/>
      <c r="G31" s="2"/>
    </row>
    <row r="32" spans="1:7" ht="15.75" customHeight="1" x14ac:dyDescent="0.2"/>
    <row r="33" s="2" customFormat="1" ht="4.5" customHeight="1" x14ac:dyDescent="0.2"/>
    <row r="34" s="2" customFormat="1" ht="15.75" customHeight="1" x14ac:dyDescent="0.2"/>
  </sheetData>
  <mergeCells count="10">
    <mergeCell ref="A19:F19"/>
    <mergeCell ref="A20:F20"/>
    <mergeCell ref="A21:F21"/>
    <mergeCell ref="A22:F22"/>
    <mergeCell ref="A1:F1"/>
    <mergeCell ref="A2:F2"/>
    <mergeCell ref="A3:F3"/>
    <mergeCell ref="A4:F4"/>
    <mergeCell ref="A5:F5"/>
    <mergeCell ref="A18:F18"/>
  </mergeCells>
  <printOptions horizontalCentered="1"/>
  <pageMargins left="0.7" right="0.7" top="0.75" bottom="0.75" header="0.3" footer="0.3"/>
  <pageSetup scale="98" orientation="landscape" blackAndWhite="1" horizontalDpi="1200" verticalDpi="12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Normal="100" workbookViewId="0">
      <pane ySplit="9" topLeftCell="A10" activePane="bottomLeft" state="frozen"/>
      <selection activeCell="J43" sqref="J43"/>
      <selection pane="bottomLeft" activeCell="F44" sqref="F44"/>
    </sheetView>
  </sheetViews>
  <sheetFormatPr defaultColWidth="9.140625" defaultRowHeight="15" customHeight="1" x14ac:dyDescent="0.2"/>
  <cols>
    <col min="1" max="1" width="5.5703125" style="2" bestFit="1" customWidth="1"/>
    <col min="2" max="2" width="1" style="2" customWidth="1"/>
    <col min="3" max="3" width="44.85546875" style="19" customWidth="1"/>
    <col min="4" max="4" width="6.5703125" style="19" bestFit="1" customWidth="1"/>
    <col min="5" max="5" width="33.140625" style="19" bestFit="1" customWidth="1"/>
    <col min="6" max="6" width="19.140625" style="19" bestFit="1" customWidth="1"/>
    <col min="7" max="7" width="13.42578125" style="2" bestFit="1" customWidth="1"/>
    <col min="8" max="8" width="1" style="2" customWidth="1"/>
    <col min="9" max="9" width="5.5703125" style="2" bestFit="1" customWidth="1"/>
    <col min="10" max="10" width="1" style="2" customWidth="1"/>
    <col min="11" max="11" width="44.85546875" style="19" customWidth="1"/>
    <col min="12" max="12" width="6.5703125" style="19" bestFit="1" customWidth="1"/>
    <col min="13" max="13" width="33.140625" style="19" bestFit="1" customWidth="1"/>
    <col min="14" max="14" width="19.140625" style="19" customWidth="1"/>
    <col min="15" max="15" width="13.42578125" style="2" bestFit="1" customWidth="1"/>
    <col min="16" max="16" width="1" style="2" customWidth="1"/>
    <col min="17" max="16384" width="9.140625" style="2"/>
  </cols>
  <sheetData>
    <row r="1" spans="1:16" ht="15" customHeight="1" x14ac:dyDescent="0.25">
      <c r="A1" s="1" t="s">
        <v>0</v>
      </c>
      <c r="B1" s="1"/>
      <c r="C1" s="1"/>
      <c r="D1" s="1"/>
      <c r="E1" s="1"/>
      <c r="F1" s="1"/>
      <c r="G1" s="26"/>
      <c r="I1" s="1" t="str">
        <f>A1</f>
        <v>Puget Sound Energy</v>
      </c>
      <c r="J1" s="1"/>
      <c r="K1" s="1"/>
      <c r="L1" s="1"/>
      <c r="M1" s="1"/>
      <c r="N1" s="1"/>
      <c r="O1" s="26"/>
      <c r="P1" s="27"/>
    </row>
    <row r="2" spans="1:16" ht="15" customHeight="1" x14ac:dyDescent="0.25">
      <c r="A2" s="1" t="s">
        <v>105</v>
      </c>
      <c r="B2" s="1"/>
      <c r="C2" s="1"/>
      <c r="D2" s="1"/>
      <c r="E2" s="1"/>
      <c r="F2" s="1"/>
      <c r="G2" s="26"/>
      <c r="I2" s="1" t="str">
        <f>A2</f>
        <v>2024 Gas General Rate Case (Dockets UE-240004 &amp; 240005)</v>
      </c>
      <c r="J2" s="1"/>
      <c r="K2" s="1"/>
      <c r="L2" s="1"/>
      <c r="M2" s="1"/>
      <c r="N2" s="1"/>
      <c r="O2" s="26"/>
      <c r="P2" s="27"/>
    </row>
    <row r="3" spans="1:16" ht="15" customHeight="1" x14ac:dyDescent="0.25">
      <c r="A3" s="1" t="s">
        <v>1</v>
      </c>
      <c r="B3" s="1"/>
      <c r="C3" s="1"/>
      <c r="D3" s="1"/>
      <c r="E3" s="1"/>
      <c r="F3" s="1"/>
      <c r="G3" s="26"/>
      <c r="I3" s="1" t="str">
        <f>A3</f>
        <v>Gas Decoupling Mechanism (Schedule 142)</v>
      </c>
      <c r="J3" s="1"/>
      <c r="K3" s="1"/>
      <c r="L3" s="1"/>
      <c r="M3" s="1"/>
      <c r="N3" s="1"/>
      <c r="O3" s="26"/>
      <c r="P3" s="27"/>
    </row>
    <row r="4" spans="1:16" ht="15" customHeight="1" x14ac:dyDescent="0.25">
      <c r="A4" s="1" t="s">
        <v>48</v>
      </c>
      <c r="B4" s="1"/>
      <c r="C4" s="1"/>
      <c r="D4" s="1"/>
      <c r="E4" s="1"/>
      <c r="F4" s="1"/>
      <c r="G4" s="26"/>
      <c r="H4" s="28"/>
      <c r="I4" s="1" t="str">
        <f>A4</f>
        <v>Summary of Delivery Revenue Per Unit Rates ($/therm)</v>
      </c>
      <c r="J4" s="1"/>
      <c r="K4" s="1"/>
      <c r="L4" s="1"/>
      <c r="M4" s="1"/>
      <c r="N4" s="1"/>
      <c r="O4" s="26"/>
      <c r="P4" s="29"/>
    </row>
    <row r="5" spans="1:16" ht="15" customHeight="1" x14ac:dyDescent="0.25">
      <c r="A5" s="1" t="str">
        <f>'Exh. JDT-13 (Delivery Rev)'!A5:O5</f>
        <v>Proposed Effective January 2025</v>
      </c>
      <c r="B5" s="1"/>
      <c r="C5" s="1"/>
      <c r="D5" s="1"/>
      <c r="E5" s="1"/>
      <c r="F5" s="1"/>
      <c r="G5" s="26"/>
      <c r="H5" s="28"/>
      <c r="I5" s="1" t="str">
        <f>'Exh. JDT-13 (Delivery Rev)'!A26</f>
        <v>Proposed Effective January 2026</v>
      </c>
      <c r="J5" s="1"/>
      <c r="K5" s="1"/>
      <c r="L5" s="1"/>
      <c r="M5" s="1"/>
      <c r="N5" s="1"/>
      <c r="O5" s="26"/>
      <c r="P5" s="29"/>
    </row>
    <row r="6" spans="1:16" ht="15" customHeight="1" x14ac:dyDescent="0.25">
      <c r="A6" s="4"/>
      <c r="B6" s="4"/>
      <c r="C6" s="4"/>
      <c r="D6" s="4"/>
      <c r="E6" s="4"/>
      <c r="F6" s="4"/>
      <c r="G6" s="30"/>
      <c r="H6" s="28"/>
      <c r="I6" s="4"/>
      <c r="J6" s="4"/>
      <c r="K6" s="4"/>
      <c r="L6" s="4"/>
      <c r="M6" s="4"/>
      <c r="N6" s="4"/>
      <c r="O6" s="30"/>
      <c r="P6" s="29"/>
    </row>
    <row r="7" spans="1:16" ht="11.25" x14ac:dyDescent="0.2">
      <c r="B7" s="31"/>
      <c r="C7" s="31"/>
      <c r="D7" s="31"/>
      <c r="E7" s="31"/>
      <c r="F7" s="32" t="s">
        <v>49</v>
      </c>
      <c r="G7" s="4"/>
      <c r="H7" s="28"/>
      <c r="J7" s="31"/>
      <c r="K7" s="31"/>
      <c r="L7" s="31"/>
      <c r="M7" s="31"/>
      <c r="N7" s="32" t="s">
        <v>49</v>
      </c>
      <c r="O7" s="4"/>
      <c r="P7" s="29"/>
    </row>
    <row r="8" spans="1:16" s="28" customFormat="1" ht="15" customHeight="1" x14ac:dyDescent="0.2">
      <c r="A8" s="4" t="s">
        <v>4</v>
      </c>
      <c r="C8" s="33"/>
      <c r="D8" s="33"/>
      <c r="E8" s="33"/>
      <c r="F8" s="33" t="s">
        <v>50</v>
      </c>
      <c r="G8" s="4"/>
      <c r="I8" s="4" t="s">
        <v>4</v>
      </c>
      <c r="K8" s="33"/>
      <c r="L8" s="33"/>
      <c r="M8" s="33"/>
      <c r="N8" s="33" t="s">
        <v>50</v>
      </c>
      <c r="O8" s="4"/>
      <c r="P8" s="29"/>
    </row>
    <row r="9" spans="1:16" s="28" customFormat="1" ht="15" customHeight="1" x14ac:dyDescent="0.2">
      <c r="A9" s="34" t="s">
        <v>6</v>
      </c>
      <c r="B9" s="35"/>
      <c r="C9" s="33"/>
      <c r="D9" s="33" t="s">
        <v>51</v>
      </c>
      <c r="E9" s="33" t="s">
        <v>7</v>
      </c>
      <c r="F9" s="33" t="s">
        <v>52</v>
      </c>
      <c r="G9" s="4" t="s">
        <v>53</v>
      </c>
      <c r="I9" s="34" t="s">
        <v>6</v>
      </c>
      <c r="J9" s="35"/>
      <c r="K9" s="33"/>
      <c r="L9" s="33" t="s">
        <v>51</v>
      </c>
      <c r="M9" s="33" t="s">
        <v>7</v>
      </c>
      <c r="N9" s="33" t="s">
        <v>52</v>
      </c>
      <c r="O9" s="4" t="s">
        <v>53</v>
      </c>
      <c r="P9" s="29"/>
    </row>
    <row r="10" spans="1:16" ht="15" customHeight="1" x14ac:dyDescent="0.2">
      <c r="A10" s="36"/>
      <c r="B10" s="37"/>
      <c r="C10" s="38" t="s">
        <v>19</v>
      </c>
      <c r="D10" s="38" t="s">
        <v>20</v>
      </c>
      <c r="E10" s="38" t="s">
        <v>41</v>
      </c>
      <c r="F10" s="38" t="s">
        <v>42</v>
      </c>
      <c r="G10" s="38" t="s">
        <v>43</v>
      </c>
      <c r="H10" s="37"/>
      <c r="I10" s="36"/>
      <c r="J10" s="37"/>
      <c r="K10" s="38" t="s">
        <v>19</v>
      </c>
      <c r="L10" s="38" t="s">
        <v>20</v>
      </c>
      <c r="M10" s="38" t="s">
        <v>41</v>
      </c>
      <c r="N10" s="38" t="s">
        <v>42</v>
      </c>
      <c r="O10" s="38" t="s">
        <v>43</v>
      </c>
      <c r="P10" s="27"/>
    </row>
    <row r="11" spans="1:16" ht="12.75" customHeight="1" x14ac:dyDescent="0.2">
      <c r="A11" s="5">
        <v>1</v>
      </c>
      <c r="B11" s="39" t="s">
        <v>54</v>
      </c>
      <c r="C11" s="2"/>
      <c r="D11" s="40"/>
      <c r="E11" s="40"/>
      <c r="F11" s="23"/>
      <c r="I11" s="5">
        <v>1</v>
      </c>
      <c r="J11" s="39" t="str">
        <f>B11</f>
        <v>Schedule 23 Residential</v>
      </c>
      <c r="K11" s="2"/>
      <c r="L11" s="40"/>
      <c r="M11" s="40"/>
      <c r="N11" s="23"/>
      <c r="P11" s="27"/>
    </row>
    <row r="12" spans="1:16" ht="12.75" customHeight="1" x14ac:dyDescent="0.2">
      <c r="A12" s="5">
        <f>A11+1</f>
        <v>2</v>
      </c>
      <c r="C12" s="19" t="s">
        <v>55</v>
      </c>
      <c r="D12" s="19" t="s">
        <v>56</v>
      </c>
      <c r="E12" s="5" t="s">
        <v>106</v>
      </c>
      <c r="F12" s="41">
        <v>0.70182999999999995</v>
      </c>
      <c r="G12" s="2" t="s">
        <v>57</v>
      </c>
      <c r="I12" s="5">
        <f>I11+1</f>
        <v>2</v>
      </c>
      <c r="K12" s="19" t="s">
        <v>55</v>
      </c>
      <c r="L12" s="19" t="s">
        <v>56</v>
      </c>
      <c r="M12" s="5" t="str">
        <f>E12</f>
        <v>Exhibit JDT-11, GAS RATE SPREAD DESIGN</v>
      </c>
      <c r="N12" s="41">
        <v>0.68228999999999995</v>
      </c>
      <c r="O12" s="2" t="str">
        <f>G12</f>
        <v>Sheet No. 1142-A</v>
      </c>
      <c r="P12" s="27"/>
    </row>
    <row r="13" spans="1:16" ht="12.75" customHeight="1" x14ac:dyDescent="0.2">
      <c r="A13" s="5">
        <f t="shared" ref="A13:A55" si="0">A12+1</f>
        <v>3</v>
      </c>
      <c r="C13" s="2"/>
      <c r="F13" s="41"/>
      <c r="I13" s="5">
        <f t="shared" ref="I13:I55" si="1">I12+1</f>
        <v>3</v>
      </c>
      <c r="K13" s="2"/>
      <c r="N13" s="41"/>
      <c r="P13" s="27"/>
    </row>
    <row r="14" spans="1:16" ht="12.75" customHeight="1" x14ac:dyDescent="0.2">
      <c r="A14" s="5">
        <f t="shared" si="0"/>
        <v>4</v>
      </c>
      <c r="B14" s="39" t="s">
        <v>58</v>
      </c>
      <c r="C14" s="2"/>
      <c r="F14" s="41"/>
      <c r="I14" s="5">
        <f t="shared" si="1"/>
        <v>4</v>
      </c>
      <c r="J14" s="39" t="str">
        <f>B14</f>
        <v>Schedule 53 Residential Propane</v>
      </c>
      <c r="K14" s="2"/>
      <c r="N14" s="41"/>
      <c r="P14" s="27"/>
    </row>
    <row r="15" spans="1:16" ht="12.75" customHeight="1" x14ac:dyDescent="0.2">
      <c r="A15" s="5">
        <f t="shared" si="0"/>
        <v>5</v>
      </c>
      <c r="C15" s="19" t="s">
        <v>55</v>
      </c>
      <c r="D15" s="19" t="s">
        <v>56</v>
      </c>
      <c r="E15" s="5" t="str">
        <f>E12</f>
        <v>Exhibit JDT-11, GAS RATE SPREAD DESIGN</v>
      </c>
      <c r="F15" s="41">
        <v>0.70182999999999995</v>
      </c>
      <c r="G15" s="2" t="s">
        <v>57</v>
      </c>
      <c r="I15" s="5">
        <f t="shared" si="1"/>
        <v>5</v>
      </c>
      <c r="K15" s="19" t="s">
        <v>55</v>
      </c>
      <c r="L15" s="19" t="s">
        <v>56</v>
      </c>
      <c r="M15" s="5" t="str">
        <f>M12</f>
        <v>Exhibit JDT-11, GAS RATE SPREAD DESIGN</v>
      </c>
      <c r="N15" s="41">
        <v>0.68228999999999995</v>
      </c>
      <c r="O15" s="2" t="str">
        <f>G15</f>
        <v>Sheet No. 1142-A</v>
      </c>
      <c r="P15" s="27"/>
    </row>
    <row r="16" spans="1:16" ht="12.75" customHeight="1" x14ac:dyDescent="0.2">
      <c r="A16" s="5">
        <f t="shared" si="0"/>
        <v>6</v>
      </c>
      <c r="C16" s="2"/>
      <c r="D16" s="40"/>
      <c r="E16" s="40"/>
      <c r="F16" s="41"/>
      <c r="I16" s="5">
        <f t="shared" si="1"/>
        <v>6</v>
      </c>
      <c r="K16" s="2"/>
      <c r="L16" s="40"/>
      <c r="M16" s="40"/>
      <c r="N16" s="41"/>
      <c r="P16" s="27"/>
    </row>
    <row r="17" spans="1:16" ht="12.75" customHeight="1" x14ac:dyDescent="0.2">
      <c r="A17" s="5">
        <f t="shared" si="0"/>
        <v>7</v>
      </c>
      <c r="B17" s="39" t="s">
        <v>59</v>
      </c>
      <c r="C17" s="2"/>
      <c r="D17" s="42"/>
      <c r="E17" s="42"/>
      <c r="F17" s="41"/>
      <c r="I17" s="5">
        <f t="shared" si="1"/>
        <v>7</v>
      </c>
      <c r="J17" s="39" t="str">
        <f>B17</f>
        <v>Schedule 31 Commercial &amp; Industrial - Sales</v>
      </c>
      <c r="K17" s="2"/>
      <c r="L17" s="42"/>
      <c r="M17" s="42"/>
      <c r="N17" s="41"/>
      <c r="P17" s="27"/>
    </row>
    <row r="18" spans="1:16" ht="12.75" customHeight="1" x14ac:dyDescent="0.2">
      <c r="A18" s="5">
        <f t="shared" si="0"/>
        <v>8</v>
      </c>
      <c r="C18" s="19" t="s">
        <v>55</v>
      </c>
      <c r="D18" s="19" t="s">
        <v>56</v>
      </c>
      <c r="E18" s="5" t="str">
        <f>E15</f>
        <v>Exhibit JDT-11, GAS RATE SPREAD DESIGN</v>
      </c>
      <c r="F18" s="41">
        <v>0.69381000000000004</v>
      </c>
      <c r="G18" s="2" t="s">
        <v>57</v>
      </c>
      <c r="I18" s="5">
        <f t="shared" si="1"/>
        <v>8</v>
      </c>
      <c r="K18" s="19" t="s">
        <v>55</v>
      </c>
      <c r="L18" s="19" t="s">
        <v>56</v>
      </c>
      <c r="M18" s="5" t="str">
        <f>M15</f>
        <v>Exhibit JDT-11, GAS RATE SPREAD DESIGN</v>
      </c>
      <c r="N18" s="41">
        <v>0.68184999999999996</v>
      </c>
      <c r="O18" s="2" t="str">
        <f>G18</f>
        <v>Sheet No. 1142-A</v>
      </c>
      <c r="P18" s="27"/>
    </row>
    <row r="19" spans="1:16" ht="12.75" customHeight="1" x14ac:dyDescent="0.2">
      <c r="A19" s="5">
        <f t="shared" si="0"/>
        <v>9</v>
      </c>
      <c r="F19" s="41"/>
      <c r="I19" s="5">
        <f t="shared" si="1"/>
        <v>9</v>
      </c>
      <c r="N19" s="41"/>
      <c r="P19" s="27"/>
    </row>
    <row r="20" spans="1:16" ht="12.75" customHeight="1" x14ac:dyDescent="0.2">
      <c r="A20" s="5">
        <f t="shared" si="0"/>
        <v>10</v>
      </c>
      <c r="C20" s="19" t="s">
        <v>60</v>
      </c>
      <c r="D20" s="19" t="s">
        <v>56</v>
      </c>
      <c r="E20" s="5" t="str">
        <f>E18</f>
        <v>Exhibit JDT-11, GAS RATE SPREAD DESIGN</v>
      </c>
      <c r="F20" s="41">
        <v>1.8610000000000002E-2</v>
      </c>
      <c r="G20" s="2" t="s">
        <v>57</v>
      </c>
      <c r="I20" s="5">
        <f t="shared" si="1"/>
        <v>10</v>
      </c>
      <c r="K20" s="19" t="s">
        <v>60</v>
      </c>
      <c r="L20" s="19" t="s">
        <v>56</v>
      </c>
      <c r="M20" s="5" t="str">
        <f>M18</f>
        <v>Exhibit JDT-11, GAS RATE SPREAD DESIGN</v>
      </c>
      <c r="N20" s="41">
        <v>1.8610000000000002E-2</v>
      </c>
      <c r="O20" s="2" t="str">
        <f>G20</f>
        <v>Sheet No. 1142-A</v>
      </c>
      <c r="P20" s="27"/>
    </row>
    <row r="21" spans="1:16" ht="12.75" customHeight="1" x14ac:dyDescent="0.2">
      <c r="A21" s="5">
        <f t="shared" si="0"/>
        <v>11</v>
      </c>
      <c r="F21" s="41"/>
      <c r="I21" s="5">
        <f t="shared" si="1"/>
        <v>11</v>
      </c>
      <c r="N21" s="41"/>
      <c r="P21" s="27"/>
    </row>
    <row r="22" spans="1:16" ht="12.75" customHeight="1" x14ac:dyDescent="0.2">
      <c r="A22" s="5">
        <f t="shared" si="0"/>
        <v>12</v>
      </c>
      <c r="B22" s="39" t="s">
        <v>61</v>
      </c>
      <c r="C22" s="2"/>
      <c r="D22" s="42"/>
      <c r="E22" s="42"/>
      <c r="F22" s="41"/>
      <c r="I22" s="5">
        <f t="shared" si="1"/>
        <v>12</v>
      </c>
      <c r="J22" s="39" t="str">
        <f>B22</f>
        <v>Schedule 31 Commercial &amp; Industrial - Transportation</v>
      </c>
      <c r="K22" s="2"/>
      <c r="L22" s="42"/>
      <c r="M22" s="42"/>
      <c r="N22" s="41"/>
      <c r="P22" s="27"/>
    </row>
    <row r="23" spans="1:16" ht="12.75" customHeight="1" x14ac:dyDescent="0.2">
      <c r="A23" s="5">
        <f t="shared" si="0"/>
        <v>13</v>
      </c>
      <c r="B23" s="19"/>
      <c r="C23" s="19" t="s">
        <v>55</v>
      </c>
      <c r="D23" s="19" t="s">
        <v>56</v>
      </c>
      <c r="E23" s="5" t="str">
        <f>E20</f>
        <v>Exhibit JDT-11, GAS RATE SPREAD DESIGN</v>
      </c>
      <c r="F23" s="41">
        <v>0.69381000000000004</v>
      </c>
      <c r="G23" s="2" t="s">
        <v>57</v>
      </c>
      <c r="I23" s="5">
        <f t="shared" si="1"/>
        <v>13</v>
      </c>
      <c r="J23" s="19"/>
      <c r="K23" s="19" t="s">
        <v>55</v>
      </c>
      <c r="L23" s="19" t="s">
        <v>56</v>
      </c>
      <c r="M23" s="5" t="str">
        <f>M20</f>
        <v>Exhibit JDT-11, GAS RATE SPREAD DESIGN</v>
      </c>
      <c r="N23" s="41">
        <v>0.68184999999999996</v>
      </c>
      <c r="O23" s="2" t="str">
        <f>G23</f>
        <v>Sheet No. 1142-A</v>
      </c>
      <c r="P23" s="27"/>
    </row>
    <row r="24" spans="1:16" ht="12.75" customHeight="1" x14ac:dyDescent="0.2">
      <c r="A24" s="5">
        <f t="shared" si="0"/>
        <v>14</v>
      </c>
      <c r="B24" s="19"/>
      <c r="F24" s="41"/>
      <c r="I24" s="5">
        <f t="shared" si="1"/>
        <v>14</v>
      </c>
      <c r="J24" s="19"/>
      <c r="N24" s="41"/>
      <c r="P24" s="27"/>
    </row>
    <row r="25" spans="1:16" ht="12.75" customHeight="1" x14ac:dyDescent="0.2">
      <c r="A25" s="5">
        <f t="shared" si="0"/>
        <v>15</v>
      </c>
      <c r="B25" s="39" t="s">
        <v>62</v>
      </c>
      <c r="C25" s="2"/>
      <c r="D25" s="42"/>
      <c r="E25" s="42"/>
      <c r="F25" s="41"/>
      <c r="I25" s="5">
        <f t="shared" si="1"/>
        <v>15</v>
      </c>
      <c r="J25" s="39" t="str">
        <f>B25</f>
        <v>Schedule 41 Large Volume High Load Factor - Sales</v>
      </c>
      <c r="K25" s="2"/>
      <c r="L25" s="42"/>
      <c r="M25" s="42"/>
      <c r="N25" s="41"/>
      <c r="P25" s="27"/>
    </row>
    <row r="26" spans="1:16" ht="12.75" customHeight="1" x14ac:dyDescent="0.2">
      <c r="A26" s="5">
        <f t="shared" si="0"/>
        <v>16</v>
      </c>
      <c r="C26" s="19" t="s">
        <v>63</v>
      </c>
      <c r="D26" s="19" t="s">
        <v>56</v>
      </c>
      <c r="E26" s="5" t="str">
        <f>E23</f>
        <v>Exhibit JDT-11, GAS RATE SPREAD DESIGN</v>
      </c>
      <c r="F26" s="43">
        <v>1.62</v>
      </c>
      <c r="G26" s="2" t="s">
        <v>64</v>
      </c>
      <c r="I26" s="5">
        <f t="shared" si="1"/>
        <v>16</v>
      </c>
      <c r="K26" s="19" t="s">
        <v>63</v>
      </c>
      <c r="L26" s="19" t="s">
        <v>56</v>
      </c>
      <c r="M26" s="5" t="str">
        <f>M23</f>
        <v>Exhibit JDT-11, GAS RATE SPREAD DESIGN</v>
      </c>
      <c r="N26" s="44">
        <v>1.91</v>
      </c>
      <c r="O26" s="2" t="str">
        <f>G26</f>
        <v>Sheet No. 1142-B</v>
      </c>
      <c r="P26" s="27"/>
    </row>
    <row r="27" spans="1:16" ht="12.75" customHeight="1" x14ac:dyDescent="0.2">
      <c r="A27" s="5">
        <f t="shared" si="0"/>
        <v>17</v>
      </c>
      <c r="F27" s="41"/>
      <c r="I27" s="5">
        <f t="shared" si="1"/>
        <v>17</v>
      </c>
      <c r="N27" s="41"/>
      <c r="P27" s="27"/>
    </row>
    <row r="28" spans="1:16" ht="12.75" customHeight="1" x14ac:dyDescent="0.2">
      <c r="A28" s="5">
        <f t="shared" si="0"/>
        <v>18</v>
      </c>
      <c r="C28" s="19" t="s">
        <v>65</v>
      </c>
      <c r="F28" s="41"/>
      <c r="I28" s="5">
        <f t="shared" si="1"/>
        <v>18</v>
      </c>
      <c r="K28" s="19" t="s">
        <v>65</v>
      </c>
      <c r="N28" s="41"/>
      <c r="P28" s="27"/>
    </row>
    <row r="29" spans="1:16" ht="12.75" customHeight="1" x14ac:dyDescent="0.2">
      <c r="A29" s="5">
        <f t="shared" si="0"/>
        <v>19</v>
      </c>
      <c r="C29" s="19" t="s">
        <v>66</v>
      </c>
      <c r="D29" s="19" t="s">
        <v>56</v>
      </c>
      <c r="E29" s="5" t="str">
        <f>E26</f>
        <v>Exhibit JDT-11, GAS RATE SPREAD DESIGN</v>
      </c>
      <c r="F29" s="41">
        <v>0.25736999999999999</v>
      </c>
      <c r="G29" s="2" t="s">
        <v>64</v>
      </c>
      <c r="I29" s="5">
        <f t="shared" si="1"/>
        <v>19</v>
      </c>
      <c r="K29" s="19" t="s">
        <v>66</v>
      </c>
      <c r="L29" s="19" t="s">
        <v>56</v>
      </c>
      <c r="M29" s="5" t="str">
        <f>M26</f>
        <v>Exhibit JDT-11, GAS RATE SPREAD DESIGN</v>
      </c>
      <c r="N29" s="41">
        <v>0.24177999999999999</v>
      </c>
      <c r="O29" s="2" t="str">
        <f>G29</f>
        <v>Sheet No. 1142-B</v>
      </c>
      <c r="P29" s="27"/>
    </row>
    <row r="30" spans="1:16" ht="12.75" customHeight="1" x14ac:dyDescent="0.2">
      <c r="A30" s="5">
        <f t="shared" si="0"/>
        <v>20</v>
      </c>
      <c r="C30" s="19" t="s">
        <v>67</v>
      </c>
      <c r="D30" s="19" t="s">
        <v>56</v>
      </c>
      <c r="E30" s="5" t="str">
        <f>E29</f>
        <v>Exhibit JDT-11, GAS RATE SPREAD DESIGN</v>
      </c>
      <c r="F30" s="41">
        <v>0.22252</v>
      </c>
      <c r="G30" s="2" t="s">
        <v>64</v>
      </c>
      <c r="I30" s="5">
        <f t="shared" si="1"/>
        <v>20</v>
      </c>
      <c r="K30" s="19" t="s">
        <v>67</v>
      </c>
      <c r="L30" s="19" t="s">
        <v>56</v>
      </c>
      <c r="M30" s="5" t="str">
        <f>M29</f>
        <v>Exhibit JDT-11, GAS RATE SPREAD DESIGN</v>
      </c>
      <c r="N30" s="41">
        <v>0.20904</v>
      </c>
      <c r="O30" s="2" t="str">
        <f>G30</f>
        <v>Sheet No. 1142-B</v>
      </c>
      <c r="P30" s="27"/>
    </row>
    <row r="31" spans="1:16" ht="12.75" customHeight="1" x14ac:dyDescent="0.2">
      <c r="A31" s="5">
        <f t="shared" si="0"/>
        <v>21</v>
      </c>
      <c r="F31" s="41"/>
      <c r="I31" s="5">
        <f t="shared" si="1"/>
        <v>21</v>
      </c>
      <c r="N31" s="41"/>
      <c r="P31" s="27"/>
    </row>
    <row r="32" spans="1:16" ht="12.75" customHeight="1" x14ac:dyDescent="0.2">
      <c r="A32" s="5">
        <f t="shared" si="0"/>
        <v>22</v>
      </c>
      <c r="C32" s="19" t="s">
        <v>60</v>
      </c>
      <c r="D32" s="19" t="s">
        <v>56</v>
      </c>
      <c r="E32" s="5" t="str">
        <f>E30</f>
        <v>Exhibit JDT-11, GAS RATE SPREAD DESIGN</v>
      </c>
      <c r="F32" s="41">
        <v>1.5089999999999999E-2</v>
      </c>
      <c r="G32" s="2" t="s">
        <v>64</v>
      </c>
      <c r="I32" s="5">
        <f t="shared" si="1"/>
        <v>22</v>
      </c>
      <c r="K32" s="19" t="s">
        <v>60</v>
      </c>
      <c r="L32" s="19" t="s">
        <v>56</v>
      </c>
      <c r="M32" s="5" t="str">
        <f>M30</f>
        <v>Exhibit JDT-11, GAS RATE SPREAD DESIGN</v>
      </c>
      <c r="N32" s="41">
        <v>1.5089999999999999E-2</v>
      </c>
      <c r="O32" s="2" t="str">
        <f>G32</f>
        <v>Sheet No. 1142-B</v>
      </c>
      <c r="P32" s="27"/>
    </row>
    <row r="33" spans="1:16" ht="12.75" customHeight="1" x14ac:dyDescent="0.2">
      <c r="A33" s="5">
        <f t="shared" si="0"/>
        <v>23</v>
      </c>
      <c r="C33" s="42"/>
      <c r="D33" s="42"/>
      <c r="E33" s="42"/>
      <c r="F33" s="41"/>
      <c r="I33" s="5">
        <f t="shared" si="1"/>
        <v>23</v>
      </c>
      <c r="K33" s="42"/>
      <c r="L33" s="42"/>
      <c r="M33" s="42"/>
      <c r="N33" s="41"/>
      <c r="P33" s="27"/>
    </row>
    <row r="34" spans="1:16" ht="12.75" customHeight="1" x14ac:dyDescent="0.2">
      <c r="A34" s="5">
        <f t="shared" si="0"/>
        <v>24</v>
      </c>
      <c r="B34" s="39" t="s">
        <v>68</v>
      </c>
      <c r="C34" s="2"/>
      <c r="D34" s="42"/>
      <c r="E34" s="42"/>
      <c r="F34" s="41"/>
      <c r="I34" s="5">
        <f t="shared" si="1"/>
        <v>24</v>
      </c>
      <c r="J34" s="39" t="str">
        <f>B34</f>
        <v>Schedule 41 Large Volume High Load Factor - Transportation</v>
      </c>
      <c r="K34" s="2"/>
      <c r="L34" s="42"/>
      <c r="M34" s="42"/>
      <c r="N34" s="41"/>
      <c r="P34" s="27"/>
    </row>
    <row r="35" spans="1:16" ht="12.75" customHeight="1" x14ac:dyDescent="0.2">
      <c r="A35" s="5">
        <f t="shared" si="0"/>
        <v>25</v>
      </c>
      <c r="B35" s="19"/>
      <c r="C35" s="19" t="s">
        <v>63</v>
      </c>
      <c r="D35" s="19" t="s">
        <v>56</v>
      </c>
      <c r="E35" s="5" t="str">
        <f>E32</f>
        <v>Exhibit JDT-11, GAS RATE SPREAD DESIGN</v>
      </c>
      <c r="F35" s="44">
        <v>1.62</v>
      </c>
      <c r="G35" s="2" t="s">
        <v>64</v>
      </c>
      <c r="I35" s="5">
        <f t="shared" si="1"/>
        <v>25</v>
      </c>
      <c r="J35" s="19"/>
      <c r="K35" s="19" t="s">
        <v>63</v>
      </c>
      <c r="L35" s="19" t="s">
        <v>56</v>
      </c>
      <c r="M35" s="5" t="str">
        <f>M32</f>
        <v>Exhibit JDT-11, GAS RATE SPREAD DESIGN</v>
      </c>
      <c r="N35" s="44">
        <v>1.91</v>
      </c>
      <c r="O35" s="2" t="str">
        <f>G35</f>
        <v>Sheet No. 1142-B</v>
      </c>
      <c r="P35" s="27"/>
    </row>
    <row r="36" spans="1:16" ht="12.75" customHeight="1" x14ac:dyDescent="0.2">
      <c r="A36" s="5">
        <f t="shared" si="0"/>
        <v>26</v>
      </c>
      <c r="B36" s="19"/>
      <c r="F36" s="41"/>
      <c r="I36" s="5">
        <f t="shared" si="1"/>
        <v>26</v>
      </c>
      <c r="J36" s="19"/>
      <c r="N36" s="41"/>
      <c r="P36" s="27"/>
    </row>
    <row r="37" spans="1:16" ht="12.75" customHeight="1" x14ac:dyDescent="0.2">
      <c r="A37" s="5">
        <f t="shared" si="0"/>
        <v>27</v>
      </c>
      <c r="B37" s="19"/>
      <c r="C37" s="19" t="s">
        <v>65</v>
      </c>
      <c r="F37" s="41"/>
      <c r="I37" s="5">
        <f t="shared" si="1"/>
        <v>27</v>
      </c>
      <c r="J37" s="19"/>
      <c r="K37" s="19" t="s">
        <v>65</v>
      </c>
      <c r="N37" s="41"/>
      <c r="P37" s="27"/>
    </row>
    <row r="38" spans="1:16" ht="12.75" customHeight="1" x14ac:dyDescent="0.2">
      <c r="A38" s="5">
        <f t="shared" si="0"/>
        <v>28</v>
      </c>
      <c r="B38" s="19"/>
      <c r="C38" s="19" t="s">
        <v>66</v>
      </c>
      <c r="D38" s="19" t="s">
        <v>56</v>
      </c>
      <c r="E38" s="5" t="str">
        <f>E35</f>
        <v>Exhibit JDT-11, GAS RATE SPREAD DESIGN</v>
      </c>
      <c r="F38" s="41">
        <v>0.25736999999999999</v>
      </c>
      <c r="G38" s="2" t="s">
        <v>64</v>
      </c>
      <c r="I38" s="5">
        <f t="shared" si="1"/>
        <v>28</v>
      </c>
      <c r="J38" s="19"/>
      <c r="K38" s="19" t="s">
        <v>66</v>
      </c>
      <c r="L38" s="19" t="s">
        <v>56</v>
      </c>
      <c r="M38" s="5" t="str">
        <f>M35</f>
        <v>Exhibit JDT-11, GAS RATE SPREAD DESIGN</v>
      </c>
      <c r="N38" s="41">
        <v>0.24177999999999999</v>
      </c>
      <c r="O38" s="2" t="str">
        <f>G38</f>
        <v>Sheet No. 1142-B</v>
      </c>
      <c r="P38" s="27"/>
    </row>
    <row r="39" spans="1:16" ht="12.75" customHeight="1" x14ac:dyDescent="0.2">
      <c r="A39" s="5">
        <f t="shared" si="0"/>
        <v>29</v>
      </c>
      <c r="B39" s="19"/>
      <c r="C39" s="19" t="s">
        <v>67</v>
      </c>
      <c r="D39" s="19" t="s">
        <v>56</v>
      </c>
      <c r="E39" s="5" t="str">
        <f>E38</f>
        <v>Exhibit JDT-11, GAS RATE SPREAD DESIGN</v>
      </c>
      <c r="F39" s="41">
        <v>0.22252</v>
      </c>
      <c r="G39" s="2" t="s">
        <v>64</v>
      </c>
      <c r="I39" s="5">
        <f t="shared" si="1"/>
        <v>29</v>
      </c>
      <c r="J39" s="19"/>
      <c r="K39" s="19" t="s">
        <v>67</v>
      </c>
      <c r="L39" s="19" t="s">
        <v>56</v>
      </c>
      <c r="M39" s="5" t="str">
        <f>M38</f>
        <v>Exhibit JDT-11, GAS RATE SPREAD DESIGN</v>
      </c>
      <c r="N39" s="41">
        <v>0.20904</v>
      </c>
      <c r="O39" s="2" t="str">
        <f>G39</f>
        <v>Sheet No. 1142-B</v>
      </c>
      <c r="P39" s="27"/>
    </row>
    <row r="40" spans="1:16" ht="12.75" customHeight="1" x14ac:dyDescent="0.2">
      <c r="A40" s="5">
        <f t="shared" si="0"/>
        <v>30</v>
      </c>
      <c r="B40" s="19"/>
      <c r="F40" s="41"/>
      <c r="I40" s="5">
        <f t="shared" si="1"/>
        <v>30</v>
      </c>
      <c r="J40" s="19"/>
      <c r="N40" s="41"/>
      <c r="P40" s="27"/>
    </row>
    <row r="41" spans="1:16" ht="12.75" customHeight="1" x14ac:dyDescent="0.2">
      <c r="A41" s="5">
        <f t="shared" si="0"/>
        <v>31</v>
      </c>
      <c r="B41" s="39" t="s">
        <v>69</v>
      </c>
      <c r="C41" s="2"/>
      <c r="D41" s="42"/>
      <c r="E41" s="42"/>
      <c r="F41" s="41"/>
      <c r="I41" s="5">
        <f t="shared" si="1"/>
        <v>31</v>
      </c>
      <c r="J41" s="39" t="str">
        <f>B41</f>
        <v>Schedule 86 Limited Interruptible - Sales</v>
      </c>
      <c r="K41" s="2"/>
      <c r="L41" s="42"/>
      <c r="M41" s="42"/>
      <c r="N41" s="41"/>
      <c r="P41" s="27"/>
    </row>
    <row r="42" spans="1:16" ht="12.75" customHeight="1" x14ac:dyDescent="0.2">
      <c r="A42" s="5">
        <f t="shared" si="0"/>
        <v>32</v>
      </c>
      <c r="C42" s="19" t="s">
        <v>63</v>
      </c>
      <c r="D42" s="19" t="s">
        <v>56</v>
      </c>
      <c r="E42" s="5" t="str">
        <f>E39</f>
        <v>Exhibit JDT-11, GAS RATE SPREAD DESIGN</v>
      </c>
      <c r="F42" s="44">
        <v>1.59</v>
      </c>
      <c r="G42" s="2" t="s">
        <v>64</v>
      </c>
      <c r="I42" s="5">
        <f t="shared" si="1"/>
        <v>32</v>
      </c>
      <c r="K42" s="19" t="s">
        <v>63</v>
      </c>
      <c r="L42" s="19" t="s">
        <v>56</v>
      </c>
      <c r="M42" s="5" t="str">
        <f>M39</f>
        <v>Exhibit JDT-11, GAS RATE SPREAD DESIGN</v>
      </c>
      <c r="N42" s="44">
        <v>1.88</v>
      </c>
      <c r="O42" s="2" t="str">
        <f>G42</f>
        <v>Sheet No. 1142-B</v>
      </c>
      <c r="P42" s="27"/>
    </row>
    <row r="43" spans="1:16" ht="12.75" customHeight="1" x14ac:dyDescent="0.2">
      <c r="A43" s="5">
        <f t="shared" si="0"/>
        <v>33</v>
      </c>
      <c r="F43" s="41"/>
      <c r="I43" s="5">
        <f t="shared" si="1"/>
        <v>33</v>
      </c>
      <c r="N43" s="41"/>
      <c r="P43" s="27"/>
    </row>
    <row r="44" spans="1:16" ht="12.75" customHeight="1" x14ac:dyDescent="0.2">
      <c r="A44" s="5">
        <f t="shared" si="0"/>
        <v>34</v>
      </c>
      <c r="C44" s="19" t="s">
        <v>65</v>
      </c>
      <c r="F44" s="41"/>
      <c r="I44" s="5">
        <f t="shared" si="1"/>
        <v>34</v>
      </c>
      <c r="K44" s="19" t="s">
        <v>65</v>
      </c>
      <c r="N44" s="41"/>
      <c r="P44" s="27"/>
    </row>
    <row r="45" spans="1:16" ht="12.75" customHeight="1" x14ac:dyDescent="0.2">
      <c r="A45" s="5">
        <f t="shared" si="0"/>
        <v>35</v>
      </c>
      <c r="C45" s="19" t="s">
        <v>70</v>
      </c>
      <c r="D45" s="19" t="s">
        <v>56</v>
      </c>
      <c r="E45" s="5" t="str">
        <f>E42</f>
        <v>Exhibit JDT-11, GAS RATE SPREAD DESIGN</v>
      </c>
      <c r="F45" s="41">
        <v>0.27066000000000001</v>
      </c>
      <c r="G45" s="2" t="s">
        <v>64</v>
      </c>
      <c r="I45" s="5">
        <f t="shared" si="1"/>
        <v>35</v>
      </c>
      <c r="K45" s="19" t="s">
        <v>70</v>
      </c>
      <c r="L45" s="19" t="s">
        <v>56</v>
      </c>
      <c r="M45" s="5" t="str">
        <f>M42</f>
        <v>Exhibit JDT-11, GAS RATE SPREAD DESIGN</v>
      </c>
      <c r="N45" s="41">
        <v>0.26325999999999999</v>
      </c>
      <c r="O45" s="2" t="str">
        <f>G45</f>
        <v>Sheet No. 1142-B</v>
      </c>
      <c r="P45" s="27"/>
    </row>
    <row r="46" spans="1:16" ht="12.75" customHeight="1" x14ac:dyDescent="0.2">
      <c r="A46" s="5">
        <f t="shared" si="0"/>
        <v>36</v>
      </c>
      <c r="C46" s="19" t="s">
        <v>71</v>
      </c>
      <c r="D46" s="19" t="s">
        <v>56</v>
      </c>
      <c r="E46" s="5" t="str">
        <f>E45</f>
        <v>Exhibit JDT-11, GAS RATE SPREAD DESIGN</v>
      </c>
      <c r="F46" s="41">
        <v>0.19188</v>
      </c>
      <c r="G46" s="2" t="s">
        <v>64</v>
      </c>
      <c r="I46" s="5">
        <f t="shared" si="1"/>
        <v>36</v>
      </c>
      <c r="K46" s="19" t="s">
        <v>71</v>
      </c>
      <c r="L46" s="19" t="s">
        <v>56</v>
      </c>
      <c r="M46" s="5" t="str">
        <f>M45</f>
        <v>Exhibit JDT-11, GAS RATE SPREAD DESIGN</v>
      </c>
      <c r="N46" s="41">
        <v>0.18662999999999999</v>
      </c>
      <c r="O46" s="2" t="str">
        <f>G46</f>
        <v>Sheet No. 1142-B</v>
      </c>
      <c r="P46" s="27"/>
    </row>
    <row r="47" spans="1:16" ht="12.75" customHeight="1" x14ac:dyDescent="0.2">
      <c r="A47" s="5">
        <f t="shared" si="0"/>
        <v>37</v>
      </c>
      <c r="F47" s="41"/>
      <c r="I47" s="5">
        <f t="shared" si="1"/>
        <v>37</v>
      </c>
      <c r="N47" s="41"/>
      <c r="P47" s="27"/>
    </row>
    <row r="48" spans="1:16" ht="12.75" customHeight="1" x14ac:dyDescent="0.2">
      <c r="A48" s="5">
        <f t="shared" si="0"/>
        <v>38</v>
      </c>
      <c r="C48" s="19" t="s">
        <v>60</v>
      </c>
      <c r="D48" s="19" t="s">
        <v>56</v>
      </c>
      <c r="E48" s="5" t="str">
        <f>E46</f>
        <v>Exhibit JDT-11, GAS RATE SPREAD DESIGN</v>
      </c>
      <c r="F48" s="41">
        <v>1.651E-2</v>
      </c>
      <c r="G48" s="2" t="s">
        <v>64</v>
      </c>
      <c r="I48" s="5">
        <f t="shared" si="1"/>
        <v>38</v>
      </c>
      <c r="K48" s="19" t="s">
        <v>60</v>
      </c>
      <c r="L48" s="19" t="s">
        <v>56</v>
      </c>
      <c r="M48" s="5" t="str">
        <f>M46</f>
        <v>Exhibit JDT-11, GAS RATE SPREAD DESIGN</v>
      </c>
      <c r="N48" s="41">
        <v>1.7149999999999999E-2</v>
      </c>
      <c r="O48" s="2" t="str">
        <f>G48</f>
        <v>Sheet No. 1142-B</v>
      </c>
      <c r="P48" s="27"/>
    </row>
    <row r="49" spans="1:16" ht="12.75" customHeight="1" x14ac:dyDescent="0.2">
      <c r="A49" s="5">
        <f t="shared" si="0"/>
        <v>39</v>
      </c>
      <c r="C49" s="42"/>
      <c r="D49" s="42"/>
      <c r="E49" s="42"/>
      <c r="F49" s="41"/>
      <c r="I49" s="5">
        <f t="shared" si="1"/>
        <v>39</v>
      </c>
      <c r="K49" s="42"/>
      <c r="L49" s="42"/>
      <c r="M49" s="42"/>
      <c r="N49" s="41"/>
      <c r="P49" s="27"/>
    </row>
    <row r="50" spans="1:16" ht="12.75" customHeight="1" x14ac:dyDescent="0.2">
      <c r="A50" s="5">
        <f t="shared" si="0"/>
        <v>40</v>
      </c>
      <c r="B50" s="39" t="s">
        <v>72</v>
      </c>
      <c r="C50" s="2"/>
      <c r="D50" s="42"/>
      <c r="E50" s="42"/>
      <c r="F50" s="41"/>
      <c r="I50" s="5">
        <f t="shared" si="1"/>
        <v>40</v>
      </c>
      <c r="J50" s="39" t="str">
        <f>B50</f>
        <v>Schedule 86 Limited Interruptible - Transportation</v>
      </c>
      <c r="K50" s="2"/>
      <c r="L50" s="42"/>
      <c r="M50" s="42"/>
      <c r="N50" s="41"/>
      <c r="P50" s="27"/>
    </row>
    <row r="51" spans="1:16" ht="12.75" customHeight="1" x14ac:dyDescent="0.2">
      <c r="A51" s="5">
        <f t="shared" si="0"/>
        <v>41</v>
      </c>
      <c r="B51" s="19"/>
      <c r="C51" s="19" t="s">
        <v>63</v>
      </c>
      <c r="D51" s="19" t="s">
        <v>56</v>
      </c>
      <c r="E51" s="5" t="str">
        <f>E48</f>
        <v>Exhibit JDT-11, GAS RATE SPREAD DESIGN</v>
      </c>
      <c r="F51" s="44">
        <v>1.59</v>
      </c>
      <c r="G51" s="2" t="s">
        <v>64</v>
      </c>
      <c r="I51" s="5">
        <f t="shared" si="1"/>
        <v>41</v>
      </c>
      <c r="J51" s="19"/>
      <c r="K51" s="19" t="s">
        <v>63</v>
      </c>
      <c r="L51" s="19" t="s">
        <v>56</v>
      </c>
      <c r="M51" s="5" t="str">
        <f>M48</f>
        <v>Exhibit JDT-11, GAS RATE SPREAD DESIGN</v>
      </c>
      <c r="N51" s="44">
        <v>1.88</v>
      </c>
      <c r="O51" s="2" t="str">
        <f>G51</f>
        <v>Sheet No. 1142-B</v>
      </c>
      <c r="P51" s="27"/>
    </row>
    <row r="52" spans="1:16" ht="12.75" customHeight="1" x14ac:dyDescent="0.2">
      <c r="A52" s="5">
        <f t="shared" si="0"/>
        <v>42</v>
      </c>
      <c r="B52" s="19"/>
      <c r="F52" s="41"/>
      <c r="I52" s="5">
        <f t="shared" si="1"/>
        <v>42</v>
      </c>
      <c r="J52" s="19"/>
      <c r="N52" s="41"/>
      <c r="P52" s="27"/>
    </row>
    <row r="53" spans="1:16" ht="12.75" customHeight="1" x14ac:dyDescent="0.2">
      <c r="A53" s="5">
        <f t="shared" si="0"/>
        <v>43</v>
      </c>
      <c r="B53" s="19"/>
      <c r="C53" s="19" t="s">
        <v>65</v>
      </c>
      <c r="F53" s="41"/>
      <c r="I53" s="5">
        <f t="shared" si="1"/>
        <v>43</v>
      </c>
      <c r="J53" s="19"/>
      <c r="K53" s="19" t="s">
        <v>65</v>
      </c>
      <c r="N53" s="41"/>
      <c r="P53" s="27"/>
    </row>
    <row r="54" spans="1:16" ht="12.75" customHeight="1" x14ac:dyDescent="0.2">
      <c r="A54" s="5">
        <f t="shared" si="0"/>
        <v>44</v>
      </c>
      <c r="B54" s="19"/>
      <c r="C54" s="19" t="s">
        <v>70</v>
      </c>
      <c r="D54" s="19" t="s">
        <v>56</v>
      </c>
      <c r="E54" s="5" t="str">
        <f>E51</f>
        <v>Exhibit JDT-11, GAS RATE SPREAD DESIGN</v>
      </c>
      <c r="F54" s="41">
        <v>0.27066000000000001</v>
      </c>
      <c r="G54" s="2" t="s">
        <v>64</v>
      </c>
      <c r="I54" s="5">
        <f t="shared" si="1"/>
        <v>44</v>
      </c>
      <c r="J54" s="19"/>
      <c r="K54" s="19" t="s">
        <v>70</v>
      </c>
      <c r="L54" s="19" t="s">
        <v>56</v>
      </c>
      <c r="M54" s="5" t="str">
        <f>M51</f>
        <v>Exhibit JDT-11, GAS RATE SPREAD DESIGN</v>
      </c>
      <c r="N54" s="41">
        <v>0.26325999999999999</v>
      </c>
      <c r="O54" s="2" t="str">
        <f t="shared" ref="O54:O55" si="2">G54</f>
        <v>Sheet No. 1142-B</v>
      </c>
      <c r="P54" s="27"/>
    </row>
    <row r="55" spans="1:16" ht="12.75" customHeight="1" x14ac:dyDescent="0.2">
      <c r="A55" s="5">
        <f t="shared" si="0"/>
        <v>45</v>
      </c>
      <c r="B55" s="19"/>
      <c r="C55" s="19" t="s">
        <v>71</v>
      </c>
      <c r="D55" s="19" t="s">
        <v>56</v>
      </c>
      <c r="E55" s="5" t="str">
        <f>E54</f>
        <v>Exhibit JDT-11, GAS RATE SPREAD DESIGN</v>
      </c>
      <c r="F55" s="41">
        <v>0.19188</v>
      </c>
      <c r="G55" s="2" t="s">
        <v>64</v>
      </c>
      <c r="I55" s="5">
        <f t="shared" si="1"/>
        <v>45</v>
      </c>
      <c r="J55" s="19"/>
      <c r="K55" s="19" t="s">
        <v>71</v>
      </c>
      <c r="L55" s="19" t="s">
        <v>56</v>
      </c>
      <c r="M55" s="5" t="str">
        <f>M54</f>
        <v>Exhibit JDT-11, GAS RATE SPREAD DESIGN</v>
      </c>
      <c r="N55" s="41">
        <v>0.18662999999999999</v>
      </c>
      <c r="O55" s="2" t="str">
        <f t="shared" si="2"/>
        <v>Sheet No. 1142-B</v>
      </c>
      <c r="P55" s="27"/>
    </row>
    <row r="56" spans="1:16" ht="12.75" customHeight="1" x14ac:dyDescent="0.2">
      <c r="A56" s="5"/>
      <c r="I56" s="5"/>
      <c r="P56" s="27"/>
    </row>
  </sheetData>
  <mergeCells count="10">
    <mergeCell ref="A4:G4"/>
    <mergeCell ref="I4:O4"/>
    <mergeCell ref="A5:G5"/>
    <mergeCell ref="I5:O5"/>
    <mergeCell ref="A1:G1"/>
    <mergeCell ref="I1:O1"/>
    <mergeCell ref="A2:G2"/>
    <mergeCell ref="I2:O2"/>
    <mergeCell ref="A3:G3"/>
    <mergeCell ref="I3:O3"/>
  </mergeCells>
  <printOptions horizontalCentered="1"/>
  <pageMargins left="0.7" right="0.7" top="0.75" bottom="0.75" header="0.3" footer="0.3"/>
  <pageSetup scale="71" fitToWidth="3" orientation="landscape" blackAndWhite="1" r:id="rId1"/>
  <headerFooter>
    <oddFooter>&amp;R&amp;A
 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Normal="100" workbookViewId="0">
      <selection activeCell="H36" sqref="H36"/>
    </sheetView>
  </sheetViews>
  <sheetFormatPr defaultColWidth="9.140625" defaultRowHeight="11.25" x14ac:dyDescent="0.2"/>
  <cols>
    <col min="1" max="1" width="4.85546875" style="2" bestFit="1" customWidth="1"/>
    <col min="2" max="2" width="1.5703125" style="2" customWidth="1"/>
    <col min="3" max="3" width="34.28515625" style="2" customWidth="1"/>
    <col min="4" max="4" width="28.7109375" style="5" bestFit="1" customWidth="1"/>
    <col min="5" max="5" width="14" style="5" customWidth="1"/>
    <col min="6" max="6" width="9.85546875" style="5" bestFit="1" customWidth="1"/>
    <col min="7" max="7" width="9.85546875" style="5" customWidth="1"/>
    <col min="8" max="9" width="9.85546875" style="5" bestFit="1" customWidth="1"/>
    <col min="10" max="16" width="9.85546875" style="2" bestFit="1" customWidth="1"/>
    <col min="17" max="17" width="10.7109375" style="2" bestFit="1" customWidth="1"/>
    <col min="18" max="18" width="9.85546875" style="2" bestFit="1" customWidth="1"/>
    <col min="19" max="19" width="0.85546875" style="2" customWidth="1"/>
    <col min="20" max="20" width="4.85546875" style="2" bestFit="1" customWidth="1"/>
    <col min="21" max="21" width="1.42578125" style="2" customWidth="1"/>
    <col min="22" max="22" width="34.28515625" style="2" customWidth="1"/>
    <col min="23" max="23" width="28.7109375" style="2" bestFit="1" customWidth="1"/>
    <col min="24" max="24" width="13.7109375" style="2" customWidth="1"/>
    <col min="25" max="35" width="9.85546875" style="2" bestFit="1" customWidth="1"/>
    <col min="36" max="36" width="10.7109375" style="2" bestFit="1" customWidth="1"/>
    <col min="37" max="37" width="9.85546875" style="2" bestFit="1" customWidth="1"/>
    <col min="38" max="38" width="0.85546875" style="2" customWidth="1"/>
    <col min="39" max="39" width="9.140625" style="2"/>
    <col min="40" max="16384" width="9.140625" style="21"/>
  </cols>
  <sheetData>
    <row r="1" spans="1:37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s="1" t="str">
        <f>A1</f>
        <v>Puget Sound Energy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 t="str">
        <f t="shared" ref="T2:T4" si="0">A2</f>
        <v>2024 Gas General Rate Case (Dockets UE-240004 &amp; 240005)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 t="str">
        <f t="shared" si="0"/>
        <v>Gas Decoupling Mechanism (Schedule 142)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x14ac:dyDescent="0.2">
      <c r="A4" s="1" t="s">
        <v>73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 t="str">
        <f t="shared" si="0"/>
        <v>Development of Monthly Allowed Delivery Revenue Per Customer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 t="str">
        <f>'Exh. JDT-13 (Delivery Rev)'!A5:O5</f>
        <v>Proposed Effective January 2025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 t="str">
        <f>'Exh. JDT-13 (Delivery Rev)'!A26</f>
        <v>Proposed Effective January 2026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x14ac:dyDescent="0.2">
      <c r="D6" s="5"/>
      <c r="E6" s="5"/>
      <c r="F6" s="5"/>
      <c r="G6" s="5"/>
      <c r="H6" s="5"/>
      <c r="I6" s="5"/>
      <c r="W6" s="5"/>
      <c r="X6" s="5"/>
      <c r="Y6" s="5"/>
      <c r="Z6" s="5"/>
      <c r="AA6" s="5"/>
      <c r="AB6" s="5"/>
    </row>
    <row r="7" spans="1:37" s="2" customFormat="1" ht="22.5" x14ac:dyDescent="0.2">
      <c r="A7" s="45" t="s">
        <v>74</v>
      </c>
      <c r="B7" s="45"/>
      <c r="C7" s="22"/>
      <c r="D7" s="45" t="s">
        <v>7</v>
      </c>
      <c r="E7" s="45" t="s">
        <v>53</v>
      </c>
      <c r="F7" s="46" t="s">
        <v>75</v>
      </c>
      <c r="G7" s="46" t="s">
        <v>76</v>
      </c>
      <c r="H7" s="46" t="s">
        <v>77</v>
      </c>
      <c r="I7" s="46" t="s">
        <v>78</v>
      </c>
      <c r="J7" s="46" t="s">
        <v>79</v>
      </c>
      <c r="K7" s="46" t="s">
        <v>80</v>
      </c>
      <c r="L7" s="46" t="s">
        <v>81</v>
      </c>
      <c r="M7" s="46" t="s">
        <v>82</v>
      </c>
      <c r="N7" s="46" t="s">
        <v>83</v>
      </c>
      <c r="O7" s="46" t="s">
        <v>84</v>
      </c>
      <c r="P7" s="46" t="s">
        <v>85</v>
      </c>
      <c r="Q7" s="46" t="s">
        <v>86</v>
      </c>
      <c r="R7" s="45" t="s">
        <v>87</v>
      </c>
      <c r="T7" s="45" t="s">
        <v>74</v>
      </c>
      <c r="U7" s="45"/>
      <c r="V7" s="22"/>
      <c r="W7" s="45" t="s">
        <v>7</v>
      </c>
      <c r="X7" s="45" t="s">
        <v>53</v>
      </c>
      <c r="Y7" s="46" t="s">
        <v>75</v>
      </c>
      <c r="Z7" s="46" t="s">
        <v>76</v>
      </c>
      <c r="AA7" s="46" t="s">
        <v>77</v>
      </c>
      <c r="AB7" s="46" t="s">
        <v>78</v>
      </c>
      <c r="AC7" s="46" t="s">
        <v>79</v>
      </c>
      <c r="AD7" s="46" t="s">
        <v>80</v>
      </c>
      <c r="AE7" s="46" t="s">
        <v>81</v>
      </c>
      <c r="AF7" s="46" t="s">
        <v>82</v>
      </c>
      <c r="AG7" s="46" t="s">
        <v>83</v>
      </c>
      <c r="AH7" s="46" t="s">
        <v>84</v>
      </c>
      <c r="AI7" s="46" t="s">
        <v>85</v>
      </c>
      <c r="AJ7" s="46" t="s">
        <v>86</v>
      </c>
      <c r="AK7" s="45" t="s">
        <v>87</v>
      </c>
    </row>
    <row r="8" spans="1:37" s="2" customFormat="1" x14ac:dyDescent="0.2">
      <c r="C8" s="5" t="s">
        <v>19</v>
      </c>
      <c r="D8" s="5" t="s">
        <v>20</v>
      </c>
      <c r="E8" s="5" t="s">
        <v>41</v>
      </c>
      <c r="F8" s="5" t="s">
        <v>42</v>
      </c>
      <c r="G8" s="5" t="s">
        <v>43</v>
      </c>
      <c r="H8" s="5" t="s">
        <v>24</v>
      </c>
      <c r="I8" s="5" t="s">
        <v>25</v>
      </c>
      <c r="J8" s="5" t="s">
        <v>26</v>
      </c>
      <c r="K8" s="5" t="s">
        <v>27</v>
      </c>
      <c r="L8" s="5" t="s">
        <v>28</v>
      </c>
      <c r="M8" s="5" t="s">
        <v>29</v>
      </c>
      <c r="N8" s="5" t="s">
        <v>30</v>
      </c>
      <c r="O8" s="5" t="s">
        <v>31</v>
      </c>
      <c r="P8" s="5" t="s">
        <v>88</v>
      </c>
      <c r="Q8" s="5" t="s">
        <v>89</v>
      </c>
      <c r="R8" s="5" t="s">
        <v>90</v>
      </c>
      <c r="V8" s="5" t="s">
        <v>19</v>
      </c>
      <c r="W8" s="5" t="s">
        <v>20</v>
      </c>
      <c r="X8" s="5" t="s">
        <v>41</v>
      </c>
      <c r="Y8" s="5" t="s">
        <v>42</v>
      </c>
      <c r="Z8" s="5" t="s">
        <v>43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31</v>
      </c>
      <c r="AI8" s="5" t="s">
        <v>88</v>
      </c>
      <c r="AJ8" s="5" t="s">
        <v>89</v>
      </c>
      <c r="AK8" s="5" t="s">
        <v>90</v>
      </c>
    </row>
    <row r="9" spans="1:37" s="2" customFormat="1" x14ac:dyDescent="0.2">
      <c r="A9" s="5"/>
      <c r="B9" s="47" t="s">
        <v>91</v>
      </c>
      <c r="C9" s="12"/>
      <c r="D9" s="5"/>
      <c r="E9" s="5"/>
      <c r="F9" s="5"/>
      <c r="G9" s="5"/>
      <c r="H9" s="5"/>
      <c r="I9" s="5"/>
      <c r="J9" s="5"/>
      <c r="K9" s="5"/>
      <c r="T9" s="5"/>
      <c r="U9" s="47" t="s">
        <v>91</v>
      </c>
      <c r="V9" s="12"/>
      <c r="W9" s="5"/>
      <c r="X9" s="5"/>
      <c r="Y9" s="5"/>
      <c r="Z9" s="5"/>
      <c r="AA9" s="5"/>
      <c r="AB9" s="5"/>
      <c r="AC9" s="5"/>
      <c r="AD9" s="5"/>
    </row>
    <row r="10" spans="1:37" s="2" customFormat="1" x14ac:dyDescent="0.2">
      <c r="A10" s="5">
        <v>1</v>
      </c>
      <c r="B10" s="48" t="s">
        <v>92</v>
      </c>
      <c r="D10" s="5"/>
      <c r="E10" s="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49"/>
      <c r="T10" s="5">
        <v>1</v>
      </c>
      <c r="U10" s="48" t="str">
        <f>B10</f>
        <v>Schedules 23 &amp; 53</v>
      </c>
      <c r="W10" s="5"/>
      <c r="X10" s="5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9"/>
    </row>
    <row r="11" spans="1:37" s="2" customFormat="1" x14ac:dyDescent="0.2">
      <c r="A11" s="5">
        <f t="shared" ref="A11:A33" si="1">A10+1</f>
        <v>2</v>
      </c>
      <c r="B11" s="5"/>
      <c r="C11" s="2" t="s">
        <v>93</v>
      </c>
      <c r="D11" s="23" t="s">
        <v>108</v>
      </c>
      <c r="E11" s="5"/>
      <c r="F11" s="24">
        <v>82737764</v>
      </c>
      <c r="G11" s="24">
        <v>71461185</v>
      </c>
      <c r="H11" s="24">
        <v>65421149</v>
      </c>
      <c r="I11" s="24">
        <v>45585511</v>
      </c>
      <c r="J11" s="24">
        <v>26565812</v>
      </c>
      <c r="K11" s="24">
        <v>18196952</v>
      </c>
      <c r="L11" s="24">
        <v>13838955</v>
      </c>
      <c r="M11" s="24">
        <v>13356534</v>
      </c>
      <c r="N11" s="24">
        <v>17608048</v>
      </c>
      <c r="O11" s="24">
        <v>37562230</v>
      </c>
      <c r="P11" s="24">
        <v>62985541</v>
      </c>
      <c r="Q11" s="24">
        <v>84639911</v>
      </c>
      <c r="R11" s="49">
        <f>SUM(F11:Q11)</f>
        <v>539959592</v>
      </c>
      <c r="T11" s="5">
        <f t="shared" ref="T11:T33" si="2">T10+1</f>
        <v>2</v>
      </c>
      <c r="U11" s="5"/>
      <c r="V11" s="2" t="str">
        <f>C11</f>
        <v>Forecasted Delivered Volumes</v>
      </c>
      <c r="W11" s="5" t="str">
        <f>D11</f>
        <v>Exhibit JDT-9, Gas Normalized Revenue</v>
      </c>
      <c r="X11" s="5"/>
      <c r="Y11" s="24">
        <v>82543368</v>
      </c>
      <c r="Z11" s="24">
        <v>71213772</v>
      </c>
      <c r="AA11" s="24">
        <v>64904485</v>
      </c>
      <c r="AB11" s="24">
        <v>45107384</v>
      </c>
      <c r="AC11" s="24">
        <v>26189000</v>
      </c>
      <c r="AD11" s="24">
        <v>17952501</v>
      </c>
      <c r="AE11" s="24">
        <v>13712113</v>
      </c>
      <c r="AF11" s="24">
        <v>13241492</v>
      </c>
      <c r="AG11" s="24">
        <v>17425724</v>
      </c>
      <c r="AH11" s="24">
        <v>37046600</v>
      </c>
      <c r="AI11" s="24">
        <v>61850475</v>
      </c>
      <c r="AJ11" s="24">
        <v>83135438</v>
      </c>
      <c r="AK11" s="49">
        <f>SUM(Y11:AJ11)</f>
        <v>534322352</v>
      </c>
    </row>
    <row r="12" spans="1:37" s="2" customFormat="1" x14ac:dyDescent="0.2">
      <c r="A12" s="5">
        <f t="shared" si="1"/>
        <v>3</v>
      </c>
      <c r="B12" s="5"/>
      <c r="C12" s="2" t="s">
        <v>94</v>
      </c>
      <c r="D12" s="23" t="s">
        <v>95</v>
      </c>
      <c r="E12" s="5"/>
      <c r="F12" s="50">
        <f t="shared" ref="F12:Q12" si="3">F11/$R11</f>
        <v>0.15322954759177609</v>
      </c>
      <c r="G12" s="50">
        <f t="shared" si="3"/>
        <v>0.13234543113737296</v>
      </c>
      <c r="H12" s="50">
        <f t="shared" si="3"/>
        <v>0.12115934223463151</v>
      </c>
      <c r="I12" s="50">
        <f t="shared" si="3"/>
        <v>8.4423930374404751E-2</v>
      </c>
      <c r="J12" s="50">
        <f t="shared" si="3"/>
        <v>4.9199629738219376E-2</v>
      </c>
      <c r="K12" s="50">
        <f t="shared" si="3"/>
        <v>3.3700581061258374E-2</v>
      </c>
      <c r="L12" s="50">
        <f t="shared" si="3"/>
        <v>2.5629612298840317E-2</v>
      </c>
      <c r="M12" s="50">
        <f t="shared" si="3"/>
        <v>2.4736173220902796E-2</v>
      </c>
      <c r="N12" s="50">
        <f t="shared" si="3"/>
        <v>3.2609936485765774E-2</v>
      </c>
      <c r="O12" s="50">
        <f t="shared" si="3"/>
        <v>6.9564890700191506E-2</v>
      </c>
      <c r="P12" s="50">
        <f t="shared" si="3"/>
        <v>0.11664861951373576</v>
      </c>
      <c r="Q12" s="50">
        <f t="shared" si="3"/>
        <v>0.15675230564290077</v>
      </c>
      <c r="R12" s="50">
        <f>SUM(F12:Q12)</f>
        <v>1</v>
      </c>
      <c r="T12" s="5">
        <f t="shared" si="2"/>
        <v>3</v>
      </c>
      <c r="U12" s="5"/>
      <c r="V12" s="2" t="s">
        <v>94</v>
      </c>
      <c r="W12" s="23" t="s">
        <v>95</v>
      </c>
      <c r="X12" s="23"/>
      <c r="Y12" s="50">
        <f>Y11/$AK11</f>
        <v>0.15448234140128206</v>
      </c>
      <c r="Z12" s="50">
        <f t="shared" ref="Z12:AJ12" si="4">Z11/$AK11</f>
        <v>0.13327866920304318</v>
      </c>
      <c r="AA12" s="50">
        <f t="shared" si="4"/>
        <v>0.12147065298140475</v>
      </c>
      <c r="AB12" s="50">
        <f t="shared" si="4"/>
        <v>8.4419796085940274E-2</v>
      </c>
      <c r="AC12" s="50">
        <f t="shared" si="4"/>
        <v>4.9013483905311149E-2</v>
      </c>
      <c r="AD12" s="50">
        <f t="shared" si="4"/>
        <v>3.3598633732619891E-2</v>
      </c>
      <c r="AE12" s="50">
        <f t="shared" si="4"/>
        <v>2.5662622850559695E-2</v>
      </c>
      <c r="AF12" s="50">
        <f t="shared" si="4"/>
        <v>2.4781841804738875E-2</v>
      </c>
      <c r="AG12" s="50">
        <f t="shared" si="4"/>
        <v>3.2612755080850521E-2</v>
      </c>
      <c r="AH12" s="50">
        <f t="shared" si="4"/>
        <v>6.9333801704780637E-2</v>
      </c>
      <c r="AI12" s="50">
        <f t="shared" si="4"/>
        <v>0.11575498342618465</v>
      </c>
      <c r="AJ12" s="50">
        <f t="shared" si="4"/>
        <v>0.15559041782328431</v>
      </c>
      <c r="AK12" s="50">
        <f>SUM(Y12:AJ12)</f>
        <v>0.99999999999999978</v>
      </c>
    </row>
    <row r="13" spans="1:37" s="2" customFormat="1" x14ac:dyDescent="0.2">
      <c r="A13" s="5">
        <f t="shared" si="1"/>
        <v>4</v>
      </c>
      <c r="B13" s="5"/>
      <c r="D13" s="5"/>
      <c r="E13" s="5"/>
      <c r="T13" s="5">
        <f t="shared" si="2"/>
        <v>4</v>
      </c>
      <c r="U13" s="5"/>
      <c r="W13" s="5"/>
      <c r="X13" s="5"/>
    </row>
    <row r="14" spans="1:37" s="2" customFormat="1" x14ac:dyDescent="0.2">
      <c r="A14" s="5">
        <f t="shared" si="1"/>
        <v>5</v>
      </c>
      <c r="B14" s="48" t="s">
        <v>96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T14" s="5">
        <f t="shared" si="2"/>
        <v>5</v>
      </c>
      <c r="U14" s="48" t="str">
        <f>B14</f>
        <v>Schedules 31 &amp; 31T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7" s="2" customFormat="1" x14ac:dyDescent="0.2">
      <c r="A15" s="5">
        <f t="shared" si="1"/>
        <v>6</v>
      </c>
      <c r="B15" s="5"/>
      <c r="C15" s="2" t="str">
        <f>C11</f>
        <v>Forecasted Delivered Volumes</v>
      </c>
      <c r="D15" s="5" t="str">
        <f>D11</f>
        <v>Exhibit JDT-9, Gas Normalized Revenue</v>
      </c>
      <c r="E15" s="5"/>
      <c r="F15" s="24">
        <v>29080225</v>
      </c>
      <c r="G15" s="24">
        <v>26056253</v>
      </c>
      <c r="H15" s="24">
        <v>23378566</v>
      </c>
      <c r="I15" s="24">
        <v>16969763</v>
      </c>
      <c r="J15" s="24">
        <v>12444620</v>
      </c>
      <c r="K15" s="24">
        <v>10043323</v>
      </c>
      <c r="L15" s="24">
        <v>8597979</v>
      </c>
      <c r="M15" s="24">
        <v>9460722</v>
      </c>
      <c r="N15" s="24">
        <v>11613098</v>
      </c>
      <c r="O15" s="24">
        <v>19566506</v>
      </c>
      <c r="P15" s="24">
        <v>27708212</v>
      </c>
      <c r="Q15" s="24">
        <v>33607803</v>
      </c>
      <c r="R15" s="49">
        <f>SUM(F15:Q15)</f>
        <v>228527070</v>
      </c>
      <c r="T15" s="5">
        <f t="shared" si="2"/>
        <v>6</v>
      </c>
      <c r="U15" s="5"/>
      <c r="V15" s="2" t="str">
        <f>V11</f>
        <v>Forecasted Delivered Volumes</v>
      </c>
      <c r="W15" s="5" t="str">
        <f>W11</f>
        <v>Exhibit JDT-9, Gas Normalized Revenue</v>
      </c>
      <c r="X15" s="5"/>
      <c r="Y15" s="24">
        <v>29195081</v>
      </c>
      <c r="Z15" s="24">
        <v>26072345</v>
      </c>
      <c r="AA15" s="24">
        <v>23347183</v>
      </c>
      <c r="AB15" s="24">
        <v>16898500</v>
      </c>
      <c r="AC15" s="24">
        <v>12424329</v>
      </c>
      <c r="AD15" s="24">
        <v>10071259</v>
      </c>
      <c r="AE15" s="24">
        <v>8642809</v>
      </c>
      <c r="AF15" s="24">
        <v>9529876</v>
      </c>
      <c r="AG15" s="24">
        <v>11681334</v>
      </c>
      <c r="AH15" s="24">
        <v>19577800</v>
      </c>
      <c r="AI15" s="24">
        <v>27581537</v>
      </c>
      <c r="AJ15" s="24">
        <v>33403201</v>
      </c>
      <c r="AK15" s="49">
        <f>SUM(Y15:AJ15)</f>
        <v>228425254</v>
      </c>
    </row>
    <row r="16" spans="1:37" s="2" customFormat="1" x14ac:dyDescent="0.2">
      <c r="A16" s="5">
        <f t="shared" si="1"/>
        <v>7</v>
      </c>
      <c r="B16" s="5"/>
      <c r="C16" s="2" t="s">
        <v>94</v>
      </c>
      <c r="D16" s="23" t="s">
        <v>97</v>
      </c>
      <c r="E16" s="23"/>
      <c r="F16" s="50">
        <f t="shared" ref="F16:Q16" si="5">F15/$R15</f>
        <v>0.12725067975535678</v>
      </c>
      <c r="G16" s="50">
        <f t="shared" si="5"/>
        <v>0.11401823425119834</v>
      </c>
      <c r="H16" s="50">
        <f t="shared" si="5"/>
        <v>0.1023010796926596</v>
      </c>
      <c r="I16" s="50">
        <f t="shared" si="5"/>
        <v>7.425712411225506E-2</v>
      </c>
      <c r="J16" s="50">
        <f t="shared" si="5"/>
        <v>5.4455780665283983E-2</v>
      </c>
      <c r="K16" s="50">
        <f t="shared" si="5"/>
        <v>4.3948067071441471E-2</v>
      </c>
      <c r="L16" s="50">
        <f t="shared" si="5"/>
        <v>3.7623459662787434E-2</v>
      </c>
      <c r="M16" s="50">
        <f t="shared" si="5"/>
        <v>4.1398692942590999E-2</v>
      </c>
      <c r="N16" s="50">
        <f t="shared" si="5"/>
        <v>5.0817165773840274E-2</v>
      </c>
      <c r="O16" s="50">
        <f t="shared" si="5"/>
        <v>8.5620079931887277E-2</v>
      </c>
      <c r="P16" s="50">
        <f t="shared" si="5"/>
        <v>0.12124695774553097</v>
      </c>
      <c r="Q16" s="50">
        <f t="shared" si="5"/>
        <v>0.14706267839516779</v>
      </c>
      <c r="R16" s="50">
        <f>SUM(F16:Q16)</f>
        <v>1</v>
      </c>
      <c r="T16" s="5">
        <f t="shared" si="2"/>
        <v>7</v>
      </c>
      <c r="U16" s="5"/>
      <c r="V16" s="2" t="s">
        <v>94</v>
      </c>
      <c r="W16" s="23" t="s">
        <v>97</v>
      </c>
      <c r="X16" s="23"/>
      <c r="Y16" s="50">
        <f>Y15/$AK15</f>
        <v>0.12781021576537241</v>
      </c>
      <c r="Z16" s="50">
        <f t="shared" ref="Z16:AJ16" si="6">Z15/$AK15</f>
        <v>0.11413950315668688</v>
      </c>
      <c r="AA16" s="50">
        <f t="shared" si="6"/>
        <v>0.1022092898712504</v>
      </c>
      <c r="AB16" s="50">
        <f t="shared" si="6"/>
        <v>7.3978247606545297E-2</v>
      </c>
      <c r="AC16" s="50">
        <f t="shared" si="6"/>
        <v>5.4391223310186185E-2</v>
      </c>
      <c r="AD16" s="50">
        <f t="shared" si="6"/>
        <v>4.4089954256984212E-2</v>
      </c>
      <c r="AE16" s="50">
        <f t="shared" si="6"/>
        <v>3.783648632825861E-2</v>
      </c>
      <c r="AF16" s="50">
        <f t="shared" si="6"/>
        <v>4.171988794198736E-2</v>
      </c>
      <c r="AG16" s="50">
        <f t="shared" si="6"/>
        <v>5.1138540049516588E-2</v>
      </c>
      <c r="AH16" s="50">
        <f t="shared" si="6"/>
        <v>8.5707686243833611E-2</v>
      </c>
      <c r="AI16" s="50">
        <f t="shared" si="6"/>
        <v>0.12074644338580882</v>
      </c>
      <c r="AJ16" s="50">
        <f t="shared" si="6"/>
        <v>0.14623252208356963</v>
      </c>
      <c r="AK16" s="50">
        <f>SUM(Y16:AJ16)</f>
        <v>1</v>
      </c>
    </row>
    <row r="17" spans="1:37" s="2" customFormat="1" x14ac:dyDescent="0.2">
      <c r="A17" s="5">
        <f t="shared" si="1"/>
        <v>8</v>
      </c>
      <c r="B17" s="5"/>
      <c r="D17" s="23"/>
      <c r="E17" s="23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T17" s="5">
        <f t="shared" si="2"/>
        <v>8</v>
      </c>
      <c r="U17" s="5"/>
      <c r="W17" s="23"/>
      <c r="X17" s="23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s="2" customFormat="1" x14ac:dyDescent="0.2">
      <c r="A18" s="5">
        <f t="shared" si="1"/>
        <v>9</v>
      </c>
      <c r="B18" s="48" t="s">
        <v>98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T18" s="5">
        <f t="shared" si="2"/>
        <v>9</v>
      </c>
      <c r="U18" s="48" t="str">
        <f>B18</f>
        <v>Schedules 41, 41T, 86 &amp; 86T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7" s="2" customFormat="1" x14ac:dyDescent="0.2">
      <c r="A19" s="5">
        <f t="shared" si="1"/>
        <v>10</v>
      </c>
      <c r="B19" s="5"/>
      <c r="C19" s="2" t="str">
        <f>C11</f>
        <v>Forecasted Delivered Volumes</v>
      </c>
      <c r="D19" s="5" t="str">
        <f>D15</f>
        <v>Exhibit JDT-9, Gas Normalized Revenue</v>
      </c>
      <c r="E19" s="5"/>
      <c r="F19" s="24">
        <v>9313335</v>
      </c>
      <c r="G19" s="24">
        <v>9281230</v>
      </c>
      <c r="H19" s="24">
        <v>8533677</v>
      </c>
      <c r="I19" s="24">
        <v>7150042</v>
      </c>
      <c r="J19" s="24">
        <v>6086404</v>
      </c>
      <c r="K19" s="24">
        <v>5398239</v>
      </c>
      <c r="L19" s="24">
        <v>4474831</v>
      </c>
      <c r="M19" s="24">
        <v>4640579</v>
      </c>
      <c r="N19" s="24">
        <v>5430772</v>
      </c>
      <c r="O19" s="24">
        <v>7439062</v>
      </c>
      <c r="P19" s="24">
        <v>9646373</v>
      </c>
      <c r="Q19" s="24">
        <v>10553360</v>
      </c>
      <c r="R19" s="49">
        <f>SUM(F19:Q19)</f>
        <v>87947904</v>
      </c>
      <c r="T19" s="5">
        <f t="shared" si="2"/>
        <v>10</v>
      </c>
      <c r="U19" s="5"/>
      <c r="V19" s="2" t="str">
        <f>V11</f>
        <v>Forecasted Delivered Volumes</v>
      </c>
      <c r="W19" s="5" t="str">
        <f>W11</f>
        <v>Exhibit JDT-9, Gas Normalized Revenue</v>
      </c>
      <c r="X19" s="5"/>
      <c r="Y19" s="24">
        <v>9300876</v>
      </c>
      <c r="Z19" s="24">
        <v>9260539</v>
      </c>
      <c r="AA19" s="24">
        <v>8483387</v>
      </c>
      <c r="AB19" s="24">
        <v>7098618</v>
      </c>
      <c r="AC19" s="24">
        <v>6070087</v>
      </c>
      <c r="AD19" s="24">
        <v>5363991</v>
      </c>
      <c r="AE19" s="24">
        <v>4445077</v>
      </c>
      <c r="AF19" s="24">
        <v>4605553</v>
      </c>
      <c r="AG19" s="24">
        <v>5393049</v>
      </c>
      <c r="AH19" s="24">
        <v>7321768</v>
      </c>
      <c r="AI19" s="24">
        <v>9543502</v>
      </c>
      <c r="AJ19" s="24">
        <v>10438682</v>
      </c>
      <c r="AK19" s="49">
        <f>SUM(Y19:AJ19)</f>
        <v>87325129</v>
      </c>
    </row>
    <row r="20" spans="1:37" s="2" customFormat="1" x14ac:dyDescent="0.2">
      <c r="A20" s="5">
        <f t="shared" si="1"/>
        <v>11</v>
      </c>
      <c r="B20" s="5"/>
      <c r="C20" s="2" t="s">
        <v>94</v>
      </c>
      <c r="D20" s="23" t="s">
        <v>99</v>
      </c>
      <c r="E20" s="23"/>
      <c r="F20" s="50">
        <f t="shared" ref="F20:Q20" si="7">F19/$R19</f>
        <v>0.10589604273002344</v>
      </c>
      <c r="G20" s="50">
        <f t="shared" si="7"/>
        <v>0.10553099707754263</v>
      </c>
      <c r="H20" s="50">
        <f t="shared" si="7"/>
        <v>9.7031044651160761E-2</v>
      </c>
      <c r="I20" s="50">
        <f t="shared" si="7"/>
        <v>8.1298606047507396E-2</v>
      </c>
      <c r="J20" s="50">
        <f t="shared" si="7"/>
        <v>6.920465097155698E-2</v>
      </c>
      <c r="K20" s="50">
        <f t="shared" si="7"/>
        <v>6.1379961937466983E-2</v>
      </c>
      <c r="L20" s="50">
        <f t="shared" si="7"/>
        <v>5.0880473513046996E-2</v>
      </c>
      <c r="M20" s="50">
        <f t="shared" si="7"/>
        <v>5.276508920553695E-2</v>
      </c>
      <c r="N20" s="50">
        <f t="shared" si="7"/>
        <v>6.1749874107289694E-2</v>
      </c>
      <c r="O20" s="50">
        <f t="shared" si="7"/>
        <v>8.458486969740632E-2</v>
      </c>
      <c r="P20" s="50">
        <f t="shared" si="7"/>
        <v>0.10968280722187534</v>
      </c>
      <c r="Q20" s="50">
        <f t="shared" si="7"/>
        <v>0.11999558283958649</v>
      </c>
      <c r="R20" s="50">
        <f>SUM(F20:Q20)</f>
        <v>1</v>
      </c>
      <c r="T20" s="5">
        <f t="shared" si="2"/>
        <v>11</v>
      </c>
      <c r="U20" s="5"/>
      <c r="V20" s="2" t="s">
        <v>94</v>
      </c>
      <c r="W20" s="23" t="s">
        <v>99</v>
      </c>
      <c r="X20" s="23"/>
      <c r="Y20" s="50">
        <f>Y19/$AK19</f>
        <v>0.10650858586192298</v>
      </c>
      <c r="Z20" s="50">
        <f t="shared" ref="Z20:AJ20" si="8">Z19/$AK19</f>
        <v>0.10604666842232778</v>
      </c>
      <c r="AA20" s="50">
        <f t="shared" si="8"/>
        <v>9.7147145353773251E-2</v>
      </c>
      <c r="AB20" s="50">
        <f t="shared" si="8"/>
        <v>8.1289522057276326E-2</v>
      </c>
      <c r="AC20" s="50">
        <f t="shared" si="8"/>
        <v>6.9511343063690181E-2</v>
      </c>
      <c r="AD20" s="50">
        <f t="shared" si="8"/>
        <v>6.1425514756468326E-2</v>
      </c>
      <c r="AE20" s="50">
        <f t="shared" si="8"/>
        <v>5.0902610175359721E-2</v>
      </c>
      <c r="AF20" s="50">
        <f t="shared" si="8"/>
        <v>5.2740294262834699E-2</v>
      </c>
      <c r="AG20" s="50">
        <f t="shared" si="8"/>
        <v>6.1758271207363463E-2</v>
      </c>
      <c r="AH20" s="50">
        <f t="shared" si="8"/>
        <v>8.384491478964777E-2</v>
      </c>
      <c r="AI20" s="50">
        <f t="shared" si="8"/>
        <v>0.10928700717980044</v>
      </c>
      <c r="AJ20" s="50">
        <f t="shared" si="8"/>
        <v>0.11953812286953507</v>
      </c>
      <c r="AK20" s="50">
        <f>SUM(Y20:AJ20)</f>
        <v>0.99999999999999989</v>
      </c>
    </row>
    <row r="21" spans="1:37" s="2" customFormat="1" x14ac:dyDescent="0.2">
      <c r="A21" s="5">
        <f t="shared" si="1"/>
        <v>12</v>
      </c>
      <c r="B21" s="5"/>
      <c r="D21" s="23"/>
      <c r="E21" s="23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T21" s="5">
        <f t="shared" si="2"/>
        <v>12</v>
      </c>
      <c r="U21" s="5"/>
      <c r="W21" s="23"/>
      <c r="X21" s="23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37" s="2" customFormat="1" x14ac:dyDescent="0.2">
      <c r="A22" s="5">
        <f t="shared" si="1"/>
        <v>13</v>
      </c>
      <c r="B22" s="47" t="s">
        <v>100</v>
      </c>
      <c r="D22" s="5"/>
      <c r="E22" s="5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T22" s="5">
        <f t="shared" si="2"/>
        <v>13</v>
      </c>
      <c r="U22" s="47" t="s">
        <v>100</v>
      </c>
      <c r="W22" s="5"/>
      <c r="X22" s="5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s="2" customFormat="1" x14ac:dyDescent="0.2">
      <c r="A23" s="5">
        <f t="shared" si="1"/>
        <v>14</v>
      </c>
      <c r="B23" s="48" t="str">
        <f>B10</f>
        <v>Schedules 23 &amp; 53</v>
      </c>
      <c r="D23" s="5"/>
      <c r="E23" s="5"/>
      <c r="T23" s="5">
        <f t="shared" si="2"/>
        <v>14</v>
      </c>
      <c r="U23" s="48" t="str">
        <f>B23</f>
        <v>Schedules 23 &amp; 53</v>
      </c>
      <c r="W23" s="5"/>
      <c r="X23" s="5"/>
    </row>
    <row r="24" spans="1:37" s="2" customFormat="1" x14ac:dyDescent="0.2">
      <c r="A24" s="5">
        <f t="shared" si="1"/>
        <v>15</v>
      </c>
      <c r="B24" s="5"/>
      <c r="C24" s="2" t="s">
        <v>101</v>
      </c>
      <c r="D24" s="5" t="s">
        <v>109</v>
      </c>
      <c r="E24" s="5"/>
      <c r="R24" s="51">
        <f>'Exh. JDT-13 (Allowed RPC)'!D13</f>
        <v>462.83</v>
      </c>
      <c r="T24" s="5">
        <f t="shared" si="2"/>
        <v>15</v>
      </c>
      <c r="U24" s="5"/>
      <c r="V24" s="2" t="s">
        <v>101</v>
      </c>
      <c r="W24" s="5" t="str">
        <f>D24</f>
        <v>Exhibit JDT-13, Allowed RPC</v>
      </c>
      <c r="X24" s="5"/>
      <c r="AK24" s="51">
        <f>'Exh. JDT-13 (Allowed RPC)'!D30</f>
        <v>445.24</v>
      </c>
    </row>
    <row r="25" spans="1:37" s="2" customFormat="1" x14ac:dyDescent="0.2">
      <c r="A25" s="5">
        <f t="shared" si="1"/>
        <v>16</v>
      </c>
      <c r="B25" s="5"/>
      <c r="C25" s="2" t="s">
        <v>100</v>
      </c>
      <c r="D25" s="5" t="str">
        <f>"("&amp;A$12&amp;") x ("&amp;A24&amp;")"</f>
        <v>(3) x (15)</v>
      </c>
      <c r="E25" s="5" t="s">
        <v>102</v>
      </c>
      <c r="F25" s="52">
        <f>$R24*F$12</f>
        <v>70.919231511901728</v>
      </c>
      <c r="G25" s="52">
        <f t="shared" ref="G25:Q25" si="9">$R24*G$12</f>
        <v>61.253435893310325</v>
      </c>
      <c r="H25" s="52">
        <f t="shared" si="9"/>
        <v>56.076178366454499</v>
      </c>
      <c r="I25" s="52">
        <f t="shared" si="9"/>
        <v>39.073927695185752</v>
      </c>
      <c r="J25" s="52">
        <f t="shared" si="9"/>
        <v>22.771064631740074</v>
      </c>
      <c r="K25" s="52">
        <f t="shared" si="9"/>
        <v>15.597639932582213</v>
      </c>
      <c r="L25" s="52">
        <f t="shared" si="9"/>
        <v>11.862153460272264</v>
      </c>
      <c r="M25" s="52">
        <f t="shared" si="9"/>
        <v>11.448643051830441</v>
      </c>
      <c r="N25" s="52">
        <f t="shared" si="9"/>
        <v>15.092856903706972</v>
      </c>
      <c r="O25" s="52">
        <f t="shared" si="9"/>
        <v>32.196718362769637</v>
      </c>
      <c r="P25" s="52">
        <f t="shared" si="9"/>
        <v>53.988480569542318</v>
      </c>
      <c r="Q25" s="52">
        <f t="shared" si="9"/>
        <v>72.549669620703767</v>
      </c>
      <c r="R25" s="51">
        <f>SUM(F25:Q25)</f>
        <v>462.83</v>
      </c>
      <c r="T25" s="5">
        <f t="shared" si="2"/>
        <v>16</v>
      </c>
      <c r="U25" s="5"/>
      <c r="V25" s="2" t="s">
        <v>100</v>
      </c>
      <c r="W25" s="5" t="str">
        <f>"("&amp;T$12&amp;") x ("&amp;T24&amp;")"</f>
        <v>(3) x (15)</v>
      </c>
      <c r="X25" s="5" t="str">
        <f>E25</f>
        <v>Sheet No. 1142-C</v>
      </c>
      <c r="Y25" s="52">
        <f>$AK24*Y$12</f>
        <v>68.78171768550682</v>
      </c>
      <c r="Z25" s="52">
        <f t="shared" ref="Z25:AJ25" si="10">$AK24*Z$12</f>
        <v>59.340994675962946</v>
      </c>
      <c r="AA25" s="52">
        <f t="shared" si="10"/>
        <v>54.083593533440649</v>
      </c>
      <c r="AB25" s="52">
        <f t="shared" si="10"/>
        <v>37.58707000930405</v>
      </c>
      <c r="AC25" s="52">
        <f t="shared" si="10"/>
        <v>21.822763574000735</v>
      </c>
      <c r="AD25" s="52">
        <f t="shared" si="10"/>
        <v>14.959455683111681</v>
      </c>
      <c r="AE25" s="52">
        <f t="shared" si="10"/>
        <v>11.426026197983198</v>
      </c>
      <c r="AF25" s="52">
        <f t="shared" si="10"/>
        <v>11.033867245141938</v>
      </c>
      <c r="AG25" s="52">
        <f t="shared" si="10"/>
        <v>14.520503072197886</v>
      </c>
      <c r="AH25" s="52">
        <f t="shared" si="10"/>
        <v>30.870181871036532</v>
      </c>
      <c r="AI25" s="52">
        <f t="shared" si="10"/>
        <v>51.538748820674456</v>
      </c>
      <c r="AJ25" s="52">
        <f t="shared" si="10"/>
        <v>69.275077631639107</v>
      </c>
      <c r="AK25" s="51">
        <f>SUM(Y25:AJ25)</f>
        <v>445.24</v>
      </c>
    </row>
    <row r="26" spans="1:37" s="2" customFormat="1" x14ac:dyDescent="0.2">
      <c r="A26" s="5">
        <f t="shared" si="1"/>
        <v>17</v>
      </c>
      <c r="B26" s="5"/>
      <c r="D26" s="53"/>
      <c r="E26" s="53"/>
      <c r="R26" s="51"/>
      <c r="T26" s="5">
        <f t="shared" si="2"/>
        <v>17</v>
      </c>
      <c r="U26" s="5"/>
      <c r="W26" s="53"/>
      <c r="X26" s="53"/>
      <c r="AK26" s="51"/>
    </row>
    <row r="27" spans="1:37" s="2" customFormat="1" x14ac:dyDescent="0.2">
      <c r="A27" s="5">
        <f t="shared" si="1"/>
        <v>18</v>
      </c>
      <c r="B27" s="48" t="str">
        <f>B14</f>
        <v>Schedules 31 &amp; 31T</v>
      </c>
      <c r="D27" s="5"/>
      <c r="E27" s="5"/>
      <c r="R27" s="51"/>
      <c r="T27" s="5">
        <f t="shared" si="2"/>
        <v>18</v>
      </c>
      <c r="U27" s="48" t="str">
        <f>B27</f>
        <v>Schedules 31 &amp; 31T</v>
      </c>
      <c r="W27" s="5"/>
      <c r="X27" s="5"/>
      <c r="AK27" s="51"/>
    </row>
    <row r="28" spans="1:37" s="2" customFormat="1" x14ac:dyDescent="0.2">
      <c r="A28" s="5">
        <f t="shared" si="1"/>
        <v>19</v>
      </c>
      <c r="B28" s="5"/>
      <c r="C28" s="2" t="s">
        <v>101</v>
      </c>
      <c r="D28" s="5" t="str">
        <f>$D$24</f>
        <v>Exhibit JDT-13, Allowed RPC</v>
      </c>
      <c r="E28" s="5"/>
      <c r="R28" s="51">
        <f>'Exh. JDT-13 (Allowed RPC)'!E13</f>
        <v>2780.54</v>
      </c>
      <c r="T28" s="5">
        <f t="shared" si="2"/>
        <v>19</v>
      </c>
      <c r="U28" s="5"/>
      <c r="V28" s="2" t="s">
        <v>101</v>
      </c>
      <c r="W28" s="5" t="str">
        <f>D28</f>
        <v>Exhibit JDT-13, Allowed RPC</v>
      </c>
      <c r="X28" s="5"/>
      <c r="AK28" s="51">
        <f>'Exh. JDT-13 (Allowed RPC)'!E30</f>
        <v>2722.53</v>
      </c>
    </row>
    <row r="29" spans="1:37" s="2" customFormat="1" x14ac:dyDescent="0.2">
      <c r="A29" s="5">
        <f t="shared" si="1"/>
        <v>20</v>
      </c>
      <c r="B29" s="5"/>
      <c r="C29" s="2" t="s">
        <v>100</v>
      </c>
      <c r="D29" s="5" t="str">
        <f>"("&amp;A$16&amp;") x ("&amp;A28&amp;")"</f>
        <v>(7) x (19)</v>
      </c>
      <c r="E29" s="5" t="s">
        <v>103</v>
      </c>
      <c r="F29" s="52">
        <f>$R28*F$16</f>
        <v>353.82560508695974</v>
      </c>
      <c r="G29" s="52">
        <f t="shared" ref="G29:Q29" si="11">$R28*G$16</f>
        <v>317.03226106482703</v>
      </c>
      <c r="H29" s="52">
        <f t="shared" si="11"/>
        <v>284.45224412862774</v>
      </c>
      <c r="I29" s="52">
        <f t="shared" si="11"/>
        <v>206.47490387908968</v>
      </c>
      <c r="J29" s="52">
        <f t="shared" si="11"/>
        <v>151.41647637104873</v>
      </c>
      <c r="K29" s="52">
        <f t="shared" si="11"/>
        <v>122.19935841482587</v>
      </c>
      <c r="L29" s="52">
        <f t="shared" si="11"/>
        <v>104.61353453076697</v>
      </c>
      <c r="M29" s="52">
        <f t="shared" si="11"/>
        <v>115.11072167459197</v>
      </c>
      <c r="N29" s="52">
        <f t="shared" si="11"/>
        <v>141.29916212079382</v>
      </c>
      <c r="O29" s="52">
        <f t="shared" si="11"/>
        <v>238.07005705380985</v>
      </c>
      <c r="P29" s="52">
        <f t="shared" si="11"/>
        <v>337.13201588975869</v>
      </c>
      <c r="Q29" s="52">
        <f t="shared" si="11"/>
        <v>408.91365978489983</v>
      </c>
      <c r="R29" s="51">
        <f>SUM(F29:Q29)</f>
        <v>2780.54</v>
      </c>
      <c r="T29" s="5">
        <f t="shared" si="2"/>
        <v>20</v>
      </c>
      <c r="U29" s="5"/>
      <c r="V29" s="2" t="s">
        <v>100</v>
      </c>
      <c r="W29" s="5" t="str">
        <f>"("&amp;T$16&amp;") x ("&amp;T28&amp;")"</f>
        <v>(7) x (19)</v>
      </c>
      <c r="X29" s="5" t="str">
        <f>E29</f>
        <v>Sheet No. 1142-C.1</v>
      </c>
      <c r="Y29" s="52">
        <f>$AK28*Y$16</f>
        <v>347.96714672769934</v>
      </c>
      <c r="Z29" s="52">
        <f t="shared" ref="Z29:AJ29" si="12">$AK28*Z$16</f>
        <v>310.74822152917471</v>
      </c>
      <c r="AA29" s="52">
        <f t="shared" si="12"/>
        <v>278.26785795317539</v>
      </c>
      <c r="AB29" s="52">
        <f t="shared" si="12"/>
        <v>201.40799845624778</v>
      </c>
      <c r="AC29" s="52">
        <f t="shared" si="12"/>
        <v>148.0817371986812</v>
      </c>
      <c r="AD29" s="52">
        <f t="shared" si="12"/>
        <v>120.03622316326724</v>
      </c>
      <c r="AE29" s="52">
        <f t="shared" si="12"/>
        <v>103.01096912327392</v>
      </c>
      <c r="AF29" s="52">
        <f t="shared" si="12"/>
        <v>113.58364651869886</v>
      </c>
      <c r="AG29" s="52">
        <f t="shared" si="12"/>
        <v>139.22620944101041</v>
      </c>
      <c r="AH29" s="52">
        <f t="shared" si="12"/>
        <v>233.34174702942434</v>
      </c>
      <c r="AI29" s="52">
        <f t="shared" si="12"/>
        <v>328.7358145111661</v>
      </c>
      <c r="AJ29" s="52">
        <f t="shared" si="12"/>
        <v>398.12242834818085</v>
      </c>
      <c r="AK29" s="51">
        <f>SUM(Y29:AJ29)</f>
        <v>2722.5299999999997</v>
      </c>
    </row>
    <row r="30" spans="1:37" s="2" customFormat="1" x14ac:dyDescent="0.2">
      <c r="A30" s="5">
        <f t="shared" si="1"/>
        <v>21</v>
      </c>
      <c r="B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T30" s="5">
        <f t="shared" si="2"/>
        <v>21</v>
      </c>
      <c r="U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7" s="2" customFormat="1" x14ac:dyDescent="0.2">
      <c r="A31" s="5">
        <f t="shared" si="1"/>
        <v>22</v>
      </c>
      <c r="B31" s="48" t="str">
        <f>B18</f>
        <v>Schedules 41, 41T, 86 &amp; 86T</v>
      </c>
      <c r="D31" s="5"/>
      <c r="E31" s="5"/>
      <c r="R31" s="51"/>
      <c r="T31" s="5">
        <f t="shared" si="2"/>
        <v>22</v>
      </c>
      <c r="U31" s="48" t="str">
        <f>B31</f>
        <v>Schedules 41, 41T, 86 &amp; 86T</v>
      </c>
      <c r="W31" s="5"/>
      <c r="X31" s="5"/>
      <c r="AK31" s="51"/>
    </row>
    <row r="32" spans="1:37" s="2" customFormat="1" x14ac:dyDescent="0.2">
      <c r="A32" s="5">
        <f t="shared" si="1"/>
        <v>23</v>
      </c>
      <c r="B32" s="5"/>
      <c r="C32" s="2" t="s">
        <v>101</v>
      </c>
      <c r="D32" s="5" t="str">
        <f>$D$24</f>
        <v>Exhibit JDT-13, Allowed RPC</v>
      </c>
      <c r="E32" s="5"/>
      <c r="R32" s="51">
        <f>'Exh. JDT-13 (Allowed RPC)'!F13</f>
        <v>19937.07</v>
      </c>
      <c r="T32" s="5">
        <f t="shared" si="2"/>
        <v>23</v>
      </c>
      <c r="U32" s="5"/>
      <c r="V32" s="2" t="s">
        <v>101</v>
      </c>
      <c r="W32" s="5" t="str">
        <f>D32</f>
        <v>Exhibit JDT-13, Allowed RPC</v>
      </c>
      <c r="X32" s="5"/>
      <c r="AK32" s="51">
        <f>'Exh. JDT-13 (Allowed RPC)'!F30</f>
        <v>20434.740000000002</v>
      </c>
    </row>
    <row r="33" spans="1:37" s="2" customFormat="1" x14ac:dyDescent="0.2">
      <c r="A33" s="5">
        <f t="shared" si="1"/>
        <v>24</v>
      </c>
      <c r="B33" s="5"/>
      <c r="C33" s="2" t="s">
        <v>100</v>
      </c>
      <c r="D33" s="5" t="str">
        <f>"("&amp;A$20&amp;") x ("&amp;A32&amp;")"</f>
        <v>(11) x (23)</v>
      </c>
      <c r="E33" s="5" t="s">
        <v>104</v>
      </c>
      <c r="F33" s="52">
        <f>$R32*F$20</f>
        <v>2111.2568166314686</v>
      </c>
      <c r="G33" s="52">
        <f t="shared" ref="G33:Q33" si="13">$R32*G$20</f>
        <v>2103.9788759047628</v>
      </c>
      <c r="H33" s="52">
        <f t="shared" si="13"/>
        <v>1934.5147293833177</v>
      </c>
      <c r="I33" s="52">
        <f t="shared" si="13"/>
        <v>1620.8559996715783</v>
      </c>
      <c r="J33" s="52">
        <f t="shared" si="13"/>
        <v>1379.7379707454995</v>
      </c>
      <c r="K33" s="52">
        <f t="shared" si="13"/>
        <v>1223.7365977446148</v>
      </c>
      <c r="L33" s="52">
        <f t="shared" si="13"/>
        <v>1014.4075620627639</v>
      </c>
      <c r="M33" s="52">
        <f t="shared" si="13"/>
        <v>1051.9812770470346</v>
      </c>
      <c r="N33" s="52">
        <f t="shared" si="13"/>
        <v>1231.1115625682221</v>
      </c>
      <c r="O33" s="52">
        <f t="shared" si="13"/>
        <v>1686.3744680980685</v>
      </c>
      <c r="P33" s="52">
        <f t="shared" si="13"/>
        <v>2186.753805379034</v>
      </c>
      <c r="Q33" s="52">
        <f t="shared" si="13"/>
        <v>2392.3603347636345</v>
      </c>
      <c r="R33" s="51">
        <f>SUM(F33:Q33)</f>
        <v>19937.07</v>
      </c>
      <c r="T33" s="5">
        <f t="shared" si="2"/>
        <v>24</v>
      </c>
      <c r="U33" s="5"/>
      <c r="V33" s="2" t="s">
        <v>100</v>
      </c>
      <c r="W33" s="5" t="str">
        <f>"("&amp;T$20&amp;") x ("&amp;T32&amp;")"</f>
        <v>(11) x (23)</v>
      </c>
      <c r="X33" s="5" t="str">
        <f>E33</f>
        <v>Sheet No. 1142-C.2</v>
      </c>
      <c r="Y33" s="52">
        <f>$AK32*Y$20</f>
        <v>2176.4752598560722</v>
      </c>
      <c r="Z33" s="52">
        <f t="shared" ref="Z33:AJ33" si="14">$AK32*Z$20</f>
        <v>2167.0360970764787</v>
      </c>
      <c r="AA33" s="52">
        <f t="shared" si="14"/>
        <v>1985.1766570465645</v>
      </c>
      <c r="AB33" s="52">
        <f t="shared" si="14"/>
        <v>1661.130247964707</v>
      </c>
      <c r="AC33" s="52">
        <f t="shared" si="14"/>
        <v>1420.4462225573125</v>
      </c>
      <c r="AD33" s="52">
        <f t="shared" si="14"/>
        <v>1255.2144234145937</v>
      </c>
      <c r="AE33" s="52">
        <f t="shared" si="14"/>
        <v>1040.1816042548303</v>
      </c>
      <c r="AF33" s="52">
        <f t="shared" si="14"/>
        <v>1077.7342007845189</v>
      </c>
      <c r="AG33" s="52">
        <f t="shared" si="14"/>
        <v>1262.0142149719586</v>
      </c>
      <c r="AH33" s="52">
        <f t="shared" si="14"/>
        <v>1713.3490340486071</v>
      </c>
      <c r="AI33" s="52">
        <f t="shared" si="14"/>
        <v>2233.2515770973555</v>
      </c>
      <c r="AJ33" s="52">
        <f t="shared" si="14"/>
        <v>2442.7304609270032</v>
      </c>
      <c r="AK33" s="51">
        <f>SUM(Y33:AJ33)</f>
        <v>20434.740000000005</v>
      </c>
    </row>
    <row r="34" spans="1:37" s="2" customFormat="1" x14ac:dyDescent="0.2">
      <c r="E34" s="5"/>
    </row>
    <row r="35" spans="1:37" s="2" customFormat="1" x14ac:dyDescent="0.2"/>
    <row r="37" spans="1:37" s="2" customFormat="1" ht="15" x14ac:dyDescent="0.25">
      <c r="D37" s="5"/>
      <c r="E37" s="5"/>
      <c r="F37" s="5"/>
      <c r="G37" s="54"/>
      <c r="H37" s="5"/>
      <c r="I37" s="5"/>
    </row>
    <row r="39" spans="1:37" s="2" customFormat="1" x14ac:dyDescent="0.2">
      <c r="D39" s="5"/>
      <c r="E39" s="5"/>
      <c r="F39" s="5"/>
      <c r="G39" s="51"/>
      <c r="H39" s="5"/>
      <c r="I39" s="5"/>
    </row>
  </sheetData>
  <mergeCells count="10">
    <mergeCell ref="A4:R4"/>
    <mergeCell ref="T4:AK4"/>
    <mergeCell ref="A5:R5"/>
    <mergeCell ref="T5:AK5"/>
    <mergeCell ref="A1:R1"/>
    <mergeCell ref="T1:AK1"/>
    <mergeCell ref="A2:R2"/>
    <mergeCell ref="T2:AK2"/>
    <mergeCell ref="A3:R3"/>
    <mergeCell ref="T3:AK3"/>
  </mergeCells>
  <printOptions horizontalCentered="1"/>
  <pageMargins left="0.45" right="0.45" top="0.75" bottom="0.75" header="0.3" footer="0.3"/>
  <pageSetup scale="60" fitToWidth="3" orientation="landscape" blackAndWhite="1" horizontalDpi="1200" verticalDpi="1200" r:id="rId1"/>
  <headerFooter>
    <oddFooter>&amp;R&amp;A
 Page &amp;P of &amp;N</oddFooter>
  </headerFooter>
  <colBreaks count="2" manualBreakCount="2">
    <brk id="18" max="1048575" man="1"/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C3D1EC-DBE0-4C64-9995-37DD35CCC568}"/>
</file>

<file path=customXml/itemProps2.xml><?xml version="1.0" encoding="utf-8"?>
<ds:datastoreItem xmlns:ds="http://schemas.openxmlformats.org/officeDocument/2006/customXml" ds:itemID="{78AA5B7E-007F-444D-8C14-0A5CC921B381}"/>
</file>

<file path=customXml/itemProps3.xml><?xml version="1.0" encoding="utf-8"?>
<ds:datastoreItem xmlns:ds="http://schemas.openxmlformats.org/officeDocument/2006/customXml" ds:itemID="{5C29FA6C-32EA-46BA-9158-3DFBCF19693C}"/>
</file>

<file path=customXml/itemProps4.xml><?xml version="1.0" encoding="utf-8"?>
<ds:datastoreItem xmlns:ds="http://schemas.openxmlformats.org/officeDocument/2006/customXml" ds:itemID="{7325625C-3D32-4561-BA26-87EC087BE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Exh. JDT-13 (Delivery Rev)</vt:lpstr>
      <vt:lpstr>Exh. JDT-13 (Allowed RPC)</vt:lpstr>
      <vt:lpstr>Exh. JDT-13 (Del Rev Rates)</vt:lpstr>
      <vt:lpstr>Exh. JDT-13 (Monthly Allow RPC)</vt:lpstr>
      <vt:lpstr>'Exh. JDT-13 (Del Rev Rates)'!Print_Area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2024-09-13T04:53:42Z</cp:lastPrinted>
  <dcterms:created xsi:type="dcterms:W3CDTF">2024-09-13T04:51:08Z</dcterms:created>
  <dcterms:modified xsi:type="dcterms:W3CDTF">2024-09-13T04:57:16Z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