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aveExternalLinkValues="0" codeName="ThisWorkbook"/>
  <xr:revisionPtr revIDLastSave="0" documentId="13_ncr:1_{6DF2EE6D-2908-4814-8E3E-B1931C0C2E7B}" xr6:coauthVersionLast="47" xr6:coauthVersionMax="47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LAB-3a-WA Title Sheet" sheetId="89" r:id="rId1"/>
    <sheet name="LAB-3a-Statement Title" sheetId="90" r:id="rId2"/>
    <sheet name="LAB-3a-Dec. St. of Operations" sheetId="91" r:id="rId3"/>
    <sheet name="LAB-3a-ROR Title Sheet" sheetId="92" r:id="rId4"/>
    <sheet name="LAB-3a-Summary" sheetId="2" r:id="rId5"/>
    <sheet name="LAB-3a-Weather Title Sheet" sheetId="93" r:id="rId6"/>
    <sheet name="LAB-3a-Weather Norm Adj" sheetId="87" r:id="rId7"/>
    <sheet name="LAB-3a-Adj. Title Sheet" sheetId="94" r:id="rId8"/>
    <sheet name="LAB-3a-Acct. Adj. Summary" sheetId="96" r:id="rId9"/>
    <sheet name="LAB-3a-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'LAB-3a-Statement Title'!pint3</definedName>
    <definedName name="pint3">[0]!pint3</definedName>
    <definedName name="pint3r" localSheetId="1">'LAB-3a-Statement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'LAB-3a-Dec. St. of Operations'!$A$1:$E$61</definedName>
    <definedName name="_xlnm.Print_Area" localSheetId="9">'LAB-3a-Promo Adv Adj'!$A$1:$E$19</definedName>
    <definedName name="_xlnm.Print_Area" localSheetId="3">'LAB-3a-ROR Title Sheet'!$A$1:$C$21</definedName>
    <definedName name="_xlnm.Print_Area" localSheetId="4">'LAB-3a-Summary'!$A$1:$I$51</definedName>
    <definedName name="_xlnm.Print_Area" localSheetId="0">'LAB-3a-WA Title Sheet'!$A$1:$I$55</definedName>
    <definedName name="_xlnm.Print_Area" localSheetId="6">'LAB-3a-Weather Norm Adj'!$A$1:$F$35</definedName>
    <definedName name="_xlnm.Print_Area" localSheetId="5">'LAB-3a-Weather Title Sheet'!$A$1:$C$20</definedName>
    <definedName name="print1">[2]!print1</definedName>
    <definedName name="print10" localSheetId="1">'LAB-3a-Statement Title'!print10</definedName>
    <definedName name="print10">[0]!print10</definedName>
    <definedName name="print2">[2]!print2</definedName>
    <definedName name="print3">[2]!print3</definedName>
    <definedName name="pzint3" localSheetId="1">'LAB-3a-Statement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'LAB-3a-Statement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2" l="1"/>
  <c r="D54" i="2" s="1"/>
  <c r="D12" i="25" l="1"/>
  <c r="E51" i="91" l="1"/>
  <c r="E29" i="91" s="1"/>
  <c r="E31" i="91" s="1"/>
  <c r="D51" i="91"/>
  <c r="D29" i="91" s="1"/>
  <c r="D31" i="91" s="1"/>
  <c r="D46" i="2" l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6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<sst xmlns="http://schemas.openxmlformats.org/spreadsheetml/2006/main" count="189" uniqueCount="155">
  <si>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</si>
  <si>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</si>
  <si>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</si>
  <si>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</si>
  <si>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</si>
  <si>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</si>
  <si>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</si>
  <si>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</si>
  <si>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</si>
  <si>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</si>
  <si>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</si>
  <si>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</si>
  <si>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</si>
  <si>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</si>
  <si>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</si>
  <si>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</si>
  <si>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</si>
  <si>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</si>
  <si>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</si>
  <si>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</si>
  <si>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</si>
  <si>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</si>
  <si>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</si>
  <si>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</si>
  <si>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</si>
  <si>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</si>
  <si>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</si>
  <si>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</si>
  <si>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</si>
  <si>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</si>
  <si>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</si>
  <si>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</si>
  <si>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</si>
  <si>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</si>
  <si>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</si>
  <si>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</si>
  <si>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</si>
  <si>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</si>
  <si>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</si>
  <si>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</si>
  <si>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</si>
  <si>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</si>
  <si>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</si>
  <si>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</si>
  <si>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</si>
  <si>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</si>
  <si>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</si>
  <si>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</si>
  <si>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</si>
  <si>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</si>
  <si>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</si>
  <si>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</si>
  <si>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</si>
  <si>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</si>
  <si>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</si>
  <si>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</si>
  <si>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</si>
  <si>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</si>
  <si>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</si>
  <si>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</si>
  <si>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</si>
  <si>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</si>
  <si>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</si>
  <si>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</si>
  <si>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</si>
  <si>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</si>
  <si>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</si>
  <si>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</si>
  <si>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</si>
  <si>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</si>
  <si>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</si>
  <si>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</si>
  <si>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</si>
  <si>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</si>
  <si>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</si>
  <si>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</si>
  <si>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</si>
  <si>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</si>
  <si>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</si>
  <si>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</si>
  <si>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</si>
  <si>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</si>
  <si>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</si>
  <si>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</si>
  <si>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</si>
  <si>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</si>
  <si>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</si>
  <si>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</si>
  <si>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</si>
  <si>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 xml:space="preserve"> FOR THE 12 MONTH PERIOD ENDED 12/31/15</t>
  </si>
  <si>
    <t>(d)</t>
  </si>
  <si>
    <t>For Twelve Months Ended 12/31/2015</t>
  </si>
  <si>
    <t>CY 2015</t>
  </si>
  <si>
    <t>Twelve Months Ending 12/31/15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</si>
  <si>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</si>
  <si>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</si>
  <si>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</si>
  <si>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</si>
  <si>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</si>
  <si>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</si>
  <si>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</si>
  <si>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</si>
  <si>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</si>
  <si>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</si>
  <si>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</si>
  <si>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</si>
  <si>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</si>
  <si>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</si>
  <si>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</si>
  <si>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</si>
  <si>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</si>
  <si>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</si>
  <si>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</si>
  <si>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</si>
  <si>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</si>
  <si>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</si>
  <si>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</si>
  <si>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</si>
  <si>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</si>
  <si>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</si>
  <si>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</si>
  <si>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</si>
  <si>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</si>
  <si>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</si>
  <si>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</si>
  <si>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</si>
  <si>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</si>
  <si>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</si>
  <si>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</si>
  <si>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</si>
  <si>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</si>
  <si>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</si>
  <si>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</si>
  <si>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</si>
  <si>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</si>
  <si>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</si>
  <si>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</si>
  <si>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</si>
  <si>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</si>
  <si>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</si>
  <si>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</si>
  <si>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</si>
  <si>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</si>
  <si>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</si>
  <si>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</si>
  <si>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Month and Twelve Months Ended 12/31/2015</t>
  </si>
  <si>
    <t>RATE</t>
  </si>
  <si>
    <t>RETURN</t>
  </si>
  <si>
    <t>WEATHER</t>
  </si>
  <si>
    <t>ANALYSIS</t>
  </si>
  <si>
    <t>Accounting Adjustments</t>
  </si>
  <si>
    <t>Twelve Months Ended 12/31/15</t>
  </si>
  <si>
    <t>The following accounting adjustments are necessary to restate recorded utility operating results for the 12 months ended December 31, 2015.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</si>
  <si>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$12,625 to account for below-the-line advertising.</t>
    </r>
  </si>
  <si>
    <t>UG-060256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</si>
</sst>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4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4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9" fontId="153" fillId="0" borderId="0" applyFont="0" applyFill="0" applyBorder="0" applyAlignment="0" applyProtection="0"/>
  </cellStyleXfs>
  <cellXfs count="230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0" fontId="10" fillId="0" borderId="0" xfId="0" applyFont="1" applyFill="1"/>
    <xf numFmtId="10" fontId="10" fillId="0" borderId="0" xfId="26663" applyNumberFormat="1" applyFont="1" applyFill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6664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63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333375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7" zoomScaleNormal="100" zoomScaleSheetLayoutView="100" workbookViewId="0">
      <selection activeCell="C5" sqref="A5:I5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333375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Q48"/>
  <sheetViews>
    <sheetView zoomScaleNormal="100" zoomScaleSheetLayoutView="85" workbookViewId="0">
      <selection activeCell="D13" sqref="D13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92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93</v>
      </c>
      <c r="C12" s="70"/>
      <c r="D12" s="71">
        <f>+'LAB-3a-Summary'!D30</f>
        <v>12625.27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-12625.27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6" zoomScaleNormal="100" zoomScaleSheetLayoutView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4" t="s">
        <v>95</v>
      </c>
      <c r="B19" s="224"/>
      <c r="C19" s="224"/>
      <c r="D19" s="224"/>
      <c r="E19" s="224"/>
      <c r="F19" s="224"/>
    </row>
    <row r="20" spans="1:13" ht="57.75">
      <c r="A20" s="224" t="s">
        <v>96</v>
      </c>
      <c r="B20" s="224"/>
      <c r="C20" s="224"/>
      <c r="D20" s="224"/>
      <c r="E20" s="224"/>
      <c r="F20" s="224"/>
    </row>
    <row r="21" spans="1:13" ht="57.75">
      <c r="A21" s="224" t="s">
        <v>97</v>
      </c>
      <c r="B21" s="224"/>
      <c r="C21" s="224"/>
      <c r="D21" s="224"/>
      <c r="E21" s="224"/>
      <c r="F21" s="224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4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1"/>
  <sheetViews>
    <sheetView topLeftCell="A2" zoomScaleNormal="100" zoomScaleSheetLayoutView="80" workbookViewId="0">
      <selection activeCell="E32" sqref="E3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98</v>
      </c>
      <c r="B3" s="169"/>
      <c r="C3" s="169"/>
      <c r="D3" s="170"/>
      <c r="E3" s="170"/>
    </row>
    <row r="4" spans="1:5">
      <c r="A4" s="225" t="s">
        <v>145</v>
      </c>
      <c r="B4" s="225"/>
      <c r="C4" s="225"/>
      <c r="D4" s="225"/>
      <c r="E4" s="225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99</v>
      </c>
      <c r="E7" s="179" t="s">
        <v>100</v>
      </c>
    </row>
    <row r="8" spans="1:5">
      <c r="A8" s="180" t="s">
        <v>101</v>
      </c>
      <c r="B8" s="181"/>
      <c r="C8" s="181"/>
      <c r="D8" s="181"/>
      <c r="E8" s="182"/>
    </row>
    <row r="9" spans="1:5">
      <c r="A9" s="180"/>
      <c r="B9" s="181" t="s">
        <v>102</v>
      </c>
      <c r="C9" s="181"/>
      <c r="D9" s="183">
        <v>29899875.34</v>
      </c>
      <c r="E9" s="184">
        <v>194465889.73000002</v>
      </c>
    </row>
    <row r="10" spans="1:5">
      <c r="A10" s="180"/>
      <c r="B10" s="181" t="s">
        <v>103</v>
      </c>
      <c r="C10" s="181"/>
      <c r="D10" s="183">
        <v>1783665.47</v>
      </c>
      <c r="E10" s="184">
        <v>20426803.710000001</v>
      </c>
    </row>
    <row r="11" spans="1:5">
      <c r="A11" s="180"/>
      <c r="B11" s="181" t="s">
        <v>104</v>
      </c>
      <c r="C11" s="181"/>
      <c r="D11" s="185">
        <v>75980.89000000013</v>
      </c>
      <c r="E11" s="186">
        <v>1001984.7899999954</v>
      </c>
    </row>
    <row r="12" spans="1:5">
      <c r="A12" s="180"/>
      <c r="B12" s="181"/>
      <c r="C12" s="181"/>
      <c r="D12" s="187">
        <v>31759521.699999999</v>
      </c>
      <c r="E12" s="182">
        <v>215894678.23000002</v>
      </c>
    </row>
    <row r="13" spans="1:5">
      <c r="A13" s="180" t="s">
        <v>105</v>
      </c>
      <c r="B13" s="181" t="s">
        <v>106</v>
      </c>
      <c r="C13" s="181"/>
      <c r="D13" s="183">
        <v>18123476.030000001</v>
      </c>
      <c r="E13" s="184">
        <v>119769690.25</v>
      </c>
    </row>
    <row r="14" spans="1:5">
      <c r="A14" s="180"/>
      <c r="B14" s="181" t="s">
        <v>107</v>
      </c>
      <c r="C14" s="181"/>
      <c r="D14" s="183">
        <v>2500080.1800000002</v>
      </c>
      <c r="E14" s="184">
        <v>18050996.629999999</v>
      </c>
    </row>
    <row r="15" spans="1:5">
      <c r="A15" s="180" t="s">
        <v>108</v>
      </c>
      <c r="B15" s="181"/>
      <c r="C15" s="181"/>
      <c r="D15" s="188">
        <v>11135965.489999998</v>
      </c>
      <c r="E15" s="189">
        <v>78073991.350000024</v>
      </c>
    </row>
    <row r="16" spans="1:5">
      <c r="A16" s="180" t="s">
        <v>109</v>
      </c>
      <c r="B16" s="181"/>
      <c r="C16" s="181"/>
      <c r="D16" s="187"/>
      <c r="E16" s="182"/>
    </row>
    <row r="17" spans="1:5">
      <c r="A17" s="180"/>
      <c r="B17" s="181" t="s">
        <v>110</v>
      </c>
      <c r="C17" s="181"/>
      <c r="D17" s="187">
        <v>30990.06</v>
      </c>
      <c r="E17" s="182">
        <v>337721.95</v>
      </c>
    </row>
    <row r="18" spans="1:5">
      <c r="A18" s="180"/>
      <c r="B18" s="181" t="s">
        <v>111</v>
      </c>
      <c r="C18" s="181"/>
      <c r="D18" s="183">
        <v>1596055.8399999999</v>
      </c>
      <c r="E18" s="184">
        <v>16008083.060000001</v>
      </c>
    </row>
    <row r="19" spans="1:5">
      <c r="A19" s="180"/>
      <c r="B19" s="181" t="s">
        <v>112</v>
      </c>
      <c r="C19" s="181"/>
      <c r="D19" s="183">
        <v>543856.43000000005</v>
      </c>
      <c r="E19" s="184">
        <v>5661703.1000000006</v>
      </c>
    </row>
    <row r="20" spans="1:5">
      <c r="A20" s="180"/>
      <c r="B20" s="181" t="s">
        <v>113</v>
      </c>
      <c r="C20" s="181"/>
      <c r="D20" s="183">
        <v>103279.45</v>
      </c>
      <c r="E20" s="184">
        <v>1124812.77</v>
      </c>
    </row>
    <row r="21" spans="1:5">
      <c r="A21" s="180"/>
      <c r="B21" s="181" t="s">
        <v>114</v>
      </c>
      <c r="C21" s="181"/>
      <c r="D21" s="183">
        <v>522.76</v>
      </c>
      <c r="E21" s="184">
        <v>12625.27</v>
      </c>
    </row>
    <row r="22" spans="1:5">
      <c r="A22" s="180"/>
      <c r="B22" s="181" t="s">
        <v>115</v>
      </c>
      <c r="C22" s="181"/>
      <c r="D22" s="183">
        <v>1759206.48</v>
      </c>
      <c r="E22" s="184">
        <v>15622373.020000001</v>
      </c>
    </row>
    <row r="23" spans="1:5">
      <c r="A23" s="180"/>
      <c r="B23" s="181" t="s">
        <v>116</v>
      </c>
      <c r="C23" s="181"/>
      <c r="D23" s="183">
        <v>5338281.04</v>
      </c>
      <c r="E23" s="184">
        <v>21571819.920000002</v>
      </c>
    </row>
    <row r="24" spans="1:5">
      <c r="A24" s="180"/>
      <c r="B24" s="181" t="s">
        <v>117</v>
      </c>
      <c r="C24" s="181"/>
      <c r="D24" s="183">
        <v>362443.43</v>
      </c>
      <c r="E24" s="184">
        <v>3984398.04</v>
      </c>
    </row>
    <row r="25" spans="1:5">
      <c r="A25" s="180"/>
      <c r="B25" s="181" t="s">
        <v>118</v>
      </c>
      <c r="C25" s="181"/>
      <c r="D25" s="183">
        <v>116021.68999999999</v>
      </c>
      <c r="E25" s="184">
        <v>1744805.0599999998</v>
      </c>
    </row>
    <row r="26" spans="1:5">
      <c r="A26" s="180"/>
      <c r="B26" s="181"/>
      <c r="C26" s="181" t="s">
        <v>119</v>
      </c>
      <c r="D26" s="188">
        <v>9850657.1799999997</v>
      </c>
      <c r="E26" s="189">
        <v>66068342.190000005</v>
      </c>
    </row>
    <row r="27" spans="1:5" ht="15.75" thickBot="1">
      <c r="A27" s="180" t="s">
        <v>120</v>
      </c>
      <c r="B27" s="181"/>
      <c r="C27" s="181"/>
      <c r="D27" s="190">
        <v>1285308.3099999987</v>
      </c>
      <c r="E27" s="191">
        <v>12005649.160000019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121</v>
      </c>
      <c r="B29" s="181"/>
      <c r="C29" s="181"/>
      <c r="D29" s="192">
        <f>+D51</f>
        <v>274890137</v>
      </c>
      <c r="E29" s="193">
        <f>+E51</f>
        <v>261601210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122</v>
      </c>
      <c r="B31" s="195"/>
      <c r="C31" s="195"/>
      <c r="D31" s="196">
        <f>+D27/D29</f>
        <v>4.6757163571859934E-3</v>
      </c>
      <c r="E31" s="196">
        <f>+E27/E29</f>
        <v>4.589294200894567E-2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123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124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125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126</v>
      </c>
      <c r="B39" s="203"/>
      <c r="C39" s="204"/>
      <c r="D39" s="205">
        <v>654541120</v>
      </c>
      <c r="E39" s="206">
        <v>632616854</v>
      </c>
    </row>
    <row r="40" spans="1:5">
      <c r="A40" s="207" t="s">
        <v>127</v>
      </c>
      <c r="B40" s="208"/>
      <c r="C40" s="181"/>
      <c r="D40" s="185">
        <v>-335114607</v>
      </c>
      <c r="E40" s="186">
        <v>-326886721</v>
      </c>
    </row>
    <row r="41" spans="1:5">
      <c r="A41" s="207" t="s">
        <v>128</v>
      </c>
      <c r="B41" s="208"/>
      <c r="C41" s="181"/>
      <c r="D41" s="187">
        <v>319426513</v>
      </c>
      <c r="E41" s="182">
        <v>305730133</v>
      </c>
    </row>
    <row r="42" spans="1:5">
      <c r="A42" s="207"/>
      <c r="B42" s="208"/>
      <c r="C42" s="181"/>
      <c r="D42" s="187"/>
      <c r="E42" s="182"/>
    </row>
    <row r="43" spans="1:5">
      <c r="A43" s="207" t="s">
        <v>129</v>
      </c>
      <c r="B43" s="208"/>
      <c r="C43" s="181"/>
      <c r="D43" s="187"/>
      <c r="E43" s="182"/>
    </row>
    <row r="44" spans="1:5">
      <c r="A44" s="207"/>
      <c r="B44" s="208" t="s">
        <v>130</v>
      </c>
      <c r="C44" s="181"/>
      <c r="D44" s="183">
        <v>0</v>
      </c>
      <c r="E44" s="184">
        <v>0</v>
      </c>
    </row>
    <row r="45" spans="1:5">
      <c r="A45" s="207"/>
      <c r="B45" s="208" t="s">
        <v>131</v>
      </c>
      <c r="C45" s="181"/>
      <c r="D45" s="183">
        <v>-3582578</v>
      </c>
      <c r="E45" s="184">
        <v>-3175125</v>
      </c>
    </row>
    <row r="46" spans="1:5">
      <c r="A46" s="207"/>
      <c r="B46" s="208" t="s">
        <v>132</v>
      </c>
      <c r="C46" s="181"/>
      <c r="D46" s="183">
        <v>-73572374</v>
      </c>
      <c r="E46" s="184">
        <v>-73572374</v>
      </c>
    </row>
    <row r="47" spans="1:5">
      <c r="A47" s="207"/>
      <c r="B47" s="208" t="s">
        <v>133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134</v>
      </c>
      <c r="D48" s="187">
        <v>242271561</v>
      </c>
      <c r="E48" s="182">
        <v>228982634</v>
      </c>
    </row>
    <row r="49" spans="1:5">
      <c r="A49" s="207"/>
      <c r="B49" s="208"/>
      <c r="C49" s="181"/>
      <c r="D49" s="187"/>
      <c r="E49" s="182"/>
    </row>
    <row r="50" spans="1:5">
      <c r="A50" s="207" t="s">
        <v>135</v>
      </c>
      <c r="B50" s="208"/>
      <c r="C50" s="181"/>
      <c r="D50" s="185">
        <v>32618576</v>
      </c>
      <c r="E50" s="186">
        <v>32618576</v>
      </c>
    </row>
    <row r="51" spans="1:5" ht="15.75" thickBot="1">
      <c r="A51" s="209" t="s">
        <v>136</v>
      </c>
      <c r="B51" s="210"/>
      <c r="C51" s="198"/>
      <c r="D51" s="211">
        <f>+D48+D50</f>
        <v>274890137</v>
      </c>
      <c r="E51" s="212">
        <f>+E48+E50</f>
        <v>261601210</v>
      </c>
    </row>
    <row r="52" spans="1:5">
      <c r="D52" s="201"/>
      <c r="E52" s="201"/>
    </row>
    <row r="53" spans="1:5">
      <c r="A53" s="168" t="s">
        <v>137</v>
      </c>
      <c r="D53" s="213"/>
      <c r="E53" s="213"/>
    </row>
    <row r="54" spans="1:5">
      <c r="A54" s="168" t="s">
        <v>138</v>
      </c>
      <c r="D54" s="213"/>
      <c r="E54" s="213"/>
    </row>
    <row r="55" spans="1:5">
      <c r="A55" s="168" t="s">
        <v>139</v>
      </c>
      <c r="D55" s="213"/>
      <c r="E55" s="213"/>
    </row>
    <row r="56" spans="1:5">
      <c r="A56" s="168" t="s">
        <v>140</v>
      </c>
      <c r="D56" s="213"/>
      <c r="E56" s="213"/>
    </row>
    <row r="57" spans="1:5">
      <c r="D57" s="213"/>
      <c r="E57" s="213"/>
    </row>
    <row r="58" spans="1:5">
      <c r="A58" s="168" t="s">
        <v>141</v>
      </c>
      <c r="D58" s="213"/>
      <c r="E58" s="213"/>
    </row>
    <row r="59" spans="1:5">
      <c r="A59" s="168" t="s">
        <v>142</v>
      </c>
      <c r="D59" s="213"/>
      <c r="E59" s="213"/>
    </row>
    <row r="60" spans="1:5">
      <c r="A60" s="168" t="s">
        <v>143</v>
      </c>
      <c r="D60" s="213"/>
      <c r="E60" s="213"/>
    </row>
    <row r="61" spans="1:5">
      <c r="A61" s="168" t="s">
        <v>144</v>
      </c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4" t="s">
        <v>146</v>
      </c>
      <c r="B19" s="224"/>
      <c r="C19" s="224"/>
      <c r="D19" s="216"/>
      <c r="E19" s="216"/>
      <c r="F19" s="216"/>
    </row>
    <row r="20" spans="1:13" ht="57.75">
      <c r="A20" s="224" t="s">
        <v>96</v>
      </c>
      <c r="B20" s="224"/>
      <c r="C20" s="224"/>
      <c r="D20" s="216"/>
      <c r="E20" s="216"/>
      <c r="F20" s="216"/>
    </row>
    <row r="21" spans="1:13" ht="57.75">
      <c r="A21" s="224" t="s">
        <v>147</v>
      </c>
      <c r="B21" s="224"/>
      <c r="C21" s="224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M58"/>
  <sheetViews>
    <sheetView tabSelected="1" zoomScaleNormal="100" zoomScaleSheetLayoutView="85" workbookViewId="0">
      <selection activeCell="K25" sqref="K25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6" t="s">
        <v>0</v>
      </c>
      <c r="C3" s="226"/>
      <c r="D3" s="226"/>
      <c r="E3" s="226"/>
      <c r="F3" s="226"/>
      <c r="G3" s="226"/>
      <c r="H3" s="226"/>
      <c r="I3" s="226"/>
      <c r="J3" s="20"/>
    </row>
    <row r="4" spans="1:11">
      <c r="B4" s="226" t="s">
        <v>1</v>
      </c>
      <c r="C4" s="226"/>
      <c r="D4" s="226"/>
      <c r="E4" s="226"/>
      <c r="F4" s="226"/>
      <c r="G4" s="226"/>
      <c r="H4" s="226"/>
      <c r="I4" s="226"/>
      <c r="J4" s="20"/>
    </row>
    <row r="5" spans="1:11">
      <c r="B5" s="226" t="s">
        <v>89</v>
      </c>
      <c r="C5" s="226"/>
      <c r="D5" s="226"/>
      <c r="E5" s="226"/>
      <c r="F5" s="226"/>
      <c r="G5" s="226"/>
      <c r="H5" s="226"/>
      <c r="I5" s="226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90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v>194465889.72999999</v>
      </c>
      <c r="E17" s="34" t="s">
        <v>24</v>
      </c>
      <c r="F17" s="6">
        <f>+'LAB-3a-Weather Norm Adj'!F25</f>
        <v>17047910.585110001</v>
      </c>
      <c r="G17" s="6">
        <v>0</v>
      </c>
      <c r="H17" s="112" t="s">
        <v>24</v>
      </c>
      <c r="I17" s="6">
        <f>SUM(D17:G17)</f>
        <v>211513800.31511</v>
      </c>
      <c r="M17" s="104"/>
    </row>
    <row r="18" spans="1:13">
      <c r="A18" s="111" t="s">
        <v>25</v>
      </c>
      <c r="B18" s="26" t="s">
        <v>26</v>
      </c>
      <c r="C18" s="3"/>
      <c r="D18" s="6">
        <v>20426803.710000001</v>
      </c>
      <c r="E18" s="3"/>
      <c r="F18" s="5"/>
      <c r="G18" s="6">
        <v>0</v>
      </c>
      <c r="H18" s="3"/>
      <c r="I18" s="6">
        <f>SUM(D18:G18)</f>
        <v>20426803.710000001</v>
      </c>
      <c r="M18" s="104"/>
    </row>
    <row r="19" spans="1:13">
      <c r="A19" s="111" t="s">
        <v>27</v>
      </c>
      <c r="B19" s="26" t="s">
        <v>28</v>
      </c>
      <c r="C19" s="3"/>
      <c r="D19" s="6">
        <v>1001984.79</v>
      </c>
      <c r="E19" s="3"/>
      <c r="F19" s="5"/>
      <c r="G19" s="6">
        <v>0</v>
      </c>
      <c r="H19" s="3"/>
      <c r="I19" s="6">
        <f>SUM(D19:G19)</f>
        <v>1001984.79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215894678.22999999</v>
      </c>
      <c r="E20" s="35" t="s">
        <v>24</v>
      </c>
      <c r="F20" s="7">
        <f>SUM(F17:F19)</f>
        <v>17047910.585110001</v>
      </c>
      <c r="G20" s="7">
        <f>SUM(G17:G19)</f>
        <v>0</v>
      </c>
      <c r="H20" s="35" t="s">
        <v>24</v>
      </c>
      <c r="I20" s="7">
        <f>SUM(I17:I19)</f>
        <v>232942588.81511</v>
      </c>
      <c r="M20" s="104"/>
    </row>
    <row r="21" spans="1:13">
      <c r="A21" s="111" t="s">
        <v>31</v>
      </c>
      <c r="B21" s="26" t="s">
        <v>32</v>
      </c>
      <c r="C21" s="3"/>
      <c r="D21" s="6">
        <v>119769690.25</v>
      </c>
      <c r="E21" s="3"/>
      <c r="F21" s="6">
        <f>+'LAB-3a-Weather Norm Adj'!F35</f>
        <v>11721050.33</v>
      </c>
      <c r="G21" s="6"/>
      <c r="H21" s="3"/>
      <c r="I21" s="6">
        <f>SUM(D21:G21)</f>
        <v>131490740.58</v>
      </c>
    </row>
    <row r="22" spans="1:13">
      <c r="A22" s="111" t="s">
        <v>33</v>
      </c>
      <c r="B22" s="26" t="s">
        <v>34</v>
      </c>
      <c r="C22" s="3"/>
      <c r="D22" s="6">
        <v>18050996.629999999</v>
      </c>
      <c r="E22" s="12"/>
      <c r="F22" s="6"/>
      <c r="G22" s="6"/>
      <c r="H22" s="12"/>
      <c r="I22" s="6">
        <f>SUM(D22:G22)</f>
        <v>18050996.629999999</v>
      </c>
    </row>
    <row r="23" spans="1:13">
      <c r="A23" s="111" t="s">
        <v>35</v>
      </c>
      <c r="B23" s="113" t="s">
        <v>36</v>
      </c>
      <c r="C23" s="115"/>
      <c r="D23" s="7">
        <f>D20-D21-D22</f>
        <v>78073991.349999994</v>
      </c>
      <c r="E23" s="35" t="s">
        <v>24</v>
      </c>
      <c r="F23" s="7">
        <f>F20-F21-F22</f>
        <v>5326860.2551100012</v>
      </c>
      <c r="G23" s="7">
        <f>G20-G21-G22</f>
        <v>0</v>
      </c>
      <c r="H23" s="35" t="s">
        <v>24</v>
      </c>
      <c r="I23" s="7">
        <f>SUM(D23:G23)</f>
        <v>83400851.60510999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v>337721.95</v>
      </c>
      <c r="E26" s="3"/>
      <c r="F26" s="6"/>
      <c r="G26" s="6"/>
      <c r="H26" s="3"/>
      <c r="I26" s="6">
        <f t="shared" ref="I26:I34" si="0">SUM(D26:G26)</f>
        <v>337721.95</v>
      </c>
    </row>
    <row r="27" spans="1:13">
      <c r="A27" s="111" t="s">
        <v>40</v>
      </c>
      <c r="B27" s="26" t="s">
        <v>39</v>
      </c>
      <c r="C27" s="3"/>
      <c r="D27" s="6">
        <v>16008083.060000001</v>
      </c>
      <c r="E27" s="3"/>
      <c r="F27" s="6">
        <v>0</v>
      </c>
      <c r="G27" s="6">
        <v>0</v>
      </c>
      <c r="H27" s="3"/>
      <c r="I27" s="6">
        <f t="shared" si="0"/>
        <v>16008083.060000001</v>
      </c>
    </row>
    <row r="28" spans="1:13">
      <c r="A28" s="111" t="s">
        <v>42</v>
      </c>
      <c r="B28" s="26" t="s">
        <v>41</v>
      </c>
      <c r="C28" s="3"/>
      <c r="D28" s="6">
        <v>5661703.0999999996</v>
      </c>
      <c r="E28" s="3"/>
      <c r="F28" s="6">
        <f>F20*0.00094</f>
        <v>16025.035950003401</v>
      </c>
      <c r="G28" s="6">
        <f>(+G20*0.00094)</f>
        <v>0</v>
      </c>
      <c r="H28" s="3"/>
      <c r="I28" s="6">
        <f t="shared" si="0"/>
        <v>5677728.1359500028</v>
      </c>
    </row>
    <row r="29" spans="1:13">
      <c r="A29" s="111" t="s">
        <v>44</v>
      </c>
      <c r="B29" s="26" t="s">
        <v>43</v>
      </c>
      <c r="C29" s="3"/>
      <c r="D29" s="6">
        <v>1124812.77</v>
      </c>
      <c r="E29" s="3"/>
      <c r="F29" s="6">
        <v>0</v>
      </c>
      <c r="G29" s="6">
        <f>(+G21*0.00094)</f>
        <v>0</v>
      </c>
      <c r="H29" s="3"/>
      <c r="I29" s="6">
        <f t="shared" si="0"/>
        <v>1124812.77</v>
      </c>
    </row>
    <row r="30" spans="1:13">
      <c r="A30" s="111" t="s">
        <v>46</v>
      </c>
      <c r="B30" s="26" t="s">
        <v>45</v>
      </c>
      <c r="C30" s="3"/>
      <c r="D30" s="6">
        <v>12625.27</v>
      </c>
      <c r="E30" s="3"/>
      <c r="F30" s="6">
        <v>0</v>
      </c>
      <c r="G30" s="6">
        <f>+'LAB-3a-Promo Adv Adj'!E13</f>
        <v>-12625.27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v>15622373.02</v>
      </c>
      <c r="E31" s="3"/>
      <c r="F31" s="6">
        <v>0</v>
      </c>
      <c r="G31" s="6">
        <v>0</v>
      </c>
      <c r="H31" s="3"/>
      <c r="I31" s="6">
        <f t="shared" si="0"/>
        <v>15622373.02</v>
      </c>
    </row>
    <row r="32" spans="1:13">
      <c r="A32" s="111">
        <v>14</v>
      </c>
      <c r="B32" s="26" t="s">
        <v>48</v>
      </c>
      <c r="C32" s="3"/>
      <c r="D32" s="6">
        <v>21571819.920000002</v>
      </c>
      <c r="E32" s="3"/>
      <c r="F32" s="6">
        <v>0</v>
      </c>
      <c r="G32" s="6">
        <v>0</v>
      </c>
      <c r="H32" s="3"/>
      <c r="I32" s="6">
        <f t="shared" si="0"/>
        <v>21571819.920000002</v>
      </c>
    </row>
    <row r="33" spans="1:9">
      <c r="A33" s="111">
        <v>15</v>
      </c>
      <c r="B33" s="26" t="s">
        <v>49</v>
      </c>
      <c r="C33" s="3"/>
      <c r="D33" s="6">
        <v>3984398.04</v>
      </c>
      <c r="E33" s="12"/>
      <c r="F33" s="6">
        <f>F20*0.04242</f>
        <v>723172.36702036625</v>
      </c>
      <c r="G33" s="6">
        <v>0</v>
      </c>
      <c r="H33" s="12"/>
      <c r="I33" s="6">
        <f t="shared" si="0"/>
        <v>4707570.4070203658</v>
      </c>
    </row>
    <row r="34" spans="1:9">
      <c r="A34" s="111">
        <v>16</v>
      </c>
      <c r="B34" s="26" t="s">
        <v>50</v>
      </c>
      <c r="C34" s="3"/>
      <c r="D34" s="6">
        <v>1744805.06</v>
      </c>
      <c r="E34" s="12"/>
      <c r="F34" s="6">
        <f>(+F23-SUM(F27:F32)-F33)*0.35</f>
        <v>1605681.998248871</v>
      </c>
      <c r="G34" s="6">
        <f>(+G23-SUM(G27:G32)-G33)*0.35</f>
        <v>4418.8445000000002</v>
      </c>
      <c r="H34" s="12"/>
      <c r="I34" s="6">
        <f t="shared" si="0"/>
        <v>3354905.9027488711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66068342.190000005</v>
      </c>
      <c r="E35" s="35" t="s">
        <v>24</v>
      </c>
      <c r="F35" s="7">
        <f>SUM(F27:F34)</f>
        <v>2344879.4012192404</v>
      </c>
      <c r="G35" s="7">
        <f>SUM(G27:G34)</f>
        <v>-8206.4255000000012</v>
      </c>
      <c r="H35" s="35" t="s">
        <v>24</v>
      </c>
      <c r="I35" s="7">
        <f>SUM(I26:I34)</f>
        <v>68405015.165719241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12005649.159999989</v>
      </c>
      <c r="E37" s="119" t="s">
        <v>24</v>
      </c>
      <c r="F37" s="118">
        <f>F23-F35</f>
        <v>2981980.8538907608</v>
      </c>
      <c r="G37" s="118">
        <f>G23-G35</f>
        <v>8206.4255000000012</v>
      </c>
      <c r="H37" s="119" t="s">
        <v>24</v>
      </c>
      <c r="I37" s="118">
        <f>I23-I35</f>
        <v>14995836.439390749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v>632616854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632616854</v>
      </c>
    </row>
    <row r="41" spans="1:9">
      <c r="A41" s="111">
        <v>19</v>
      </c>
      <c r="B41" s="25" t="s">
        <v>55</v>
      </c>
      <c r="C41" s="3"/>
      <c r="D41" s="6">
        <v>-326886721</v>
      </c>
      <c r="E41" s="3"/>
      <c r="F41" s="5"/>
      <c r="G41" s="5"/>
      <c r="H41" s="3"/>
      <c r="I41" s="6">
        <f t="shared" si="1"/>
        <v>-326886721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v>-3175125</v>
      </c>
      <c r="E43" s="3"/>
      <c r="F43" s="5"/>
      <c r="G43" s="5"/>
      <c r="H43" s="3"/>
      <c r="I43" s="6">
        <f t="shared" si="1"/>
        <v>-3175125</v>
      </c>
    </row>
    <row r="44" spans="1:9">
      <c r="A44" s="111">
        <v>22</v>
      </c>
      <c r="B44" s="25" t="s">
        <v>58</v>
      </c>
      <c r="C44" s="3"/>
      <c r="D44" s="6">
        <v>-73572374</v>
      </c>
      <c r="E44" s="3"/>
      <c r="F44" s="5"/>
      <c r="G44" s="5"/>
      <c r="H44" s="3"/>
      <c r="I44" s="6">
        <f t="shared" si="1"/>
        <v>-73572374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32618576.213299997</v>
      </c>
      <c r="E46" s="3"/>
      <c r="F46" s="5"/>
      <c r="G46" s="5"/>
      <c r="H46" s="3"/>
      <c r="I46" s="6">
        <f t="shared" si="1"/>
        <v>32618576.213299997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261601210.21329999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261601210.21329999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4.5892941971526144E-2</v>
      </c>
      <c r="E49" s="9"/>
      <c r="F49" s="124"/>
      <c r="G49" s="124"/>
      <c r="H49" s="9"/>
      <c r="I49" s="123">
        <f>ROUND(+I37/I47,4)</f>
        <v>5.7299999999999997E-2</v>
      </c>
    </row>
    <row r="50" spans="1:9">
      <c r="G50" s="222" t="s">
        <v>154</v>
      </c>
      <c r="H50" s="222"/>
      <c r="I50" s="223">
        <v>8.8499999999999995E-2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228982634</v>
      </c>
    </row>
    <row r="54" spans="1:9">
      <c r="D54" s="2">
        <f>+D53*0.14245</f>
        <v>32618576.213299997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4" t="s">
        <v>148</v>
      </c>
      <c r="B19" s="224"/>
      <c r="C19" s="224"/>
      <c r="D19" s="216"/>
      <c r="E19" s="216"/>
      <c r="F19" s="216"/>
    </row>
    <row r="20" spans="1:13" ht="57.75">
      <c r="A20" s="224" t="s">
        <v>149</v>
      </c>
      <c r="B20" s="224"/>
      <c r="C20" s="224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8"/>
  <sheetViews>
    <sheetView view="pageBreakPreview" zoomScale="115" zoomScaleNormal="100" zoomScaleSheetLayoutView="115" workbookViewId="0">
      <selection activeCell="F5" sqref="F5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7" t="s">
        <v>91</v>
      </c>
      <c r="B3" s="227"/>
      <c r="C3" s="227"/>
      <c r="D3" s="227"/>
      <c r="E3" s="227"/>
      <c r="F3" s="227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13072327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10656038.07732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8178247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6391872.5077900002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21250574</v>
      </c>
      <c r="F25" s="141">
        <f>SUM(F14:F23)</f>
        <v>17047910.585110001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13072327</v>
      </c>
      <c r="F30" s="145">
        <f>ROUND(D30*E30,2)</f>
        <v>7224813.6900000004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8178247</v>
      </c>
      <c r="F33" s="138">
        <f t="shared" ref="F33" si="0">ROUND(D33*E33,2)</f>
        <v>4496236.6399999997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21250574</v>
      </c>
      <c r="F35" s="150">
        <f>SUM(F30:F33)</f>
        <v>11721050.33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4" t="s">
        <v>94</v>
      </c>
      <c r="B19" s="224"/>
      <c r="C19" s="224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A5" sqref="A5:J6"/>
    </sheetView>
  </sheetViews>
  <sheetFormatPr defaultRowHeight="12.75"/>
  <sheetData>
    <row r="1" spans="1:10" ht="15.75">
      <c r="A1" s="229" t="s">
        <v>150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5.75">
      <c r="A2" s="229" t="s">
        <v>151</v>
      </c>
      <c r="B2" s="229"/>
      <c r="C2" s="229"/>
      <c r="D2" s="229"/>
      <c r="E2" s="229"/>
      <c r="F2" s="229"/>
      <c r="G2" s="229"/>
      <c r="H2" s="229"/>
      <c r="I2" s="229"/>
      <c r="J2" s="229"/>
    </row>
    <row r="5" spans="1:10" s="219" customFormat="1" ht="15.75">
      <c r="A5" s="228" t="s">
        <v>152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219" customFormat="1" ht="15.75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153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94ABC9-7DBF-4F96-91EC-11D899A83385}"/>
</file>

<file path=customXml/itemProps2.xml><?xml version="1.0" encoding="utf-8"?>
<ds:datastoreItem xmlns:ds="http://schemas.openxmlformats.org/officeDocument/2006/customXml" ds:itemID="{8A7B4700-C374-47CD-A948-EEBC8C04E843}"/>
</file>

<file path=customXml/itemProps3.xml><?xml version="1.0" encoding="utf-8"?>
<ds:datastoreItem xmlns:ds="http://schemas.openxmlformats.org/officeDocument/2006/customXml" ds:itemID="{AABB8A0B-1202-4CEA-97C6-0B77352333D9}"/>
</file>

<file path=customXml/itemProps4.xml><?xml version="1.0" encoding="utf-8"?>
<ds:datastoreItem xmlns:ds="http://schemas.openxmlformats.org/officeDocument/2006/customXml" ds:itemID="{3F087130-DBB4-4B1C-A12D-7C05D511D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LAB-3a-WA Title Sheet</vt:lpstr>
      <vt:lpstr>LAB-3a-Statement Title</vt:lpstr>
      <vt:lpstr>LAB-3a-Dec. St. of Operations</vt:lpstr>
      <vt:lpstr>LAB-3a-ROR Title Sheet</vt:lpstr>
      <vt:lpstr>LAB-3a-Summary</vt:lpstr>
      <vt:lpstr>LAB-3a-Weather Title Sheet</vt:lpstr>
      <vt:lpstr>LAB-3a-Weather Norm Adj</vt:lpstr>
      <vt:lpstr>LAB-3a-Adj. Title Sheet</vt:lpstr>
      <vt:lpstr>LAB-3a-Acct. Adj. Summary</vt:lpstr>
      <vt:lpstr>LAB-3a-Promo Adv Adj</vt:lpstr>
      <vt:lpstr>'LAB-3a-Dec. St. of Operations'!Print_Area</vt:lpstr>
      <vt:lpstr>'LAB-3a-Promo Adv Adj'!Print_Area</vt:lpstr>
      <vt:lpstr>'LAB-3a-ROR Title Sheet'!Print_Area</vt:lpstr>
      <vt:lpstr>'LAB-3a-Summary'!Print_Area</vt:lpstr>
      <vt:lpstr>'LAB-3a-WA Title Sheet'!Print_Area</vt:lpstr>
      <vt:lpstr>'LAB-3a-Weather Norm Adj'!Print_Area</vt:lpstr>
      <vt:lpstr>'LAB-3a-Weather Title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2024-03-28T20:52:36Z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