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vid Parcell\AppData\Local\Microsoft\Windows\INetCache\Content.Outlook\LD4RK7U6\"/>
    </mc:Choice>
  </mc:AlternateContent>
  <xr:revisionPtr revIDLastSave="0" documentId="13_ncr:1_{060995B1-F74A-484D-8BB9-FA27E6E8D6F6}" xr6:coauthVersionLast="47" xr6:coauthVersionMax="47" xr10:uidLastSave="{00000000-0000-0000-0000-000000000000}"/>
  <bookViews>
    <workbookView xWindow="-96" yWindow="-96" windowWidth="23232" windowHeight="12552" tabRatio="599" firstSheet="12" activeTab="18" xr2:uid="{00000000-000D-0000-FFFF-FFFF00000000}"/>
  </bookViews>
  <sheets>
    <sheet name="DCP-3" sheetId="97" r:id="rId1"/>
    <sheet name="DCP-4, P 1" sheetId="80" r:id="rId2"/>
    <sheet name="DCP-4, P 2" sheetId="82" r:id="rId3"/>
    <sheet name="DCP-4, P 3" sheetId="84" r:id="rId4"/>
    <sheet name="DCP-5, P 1" sheetId="98" r:id="rId5"/>
    <sheet name="Sch 5, P 2" sheetId="102" r:id="rId6"/>
    <sheet name=" DCP-6, P 1" sheetId="103" r:id="rId7"/>
    <sheet name="DCP-6, P 2 " sheetId="104" r:id="rId8"/>
    <sheet name="DCP-6, p 3" sheetId="105" r:id="rId9"/>
    <sheet name="DCP-7" sheetId="113" r:id="rId10"/>
    <sheet name="DCP-8" sheetId="75" r:id="rId11"/>
    <sheet name="DCP-9, P 1" sheetId="12" r:id="rId12"/>
    <sheet name="DCP-9, P 2" sheetId="13" r:id="rId13"/>
    <sheet name="DCP-9, P 3" sheetId="14" r:id="rId14"/>
    <sheet name="DCP-9, P 4" sheetId="114" r:id="rId15"/>
    <sheet name="DCP-9, P 5" sheetId="16" r:id="rId16"/>
    <sheet name="DCP-10" sheetId="55" r:id="rId17"/>
    <sheet name="DCP-11" sheetId="39" r:id="rId18"/>
    <sheet name="DCP-12, P 1" sheetId="19" r:id="rId19"/>
    <sheet name="DCP-12, P 2" sheetId="20" r:id="rId20"/>
    <sheet name="DCP-12, P 3" sheetId="118" r:id="rId21"/>
    <sheet name="DCP-13" sheetId="56" r:id="rId22"/>
    <sheet name="DCP-14, P 1" sheetId="23" r:id="rId23"/>
    <sheet name="DCP-14, P 2" sheetId="89" r:id="rId24"/>
    <sheet name="DCP-15, P 1" sheetId="115" r:id="rId25"/>
    <sheet name="DCP-15, P2" sheetId="116" r:id="rId26"/>
    <sheet name="DCP-15, P3" sheetId="11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22" localSheetId="6">#REF!</definedName>
    <definedName name="\22" localSheetId="24">'[1]Jun 99'!#REF!</definedName>
    <definedName name="\22" localSheetId="25">'[1]Jun 99'!#REF!</definedName>
    <definedName name="\22" localSheetId="26">'[1]Jun 99'!#REF!</definedName>
    <definedName name="\22" localSheetId="0">#REF!</definedName>
    <definedName name="\22" localSheetId="4">#REF!</definedName>
    <definedName name="\22" localSheetId="7">#REF!</definedName>
    <definedName name="\22" localSheetId="8">#REF!</definedName>
    <definedName name="\22">#REF!</definedName>
    <definedName name="\A" localSheetId="6">#REF!</definedName>
    <definedName name="\A" localSheetId="24">'[1]Jun 99'!#REF!</definedName>
    <definedName name="\A" localSheetId="25">'[1]Jun 99'!#REF!</definedName>
    <definedName name="\A" localSheetId="26">'[1]Jun 99'!#REF!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7">#REF!</definedName>
    <definedName name="\A" localSheetId="8">#REF!</definedName>
    <definedName name="\A">#REF!</definedName>
    <definedName name="\P" localSheetId="16">#REF!</definedName>
    <definedName name="\P" localSheetId="24">#REF!</definedName>
    <definedName name="\P" localSheetId="25">#REF!</definedName>
    <definedName name="\P" localSheetId="26">#REF!</definedName>
    <definedName name="\P" localSheetId="0">#REF!</definedName>
    <definedName name="\P" localSheetId="1">'DCP-4, P 1'!#REF!</definedName>
    <definedName name="\P" localSheetId="2">#REF!</definedName>
    <definedName name="\P" localSheetId="3">#REF!</definedName>
    <definedName name="\P" localSheetId="4">#REF!</definedName>
    <definedName name="\P" localSheetId="7">#REF!</definedName>
    <definedName name="\P" localSheetId="8">#REF!</definedName>
    <definedName name="\P">#REF!</definedName>
    <definedName name="\Q" localSheetId="16">#REF!</definedName>
    <definedName name="\Q" localSheetId="24">#REF!</definedName>
    <definedName name="\Q" localSheetId="25">#REF!</definedName>
    <definedName name="\Q" localSheetId="26">#REF!</definedName>
    <definedName name="\Q" localSheetId="0">#REF!</definedName>
    <definedName name="\Q" localSheetId="1">'DCP-4, P 1'!#REF!</definedName>
    <definedName name="\Q" localSheetId="2">#REF!</definedName>
    <definedName name="\Q" localSheetId="3">#REF!</definedName>
    <definedName name="\Q" localSheetId="4">#REF!</definedName>
    <definedName name="\Q" localSheetId="7">#REF!</definedName>
    <definedName name="\Q" localSheetId="8">#REF!</definedName>
    <definedName name="\Q">#REF!</definedName>
    <definedName name="\R" localSheetId="16">#REF!</definedName>
    <definedName name="\R" localSheetId="24">#REF!</definedName>
    <definedName name="\R" localSheetId="25">#REF!</definedName>
    <definedName name="\R" localSheetId="26">#REF!</definedName>
    <definedName name="\R" localSheetId="0">#REF!</definedName>
    <definedName name="\R" localSheetId="1">'DCP-4, P 1'!#REF!</definedName>
    <definedName name="\R" localSheetId="2">#REF!</definedName>
    <definedName name="\R" localSheetId="3">#REF!</definedName>
    <definedName name="\R" localSheetId="4">#REF!</definedName>
    <definedName name="\R" localSheetId="7">#REF!</definedName>
    <definedName name="\R" localSheetId="8">#REF!</definedName>
    <definedName name="\R">#REF!</definedName>
    <definedName name="\S" localSheetId="16">#REF!</definedName>
    <definedName name="\S" localSheetId="24">#REF!</definedName>
    <definedName name="\S" localSheetId="25">#REF!</definedName>
    <definedName name="\S" localSheetId="26">#REF!</definedName>
    <definedName name="\S" localSheetId="0">#REF!</definedName>
    <definedName name="\S" localSheetId="1">'DCP-4, P 1'!#REF!</definedName>
    <definedName name="\S" localSheetId="2">#REF!</definedName>
    <definedName name="\S" localSheetId="3">#REF!</definedName>
    <definedName name="\S" localSheetId="4">#REF!</definedName>
    <definedName name="\S" localSheetId="7">#REF!</definedName>
    <definedName name="\S" localSheetId="8">#REF!</definedName>
    <definedName name="\S">#REF!</definedName>
    <definedName name="\T" localSheetId="16">#REF!</definedName>
    <definedName name="\T" localSheetId="24">#REF!</definedName>
    <definedName name="\T" localSheetId="25">#REF!</definedName>
    <definedName name="\T" localSheetId="26">#REF!</definedName>
    <definedName name="\T" localSheetId="0">#REF!</definedName>
    <definedName name="\T" localSheetId="1">'DCP-4, P 1'!#REF!</definedName>
    <definedName name="\T" localSheetId="2">#REF!</definedName>
    <definedName name="\T" localSheetId="3">#REF!</definedName>
    <definedName name="\T" localSheetId="4">#REF!</definedName>
    <definedName name="\T" localSheetId="7">#REF!</definedName>
    <definedName name="\T" localSheetId="8">#REF!</definedName>
    <definedName name="\T">#REF!</definedName>
    <definedName name="\U" localSheetId="16">#REF!</definedName>
    <definedName name="\U" localSheetId="24">#REF!</definedName>
    <definedName name="\U" localSheetId="25">#REF!</definedName>
    <definedName name="\U" localSheetId="26">#REF!</definedName>
    <definedName name="\U" localSheetId="0">#REF!</definedName>
    <definedName name="\U" localSheetId="1">'DCP-4, P 1'!#REF!</definedName>
    <definedName name="\U" localSheetId="2">#REF!</definedName>
    <definedName name="\U" localSheetId="3">#REF!</definedName>
    <definedName name="\U" localSheetId="4">#REF!</definedName>
    <definedName name="\U" localSheetId="7">#REF!</definedName>
    <definedName name="\U" localSheetId="8">#REF!</definedName>
    <definedName name="\U">#REF!</definedName>
    <definedName name="__Div02" localSheetId="24">'[2]Alloc factors'!$D$12</definedName>
    <definedName name="__Div02" localSheetId="25">'[2]Alloc factors'!$D$12</definedName>
    <definedName name="__Div02" localSheetId="26">'[2]Alloc factors'!$D$12</definedName>
    <definedName name="__Div02">#REF!</definedName>
    <definedName name="__div10" localSheetId="6">#REF!</definedName>
    <definedName name="__div10" localSheetId="24">'[3]WP 1-2'!#REF!</definedName>
    <definedName name="__div10" localSheetId="25">'[3]WP 1-2'!#REF!</definedName>
    <definedName name="__div10" localSheetId="26">'[3]WP 1-2'!#REF!</definedName>
    <definedName name="__div10" localSheetId="0">#REF!</definedName>
    <definedName name="__div10" localSheetId="1">#REF!</definedName>
    <definedName name="__div10" localSheetId="2">#REF!</definedName>
    <definedName name="__div10" localSheetId="3">#REF!</definedName>
    <definedName name="__div10" localSheetId="4">#REF!</definedName>
    <definedName name="__div10" localSheetId="8">#REF!</definedName>
    <definedName name="__div10">#REF!</definedName>
    <definedName name="__DIV12" localSheetId="24">'[4]Alloc factors'!$D$13</definedName>
    <definedName name="__DIV12" localSheetId="25">'[4]Alloc factors'!$D$13</definedName>
    <definedName name="__DIV12" localSheetId="26">'[4]Alloc factors'!$D$13</definedName>
    <definedName name="__DIV12">#REF!</definedName>
    <definedName name="__div21" localSheetId="6">#REF!</definedName>
    <definedName name="__div21" localSheetId="24">'[3]WP 1-2'!#REF!</definedName>
    <definedName name="__div21" localSheetId="25">'[3]WP 1-2'!#REF!</definedName>
    <definedName name="__div21" localSheetId="26">'[3]WP 1-2'!#REF!</definedName>
    <definedName name="__div21" localSheetId="0">#REF!</definedName>
    <definedName name="__div21" localSheetId="1">#REF!</definedName>
    <definedName name="__div21" localSheetId="2">#REF!</definedName>
    <definedName name="__div21" localSheetId="3">#REF!</definedName>
    <definedName name="__div21" localSheetId="4">#REF!</definedName>
    <definedName name="__div21" localSheetId="8">#REF!</definedName>
    <definedName name="__div21">#REF!</definedName>
    <definedName name="__EXH1" localSheetId="6">#REF!</definedName>
    <definedName name="__EXH1" localSheetId="24">#REF!</definedName>
    <definedName name="__EXH1" localSheetId="25">#REF!</definedName>
    <definedName name="__EXH1" localSheetId="26">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8">#REF!</definedName>
    <definedName name="__EXH1">#REF!</definedName>
    <definedName name="__EXH6" localSheetId="6">#REF!</definedName>
    <definedName name="__EXH6" localSheetId="24">#REF!</definedName>
    <definedName name="__EXH6" localSheetId="25">#REF!</definedName>
    <definedName name="__EXH6" localSheetId="26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8">#REF!</definedName>
    <definedName name="__EXH6">#REF!</definedName>
    <definedName name="__swe80" localSheetId="24">[5]Input!$E$29</definedName>
    <definedName name="__swe80" localSheetId="25">[5]Input!$E$29</definedName>
    <definedName name="__swe80" localSheetId="26">[5]Input!$E$29</definedName>
    <definedName name="__swe80">#REF!</definedName>
    <definedName name="__ucg80" localSheetId="24">[5]Input!$E$31</definedName>
    <definedName name="__ucg80" localSheetId="25">[5]Input!$E$31</definedName>
    <definedName name="__ucg80" localSheetId="26">[5]Input!$E$31</definedName>
    <definedName name="__ucg80">#REF!</definedName>
    <definedName name="_Div02" localSheetId="24">'[2]Alloc factors'!$D$12</definedName>
    <definedName name="_Div02" localSheetId="25">'[2]Alloc factors'!$D$12</definedName>
    <definedName name="_Div02" localSheetId="26">'[2]Alloc factors'!$D$12</definedName>
    <definedName name="_Div02">#REF!</definedName>
    <definedName name="_div10" localSheetId="24">'[3]WP 1-2'!#REF!</definedName>
    <definedName name="_div10" localSheetId="25">'[3]WP 1-2'!#REF!</definedName>
    <definedName name="_div10" localSheetId="26">'[3]WP 1-2'!#REF!</definedName>
    <definedName name="_div10" localSheetId="1">#REF!</definedName>
    <definedName name="_div10" localSheetId="2">#REF!</definedName>
    <definedName name="_div10" localSheetId="3">#REF!</definedName>
    <definedName name="_div10" localSheetId="8">#REF!</definedName>
    <definedName name="_div10">#REF!</definedName>
    <definedName name="_DIV12" localSheetId="24">'[4]Alloc factors'!$D$13</definedName>
    <definedName name="_DIV12" localSheetId="25">'[4]Alloc factors'!$D$13</definedName>
    <definedName name="_DIV12" localSheetId="26">'[4]Alloc factors'!$D$13</definedName>
    <definedName name="_DIV12">#REF!</definedName>
    <definedName name="_div21" localSheetId="24">'[3]WP 1-2'!#REF!</definedName>
    <definedName name="_div21" localSheetId="25">'[3]WP 1-2'!#REF!</definedName>
    <definedName name="_div21" localSheetId="26">'[3]WP 1-2'!#REF!</definedName>
    <definedName name="_div21" localSheetId="1">#REF!</definedName>
    <definedName name="_div21" localSheetId="2">#REF!</definedName>
    <definedName name="_div21" localSheetId="3">#REF!</definedName>
    <definedName name="_div21" localSheetId="8">#REF!</definedName>
    <definedName name="_div21">#REF!</definedName>
    <definedName name="_EXH1" localSheetId="24">#REF!</definedName>
    <definedName name="_EXH1" localSheetId="25">#REF!</definedName>
    <definedName name="_EXH1" localSheetId="26">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 localSheetId="8">#REF!</definedName>
    <definedName name="_EXH1">#REF!</definedName>
    <definedName name="_EXH6" localSheetId="24">#REF!</definedName>
    <definedName name="_EXH6" localSheetId="25">#REF!</definedName>
    <definedName name="_EXH6" localSheetId="26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 localSheetId="8">#REF!</definedName>
    <definedName name="_EXH6">#REF!</definedName>
    <definedName name="_Key1" localSheetId="24" hidden="1">#REF!</definedName>
    <definedName name="_Key1" localSheetId="25" hidden="1">#REF!</definedName>
    <definedName name="_Key1" localSheetId="26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8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localSheetId="24" hidden="1">#REF!</definedName>
    <definedName name="_Sort" localSheetId="25" hidden="1">#REF!</definedName>
    <definedName name="_Sort" localSheetId="26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8" hidden="1">#REF!</definedName>
    <definedName name="_Sort" hidden="1">#REF!</definedName>
    <definedName name="_swe80" localSheetId="24">[5]Input!$E$29</definedName>
    <definedName name="_swe80" localSheetId="25">[5]Input!$E$29</definedName>
    <definedName name="_swe80" localSheetId="26">[5]Input!$E$29</definedName>
    <definedName name="_swe80">#REF!</definedName>
    <definedName name="_ucg80" localSheetId="24">[5]Input!$E$31</definedName>
    <definedName name="_ucg80" localSheetId="25">[5]Input!$E$31</definedName>
    <definedName name="_ucg80" localSheetId="26">[5]Input!$E$31</definedName>
    <definedName name="_ucg80">#REF!</definedName>
    <definedName name="a" localSheetId="6">#REF!</definedName>
    <definedName name="a" localSheetId="24">#REF!</definedName>
    <definedName name="a" localSheetId="25">#REF!</definedName>
    <definedName name="a" localSheetId="26">#REF!</definedName>
    <definedName name="a" localSheetId="7">#REF!</definedName>
    <definedName name="a" localSheetId="8">#REF!</definedName>
    <definedName name="a">#REF!</definedName>
    <definedName name="AAA" localSheetId="16">#REF!</definedName>
    <definedName name="AAA" localSheetId="24">#REF!</definedName>
    <definedName name="AAA" localSheetId="25">#REF!</definedName>
    <definedName name="AAA" localSheetId="26">#REF!</definedName>
    <definedName name="AAA" localSheetId="0">#REF!</definedName>
    <definedName name="AAA" localSheetId="1">'DCP-4, P 1'!$A$4:$J$88</definedName>
    <definedName name="AAA" localSheetId="2">#REF!</definedName>
    <definedName name="AAA" localSheetId="3">#REF!</definedName>
    <definedName name="AAA" localSheetId="4">#REF!</definedName>
    <definedName name="AAA" localSheetId="7">#REF!</definedName>
    <definedName name="AAA" localSheetId="8">#REF!</definedName>
    <definedName name="AAA">#REF!</definedName>
    <definedName name="atmos" localSheetId="24">#REF!</definedName>
    <definedName name="atmos" localSheetId="25">#REF!</definedName>
    <definedName name="atmos" localSheetId="26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 localSheetId="8">#REF!</definedName>
    <definedName name="atmos">#REF!</definedName>
    <definedName name="AVG_RESIDUAL_PROFORMA" localSheetId="24">'[6]DATA INPUT'!$D$43</definedName>
    <definedName name="AVG_RESIDUAL_PROFORMA" localSheetId="25">'[6]DATA INPUT'!$D$43</definedName>
    <definedName name="AVG_RESIDUAL_PROFORMA" localSheetId="26">'[6]DATA INPUT'!$D$43</definedName>
    <definedName name="AVG_RESIDUAL_PROFORMA">#REF!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6">#REF!</definedName>
    <definedName name="BBB" localSheetId="16">#REF!</definedName>
    <definedName name="BBB" localSheetId="24">#REF!</definedName>
    <definedName name="BBB" localSheetId="25">#REF!</definedName>
    <definedName name="BBB" localSheetId="26">#REF!</definedName>
    <definedName name="BBB" localSheetId="0">#REF!</definedName>
    <definedName name="BBB" localSheetId="1">#REF!</definedName>
    <definedName name="BBB" localSheetId="2">'DCP-4, P 2'!$A$2:$M$89</definedName>
    <definedName name="BBB" localSheetId="3">#REF!</definedName>
    <definedName name="BBB" localSheetId="4">#REF!</definedName>
    <definedName name="BBB" localSheetId="7">#REF!</definedName>
    <definedName name="BBB" localSheetId="8">#REF!</definedName>
    <definedName name="BBB">#REF!</definedName>
    <definedName name="BUSUNIT" localSheetId="24">'[8]Input '!$C$9</definedName>
    <definedName name="BUSUNIT" localSheetId="25">'[8]Input '!$C$9</definedName>
    <definedName name="BUSUNIT" localSheetId="26">'[8]Input '!$C$9</definedName>
    <definedName name="BUSUNIT">#REF!</definedName>
    <definedName name="BUTLER" localSheetId="24">#REF!</definedName>
    <definedName name="BUTLER" localSheetId="25">#REF!</definedName>
    <definedName name="BUTLER" localSheetId="26">#REF!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 localSheetId="8">#REF!</definedName>
    <definedName name="BUTLER">#REF!</definedName>
    <definedName name="C_" localSheetId="24">'[4]Schedule 4 O&amp;M'!#REF!</definedName>
    <definedName name="C_" localSheetId="25">'[4]Schedule 4 O&amp;M'!#REF!</definedName>
    <definedName name="C_" localSheetId="26">'[4]Schedule 4 O&amp;M'!#REF!</definedName>
    <definedName name="C_" localSheetId="1">#REF!</definedName>
    <definedName name="C_" localSheetId="2">#REF!</definedName>
    <definedName name="C_" localSheetId="3">#REF!</definedName>
    <definedName name="C_" localSheetId="8">#REF!</definedName>
    <definedName name="C_">#REF!</definedName>
    <definedName name="capitalization">#REF!</definedName>
    <definedName name="CC" localSheetId="24">#REF!</definedName>
    <definedName name="CC" localSheetId="25">#REF!</definedName>
    <definedName name="CC" localSheetId="26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7">#REF!</definedName>
    <definedName name="CC" localSheetId="8">#REF!</definedName>
    <definedName name="CC">#REF!</definedName>
    <definedName name="CCC" localSheetId="16">#REF!</definedName>
    <definedName name="CCC" localSheetId="24">#REF!</definedName>
    <definedName name="CCC" localSheetId="25">#REF!</definedName>
    <definedName name="CCC" localSheetId="26">#REF!</definedName>
    <definedName name="CCC" localSheetId="0">#REF!</definedName>
    <definedName name="CCC" localSheetId="1">#REF!</definedName>
    <definedName name="CCC" localSheetId="2">#REF!</definedName>
    <definedName name="CCC" localSheetId="3">'DCP-4, P 3'!$A$3:$E$86</definedName>
    <definedName name="CCC" localSheetId="4">#REF!</definedName>
    <definedName name="CCC" localSheetId="7">#REF!</definedName>
    <definedName name="CCC" localSheetId="8">#REF!</definedName>
    <definedName name="CCC">#REF!</definedName>
    <definedName name="Central_Only" localSheetId="24">'[4]Alloc factors'!#REF!</definedName>
    <definedName name="Central_Only" localSheetId="25">'[4]Alloc factors'!#REF!</definedName>
    <definedName name="Central_Only" localSheetId="26">'[4]Alloc factors'!#REF!</definedName>
    <definedName name="Central_Only" localSheetId="1">#REF!</definedName>
    <definedName name="Central_Only" localSheetId="2">#REF!</definedName>
    <definedName name="Central_Only" localSheetId="3">#REF!</definedName>
    <definedName name="Central_Only" localSheetId="8">#REF!</definedName>
    <definedName name="Central_Only">#REF!</definedName>
    <definedName name="company" localSheetId="6">#REF!</definedName>
    <definedName name="company" localSheetId="24">'[9]Company Groups'!#REF!</definedName>
    <definedName name="company" localSheetId="25">'[9]Company Groups'!#REF!</definedName>
    <definedName name="company" localSheetId="26">'[9]Company Groups'!#REF!</definedName>
    <definedName name="company" localSheetId="0">#REF!</definedName>
    <definedName name="company" localSheetId="1">#REF!</definedName>
    <definedName name="company" localSheetId="2">#REF!</definedName>
    <definedName name="company" localSheetId="3">#REF!</definedName>
    <definedName name="company" localSheetId="4">#REF!</definedName>
    <definedName name="company" localSheetId="8">#REF!</definedName>
    <definedName name="company">#REF!</definedName>
    <definedName name="Cortez" localSheetId="24">'[4]Alloc factors'!#REF!</definedName>
    <definedName name="Cortez" localSheetId="25">'[4]Alloc factors'!#REF!</definedName>
    <definedName name="Cortez" localSheetId="26">'[4]Alloc factors'!#REF!</definedName>
    <definedName name="Cortez" localSheetId="1">#REF!</definedName>
    <definedName name="Cortez" localSheetId="2">#REF!</definedName>
    <definedName name="Cortez" localSheetId="3">#REF!</definedName>
    <definedName name="Cortez" localSheetId="8">#REF!</definedName>
    <definedName name="Cortez">#REF!</definedName>
    <definedName name="csDesignMode">1</definedName>
    <definedName name="customerinput" localSheetId="24">#REF!</definedName>
    <definedName name="customerinput" localSheetId="25">#REF!</definedName>
    <definedName name="customerinput" localSheetId="26">#REF!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8">#REF!</definedName>
    <definedName name="customerinput">#REF!</definedName>
    <definedName name="DATA">#N/A</definedName>
    <definedName name="dataset" localSheetId="24">#REF!</definedName>
    <definedName name="dataset" localSheetId="25">#REF!</definedName>
    <definedName name="dataset" localSheetId="26">#REF!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8">#REF!</definedName>
    <definedName name="dataset">#REF!</definedName>
    <definedName name="date" localSheetId="24">#REF!</definedName>
    <definedName name="date" localSheetId="25">#REF!</definedName>
    <definedName name="date" localSheetId="26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8">#REF!</definedName>
    <definedName name="date">#REF!</definedName>
    <definedName name="DDD" localSheetId="6">#REF!</definedName>
    <definedName name="DDD" localSheetId="24">#REF!</definedName>
    <definedName name="DDD" localSheetId="25">#REF!</definedName>
    <definedName name="DDD" localSheetId="26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7">#REF!</definedName>
    <definedName name="DDD" localSheetId="8">'DCP-6, p 3'!$A$3:$F$48</definedName>
    <definedName name="DDD">#REF!</definedName>
    <definedName name="DEPRECIATION" localSheetId="24">'[1]Jun 99'!#REF!</definedName>
    <definedName name="DEPRECIATION" localSheetId="25">'[1]Jun 99'!#REF!</definedName>
    <definedName name="DEPRECIATION" localSheetId="26">'[1]Jun 99'!#REF!</definedName>
    <definedName name="DEPRECIATION" localSheetId="1">#REF!</definedName>
    <definedName name="DEPRECIATION" localSheetId="2">#REF!</definedName>
    <definedName name="DEPRECIATION" localSheetId="3">#REF!</definedName>
    <definedName name="DEPRECIATION" localSheetId="8">#REF!</definedName>
    <definedName name="DEPRECIATION">#REF!</definedName>
    <definedName name="DJInd" localSheetId="24">#REF!</definedName>
    <definedName name="DJInd" localSheetId="25">#REF!</definedName>
    <definedName name="DJInd" localSheetId="26">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 localSheetId="8">#REF!</definedName>
    <definedName name="DJInd">#REF!</definedName>
    <definedName name="DJUtil" localSheetId="24">#REF!</definedName>
    <definedName name="DJUtil" localSheetId="25">#REF!</definedName>
    <definedName name="DJUtil" localSheetId="26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 localSheetId="8">#REF!</definedName>
    <definedName name="DJUtil">#REF!</definedName>
    <definedName name="Durango" localSheetId="24">'[4]Alloc factors'!#REF!</definedName>
    <definedName name="Durango" localSheetId="25">'[4]Alloc factors'!#REF!</definedName>
    <definedName name="Durango" localSheetId="26">'[4]Alloc factors'!#REF!</definedName>
    <definedName name="Durango" localSheetId="1">#REF!</definedName>
    <definedName name="Durango" localSheetId="2">#REF!</definedName>
    <definedName name="Durango" localSheetId="3">#REF!</definedName>
    <definedName name="Durango" localSheetId="8">#REF!</definedName>
    <definedName name="Durango">#REF!</definedName>
    <definedName name="EEE" localSheetId="24">#REF!</definedName>
    <definedName name="EEE" localSheetId="25">#REF!</definedName>
    <definedName name="EEE" localSheetId="26">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7">#REF!</definedName>
    <definedName name="EEE" localSheetId="8">#REF!</definedName>
    <definedName name="EEE">#REF!</definedName>
    <definedName name="EV__LASTREFTIME__" hidden="1">39198.5712152778</definedName>
    <definedName name="EXH1A" localSheetId="24">#REF!</definedName>
    <definedName name="EXH1A" localSheetId="25">#REF!</definedName>
    <definedName name="EXH1A" localSheetId="26">#REF!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 localSheetId="8">#REF!</definedName>
    <definedName name="EXH1A">#REF!</definedName>
    <definedName name="FFF" localSheetId="24">#REF!</definedName>
    <definedName name="FFF" localSheetId="25">#REF!</definedName>
    <definedName name="FFF" localSheetId="26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7">#REF!</definedName>
    <definedName name="FFF" localSheetId="8">#REF!</definedName>
    <definedName name="FFF">#REF!</definedName>
    <definedName name="Fremont" localSheetId="24">'[4]Alloc factors'!#REF!</definedName>
    <definedName name="Fremont" localSheetId="25">'[4]Alloc factors'!#REF!</definedName>
    <definedName name="Fremont" localSheetId="26">'[4]Alloc factors'!#REF!</definedName>
    <definedName name="Fremont" localSheetId="1">#REF!</definedName>
    <definedName name="Fremont" localSheetId="2">#REF!</definedName>
    <definedName name="Fremont" localSheetId="3">#REF!</definedName>
    <definedName name="Fremont" localSheetId="8">#REF!</definedName>
    <definedName name="Fremont">#REF!</definedName>
    <definedName name="GGG" localSheetId="24">#REF!</definedName>
    <definedName name="GGG" localSheetId="25">#REF!</definedName>
    <definedName name="GGG" localSheetId="26">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7">#REF!</definedName>
    <definedName name="GGG" localSheetId="8">#REF!</definedName>
    <definedName name="GGG">#REF!</definedName>
    <definedName name="GOEXP" localSheetId="24">'[8]Input '!#REF!</definedName>
    <definedName name="GOEXP" localSheetId="25">'[8]Input '!#REF!</definedName>
    <definedName name="GOEXP" localSheetId="26">'[8]Input '!#REF!</definedName>
    <definedName name="GOEXP" localSheetId="1">#REF!</definedName>
    <definedName name="GOEXP" localSheetId="2">#REF!</definedName>
    <definedName name="GOEXP" localSheetId="3">#REF!</definedName>
    <definedName name="GOEXP" localSheetId="8">#REF!</definedName>
    <definedName name="GOEXP">#REF!</definedName>
    <definedName name="GOEXP_PROFORMA" localSheetId="24">'[6]DATA INPUT'!$D$53</definedName>
    <definedName name="GOEXP_PROFORMA" localSheetId="25">'[6]DATA INPUT'!$D$53</definedName>
    <definedName name="GOEXP_PROFORMA" localSheetId="26">'[6]DATA INPUT'!$D$53</definedName>
    <definedName name="GOEXP_PROFORMA">#REF!</definedName>
    <definedName name="GOPLANT" localSheetId="24">'[8]Input '!#REF!</definedName>
    <definedName name="GOPLANT" localSheetId="25">'[8]Input '!#REF!</definedName>
    <definedName name="GOPLANT" localSheetId="26">'[8]Input '!#REF!</definedName>
    <definedName name="GOPLANT" localSheetId="1">#REF!</definedName>
    <definedName name="GOPLANT" localSheetId="2">#REF!</definedName>
    <definedName name="GOPLANT" localSheetId="3">#REF!</definedName>
    <definedName name="GOPLANT" localSheetId="8">#REF!</definedName>
    <definedName name="GOPLANT">#REF!</definedName>
    <definedName name="GOPLANT_PROFORMA" localSheetId="24">'[6]DATA INPUT'!$D$57</definedName>
    <definedName name="GOPLANT_PROFORMA" localSheetId="25">'[6]DATA INPUT'!$D$57</definedName>
    <definedName name="GOPLANT_PROFORMA" localSheetId="26">'[6]DATA INPUT'!$D$57</definedName>
    <definedName name="GOPLANT_PROFORMA">#REF!</definedName>
    <definedName name="HTML_CodePage" hidden="1">1252</definedName>
    <definedName name="HTML_Control" localSheetId="25" hidden="1">{"'Sheet1'!$A$1:$O$40"}</definedName>
    <definedName name="HTML_Control" localSheetId="26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localSheetId="25" hidden="1">{"'Sheet1'!$A$1:$O$40"}</definedName>
    <definedName name="jhlkqFL" localSheetId="26" hidden="1">{"'Sheet1'!$A$1:$O$40"}</definedName>
    <definedName name="jhlkqFL" hidden="1">{"'Sheet1'!$A$1:$O$40"}</definedName>
    <definedName name="JURISDICTION" localSheetId="24">'[8]Input '!$C$8</definedName>
    <definedName name="JURISDICTION" localSheetId="25">'[8]Input '!$C$8</definedName>
    <definedName name="JURISDICTION" localSheetId="26">'[8]Input '!$C$8</definedName>
    <definedName name="JURISDICTION">#REF!</definedName>
    <definedName name="KIRK" localSheetId="24">#REF!</definedName>
    <definedName name="KIRK" localSheetId="25">#REF!</definedName>
    <definedName name="KIRK" localSheetId="26">#REF!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 localSheetId="8">#REF!</definedName>
    <definedName name="KIRK">#REF!</definedName>
    <definedName name="Kirk_Plant" localSheetId="24">#REF!</definedName>
    <definedName name="Kirk_Plant" localSheetId="25">#REF!</definedName>
    <definedName name="Kirk_Plant" localSheetId="26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8">#REF!</definedName>
    <definedName name="Kirk_Plant">#REF!</definedName>
    <definedName name="LDCs" localSheetId="24">#REF!</definedName>
    <definedName name="LDCs" localSheetId="25">#REF!</definedName>
    <definedName name="LDCs" localSheetId="26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 localSheetId="8">#REF!</definedName>
    <definedName name="LDCs">#REF!</definedName>
    <definedName name="Litigated_BaseROEs_2006">#REF!</definedName>
    <definedName name="Litigated_BaseROEs_2007">#REF!</definedName>
    <definedName name="Litigated_BaseROEs_2008">#REF!</definedName>
    <definedName name="Litigated_BaseROEs_2009">#REF!</definedName>
    <definedName name="Litigated_BaseROEs_2010">#REF!</definedName>
    <definedName name="Litigated_BaseROEs_2011">#REF!</definedName>
    <definedName name="Litigated_BaseROEs_2012">#REF!</definedName>
    <definedName name="Litigated_BaseROEs_2013">#REF!</definedName>
    <definedName name="Litigated_BaseROEs_2014">#REF!</definedName>
    <definedName name="LTD_Rate" localSheetId="24">'[8]Input '!$C$23</definedName>
    <definedName name="LTD_Rate" localSheetId="25">'[8]Input '!$C$23</definedName>
    <definedName name="LTD_Rate" localSheetId="26">'[8]Input '!$C$23</definedName>
    <definedName name="LTD_Rate">#REF!</definedName>
    <definedName name="LTDcostrate" localSheetId="24">#REF!</definedName>
    <definedName name="LTDcostrate" localSheetId="25">#REF!</definedName>
    <definedName name="LTDcostrate" localSheetId="26">#REF!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8">#REF!</definedName>
    <definedName name="LTDcostrate">#REF!</definedName>
    <definedName name="Market_Return" localSheetId="24">#REF!</definedName>
    <definedName name="Market_Return" localSheetId="25">#REF!</definedName>
    <definedName name="Market_Return" localSheetId="26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8">#REF!</definedName>
    <definedName name="Market_Return">#REF!</definedName>
    <definedName name="Moodys">#REF!</definedName>
    <definedName name="MS" localSheetId="24">#REF!</definedName>
    <definedName name="MS" localSheetId="25">#REF!</definedName>
    <definedName name="MS" localSheetId="26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8">#REF!</definedName>
    <definedName name="MS">#REF!</definedName>
    <definedName name="MS_Plant" localSheetId="24">#REF!</definedName>
    <definedName name="MS_Plant" localSheetId="25">#REF!</definedName>
    <definedName name="MS_Plant" localSheetId="26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 localSheetId="8">#REF!</definedName>
    <definedName name="MS_Plant">#REF!</definedName>
    <definedName name="NAME">#N/A</definedName>
    <definedName name="NEadit" localSheetId="24">#REF!</definedName>
    <definedName name="NEadit" localSheetId="25">#REF!</definedName>
    <definedName name="NEadit" localSheetId="26">#REF!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 localSheetId="8">#REF!</definedName>
    <definedName name="NEadit">#REF!</definedName>
    <definedName name="NEadv" localSheetId="24">#REF!</definedName>
    <definedName name="NEadv" localSheetId="25">#REF!</definedName>
    <definedName name="NEadv" localSheetId="26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 localSheetId="8">#REF!</definedName>
    <definedName name="NEadv">#REF!</definedName>
    <definedName name="NEcash" localSheetId="24">#REF!</definedName>
    <definedName name="NEcash" localSheetId="25">#REF!</definedName>
    <definedName name="NEcash" localSheetId="26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 localSheetId="8">#REF!</definedName>
    <definedName name="NEcash">#REF!</definedName>
    <definedName name="NEcwip" localSheetId="24">#REF!</definedName>
    <definedName name="NEcwip" localSheetId="25">#REF!</definedName>
    <definedName name="NEcwip" localSheetId="26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 localSheetId="8">#REF!</definedName>
    <definedName name="NEcwip">#REF!</definedName>
    <definedName name="NEdep" localSheetId="24">#REF!</definedName>
    <definedName name="NEdep" localSheetId="25">#REF!</definedName>
    <definedName name="NEdep" localSheetId="26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 localSheetId="8">#REF!</definedName>
    <definedName name="NEdep">#REF!</definedName>
    <definedName name="NEmatsup" localSheetId="24">#REF!</definedName>
    <definedName name="NEmatsup" localSheetId="25">#REF!</definedName>
    <definedName name="NEmatsup" localSheetId="26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 localSheetId="8">#REF!</definedName>
    <definedName name="NEmatsup">#REF!</definedName>
    <definedName name="NEplant" localSheetId="24">#REF!</definedName>
    <definedName name="NEplant" localSheetId="25">#REF!</definedName>
    <definedName name="NEplant" localSheetId="26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 localSheetId="8">#REF!</definedName>
    <definedName name="NEplant">#REF!</definedName>
    <definedName name="NEpp" localSheetId="24">#REF!</definedName>
    <definedName name="NEpp" localSheetId="25">#REF!</definedName>
    <definedName name="NEpp" localSheetId="26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 localSheetId="8">#REF!</definedName>
    <definedName name="NEpp">#REF!</definedName>
    <definedName name="NEstorg" localSheetId="24">#REF!</definedName>
    <definedName name="NEstorg" localSheetId="25">#REF!</definedName>
    <definedName name="NEstorg" localSheetId="26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 localSheetId="8">#REF!</definedName>
    <definedName name="NEstorg">#REF!</definedName>
    <definedName name="NW_Only" localSheetId="24">'[4]Alloc factors'!#REF!</definedName>
    <definedName name="NW_Only" localSheetId="25">'[4]Alloc factors'!#REF!</definedName>
    <definedName name="NW_Only" localSheetId="26">'[4]Alloc factors'!#REF!</definedName>
    <definedName name="NW_Only" localSheetId="1">#REF!</definedName>
    <definedName name="NW_Only" localSheetId="2">#REF!</definedName>
    <definedName name="NW_Only" localSheetId="3">#REF!</definedName>
    <definedName name="NW_Only" localSheetId="8">#REF!</definedName>
    <definedName name="NW_Only">#REF!</definedName>
    <definedName name="NWadit" localSheetId="24">#REF!</definedName>
    <definedName name="NWadit" localSheetId="25">#REF!</definedName>
    <definedName name="NWadit" localSheetId="26">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 localSheetId="8">#REF!</definedName>
    <definedName name="NWadit">#REF!</definedName>
    <definedName name="NWadv" localSheetId="24">#REF!</definedName>
    <definedName name="NWadv" localSheetId="25">#REF!</definedName>
    <definedName name="NWadv" localSheetId="26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 localSheetId="8">#REF!</definedName>
    <definedName name="NWadv">#REF!</definedName>
    <definedName name="NWcash" localSheetId="24">#REF!</definedName>
    <definedName name="NWcash" localSheetId="25">#REF!</definedName>
    <definedName name="NWcash" localSheetId="26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 localSheetId="8">#REF!</definedName>
    <definedName name="NWcash">#REF!</definedName>
    <definedName name="NWcwip" localSheetId="24">#REF!</definedName>
    <definedName name="NWcwip" localSheetId="25">#REF!</definedName>
    <definedName name="NWcwip" localSheetId="26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 localSheetId="8">#REF!</definedName>
    <definedName name="NWcwip">#REF!</definedName>
    <definedName name="NWdep" localSheetId="24">#REF!</definedName>
    <definedName name="NWdep" localSheetId="25">#REF!</definedName>
    <definedName name="NWdep" localSheetId="26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 localSheetId="8">#REF!</definedName>
    <definedName name="NWdep">#REF!</definedName>
    <definedName name="NWmatsup" localSheetId="24">#REF!</definedName>
    <definedName name="NWmatsup" localSheetId="25">#REF!</definedName>
    <definedName name="NWmatsup" localSheetId="26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 localSheetId="8">#REF!</definedName>
    <definedName name="NWmatsup">#REF!</definedName>
    <definedName name="NWplant" localSheetId="24">#REF!</definedName>
    <definedName name="NWplant" localSheetId="25">#REF!</definedName>
    <definedName name="NWplant" localSheetId="26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 localSheetId="8">#REF!</definedName>
    <definedName name="NWplant">#REF!</definedName>
    <definedName name="NWpp" localSheetId="24">#REF!</definedName>
    <definedName name="NWpp" localSheetId="25">#REF!</definedName>
    <definedName name="NWpp" localSheetId="26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 localSheetId="8">#REF!</definedName>
    <definedName name="NWpp">#REF!</definedName>
    <definedName name="NWstorg" localSheetId="24">#REF!</definedName>
    <definedName name="NWstorg" localSheetId="25">#REF!</definedName>
    <definedName name="NWstorg" localSheetId="26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 localSheetId="8">#REF!</definedName>
    <definedName name="NWstorg">#REF!</definedName>
    <definedName name="PAGE1">#N/A</definedName>
    <definedName name="PAGE5" localSheetId="24">#REF!</definedName>
    <definedName name="PAGE5" localSheetId="25">#REF!</definedName>
    <definedName name="PAGE5" localSheetId="26">#REF!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 localSheetId="8">#REF!</definedName>
    <definedName name="PAGE5">#REF!</definedName>
    <definedName name="PAGE6" localSheetId="24">#REF!</definedName>
    <definedName name="PAGE6" localSheetId="25">#REF!</definedName>
    <definedName name="PAGE6" localSheetId="26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 localSheetId="8">#REF!</definedName>
    <definedName name="PAGE6">#REF!</definedName>
    <definedName name="PAGE7" localSheetId="24">#REF!</definedName>
    <definedName name="PAGE7" localSheetId="25">#REF!</definedName>
    <definedName name="PAGE7" localSheetId="26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 localSheetId="8">#REF!</definedName>
    <definedName name="PAGE7">#REF!</definedName>
    <definedName name="PAGE8" localSheetId="24">#REF!</definedName>
    <definedName name="PAGE8" localSheetId="25">#REF!</definedName>
    <definedName name="PAGE8" localSheetId="26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 localSheetId="8">#REF!</definedName>
    <definedName name="PAGE8">#REF!</definedName>
    <definedName name="Parent_Company" localSheetId="6">#REF!</definedName>
    <definedName name="Parent_Company" localSheetId="24">'[10]Company Groups'!$B$3</definedName>
    <definedName name="Parent_Company" localSheetId="25">'[10]Company Groups'!$B$3</definedName>
    <definedName name="Parent_Company" localSheetId="26">'[10]Company Groups'!$B$3</definedName>
    <definedName name="Parent_Company" localSheetId="0">#REF!</definedName>
    <definedName name="Parent_Company" localSheetId="1">#REF!</definedName>
    <definedName name="Parent_Company" localSheetId="2">#REF!</definedName>
    <definedName name="Parent_Company" localSheetId="3">#REF!</definedName>
    <definedName name="Parent_Company" localSheetId="4">#REF!</definedName>
    <definedName name="Parent_Company" localSheetId="8">#REF!</definedName>
    <definedName name="Parent_Company">#REF!</definedName>
    <definedName name="PPP" localSheetId="21">'DCP-13'!$A$1:$G$65</definedName>
    <definedName name="PPP" localSheetId="24">#REF!</definedName>
    <definedName name="PPP" localSheetId="25">#REF!</definedName>
    <definedName name="PPP" localSheetId="26">#REF!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7">#REF!</definedName>
    <definedName name="PPP">#REF!</definedName>
    <definedName name="_xlnm.Print_Area" localSheetId="18">'DCP-12, P 1'!$A$1:$AB$44</definedName>
    <definedName name="_xlnm.Print_Area" localSheetId="19">'DCP-12, P 2'!$A$1:$X$42</definedName>
    <definedName name="_xlnm.Print_Area" localSheetId="24">#REF!</definedName>
    <definedName name="_xlnm.Print_Area" localSheetId="25">#REF!</definedName>
    <definedName name="_xlnm.Print_Area" localSheetId="26">#REF!</definedName>
    <definedName name="_xlnm.Print_Area" localSheetId="1">'DCP-4, P 1'!$A$1:$I$86</definedName>
    <definedName name="_xlnm.Print_Area" localSheetId="2">'DCP-4, P 2'!$A$1:$M$89</definedName>
    <definedName name="_xlnm.Print_Area" localSheetId="3">'DCP-4, P 3'!$A$1:$E$84</definedName>
    <definedName name="_xlnm.Print_Area" localSheetId="4">#REF!</definedName>
    <definedName name="_xlnm.Print_Area" localSheetId="7">'DCP-6, P 2 '!$A$1:$E$40</definedName>
    <definedName name="_xlnm.Print_Area" localSheetId="8">#REF!</definedName>
    <definedName name="_xlnm.Print_Area" localSheetId="12">'DCP-9, P 2'!$A$1:$L$35</definedName>
    <definedName name="_xlnm.Print_Area" localSheetId="13">'DCP-9, P 3'!$A$1:$K$38</definedName>
    <definedName name="_xlnm.Print_Area" localSheetId="5">'Sch 5, P 2'!$A$1:$F$30</definedName>
    <definedName name="_xlnm.Print_Area">#REF!</definedName>
    <definedName name="Print_Area_MI" localSheetId="24">'[1]Jun 99'!#REF!</definedName>
    <definedName name="Print_Area_MI" localSheetId="25">'[1]Jun 99'!#REF!</definedName>
    <definedName name="Print_Area_MI" localSheetId="26">'[1]Jun 99'!#REF!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8">#REF!</definedName>
    <definedName name="Print_Area_MI">#REF!</definedName>
    <definedName name="_xlnm.Print_Titles" localSheetId="1">'DCP-4, P 1'!$5:$11</definedName>
    <definedName name="_xlnm.Print_Titles" localSheetId="2">'DCP-4, P 2'!$4:$11</definedName>
    <definedName name="_xlnm.Print_Titles" localSheetId="3">'DCP-4, P 3'!$4:$10</definedName>
    <definedName name="_xlnm.Print_Titles">#N/A</definedName>
    <definedName name="PROPERTY" localSheetId="24">'[1]Jun 99'!#REF!</definedName>
    <definedName name="PROPERTY" localSheetId="25">'[1]Jun 99'!#REF!</definedName>
    <definedName name="PROPERTY" localSheetId="26">'[1]Jun 99'!#REF!</definedName>
    <definedName name="PROPERTY" localSheetId="1">#REF!</definedName>
    <definedName name="PROPERTY" localSheetId="2">#REF!</definedName>
    <definedName name="PROPERTY" localSheetId="3">#REF!</definedName>
    <definedName name="PROPERTY" localSheetId="8">#REF!</definedName>
    <definedName name="PROPERTY">#REF!</definedName>
    <definedName name="Risk_Free_Rate" localSheetId="24">#REF!</definedName>
    <definedName name="Risk_Free_Rate" localSheetId="25">#REF!</definedName>
    <definedName name="Risk_Free_Rate" localSheetId="26">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8">#REF!</definedName>
    <definedName name="Risk_Free_Rate">#REF!</definedName>
    <definedName name="riskmeasures">'[11]Utility Proxy Group'!$B$8:$O$53</definedName>
    <definedName name="ROEXP" localSheetId="24">'[8]Input '!#REF!</definedName>
    <definedName name="ROEXP" localSheetId="25">'[8]Input '!#REF!</definedName>
    <definedName name="ROEXP" localSheetId="26">'[8]Input '!#REF!</definedName>
    <definedName name="ROEXP" localSheetId="1">#REF!</definedName>
    <definedName name="ROEXP" localSheetId="2">#REF!</definedName>
    <definedName name="ROEXP" localSheetId="3">#REF!</definedName>
    <definedName name="ROEXP" localSheetId="8">#REF!</definedName>
    <definedName name="ROEXP">#REF!</definedName>
    <definedName name="ROPLANT" localSheetId="24">'[8]Input '!#REF!</definedName>
    <definedName name="ROPLANT" localSheetId="25">'[8]Input '!#REF!</definedName>
    <definedName name="ROPLANT" localSheetId="26">'[8]Input '!#REF!</definedName>
    <definedName name="ROPLANT" localSheetId="1">#REF!</definedName>
    <definedName name="ROPLANT" localSheetId="2">#REF!</definedName>
    <definedName name="ROPLANT" localSheetId="3">#REF!</definedName>
    <definedName name="ROPLANT" localSheetId="8">#REF!</definedName>
    <definedName name="ROPLANT">#REF!</definedName>
    <definedName name="ROR_Rate" localSheetId="24">'[8]Input '!$C$25</definedName>
    <definedName name="ROR_Rate" localSheetId="25">'[8]Input '!$C$25</definedName>
    <definedName name="ROR_Rate" localSheetId="26">'[8]Input '!$C$25</definedName>
    <definedName name="ROR_Rate">#REF!</definedName>
    <definedName name="RRR" localSheetId="1">#REF!</definedName>
    <definedName name="RRR" localSheetId="2">#REF!</definedName>
    <definedName name="RRR" localSheetId="3">#REF!</definedName>
    <definedName name="RRR" localSheetId="7">#REF!</definedName>
    <definedName name="RRR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 localSheetId="24">[12]WP_H9!$A$1:$Q$46</definedName>
    <definedName name="sch" localSheetId="25">[12]WP_H9!$A$1:$Q$46</definedName>
    <definedName name="sch" localSheetId="26">[12]WP_H9!$A$1:$Q$46</definedName>
    <definedName name="sch">#REF!</definedName>
    <definedName name="SCH_B1" localSheetId="24">[13]SCH_B1!$A$1:$G$30</definedName>
    <definedName name="SCH_B1" localSheetId="25">[13]SCH_B1!$A$1:$G$30</definedName>
    <definedName name="SCH_B1" localSheetId="26">[13]SCH_B1!$A$1:$G$30</definedName>
    <definedName name="SCH_B1">#REF!</definedName>
    <definedName name="SCH_B3" localSheetId="24">[13]SCH_B3!$A$1:$G$42</definedName>
    <definedName name="SCH_B3" localSheetId="25">[13]SCH_B3!$A$1:$G$42</definedName>
    <definedName name="SCH_B3" localSheetId="26">[13]SCH_B3!$A$1:$G$42</definedName>
    <definedName name="SCH_B3">#REF!</definedName>
    <definedName name="SCH_C2" localSheetId="24">[13]SCH_C2!$A$1:$G$42</definedName>
    <definedName name="SCH_C2" localSheetId="25">[13]SCH_C2!$A$1:$G$42</definedName>
    <definedName name="SCH_C2" localSheetId="26">[13]SCH_C2!$A$1:$G$42</definedName>
    <definedName name="SCH_C2">#REF!</definedName>
    <definedName name="SCH_D2" localSheetId="24">[13]SCH_D2!$A$1:$G$42</definedName>
    <definedName name="SCH_D2" localSheetId="25">[13]SCH_D2!$A$1:$G$42</definedName>
    <definedName name="SCH_D2" localSheetId="26">[13]SCH_D2!$A$1:$G$42</definedName>
    <definedName name="SCH_D2">#REF!</definedName>
    <definedName name="SCH_H2" localSheetId="24">[13]SCH_H2!$A$1:$G$42</definedName>
    <definedName name="SCH_H2" localSheetId="25">[13]SCH_H2!$A$1:$G$42</definedName>
    <definedName name="SCH_H2" localSheetId="26">[13]SCH_H2!$A$1:$G$42</definedName>
    <definedName name="SCH_H2">#REF!</definedName>
    <definedName name="SE_Only" localSheetId="24">'[4]Alloc factors'!#REF!</definedName>
    <definedName name="SE_Only" localSheetId="25">'[4]Alloc factors'!#REF!</definedName>
    <definedName name="SE_Only" localSheetId="26">'[4]Alloc factors'!#REF!</definedName>
    <definedName name="SE_Only" localSheetId="1">#REF!</definedName>
    <definedName name="SE_Only" localSheetId="2">#REF!</definedName>
    <definedName name="SE_Only" localSheetId="3">#REF!</definedName>
    <definedName name="SE_Only" localSheetId="8">#REF!</definedName>
    <definedName name="SE_Only">#REF!</definedName>
    <definedName name="SEadit" localSheetId="24">#REF!</definedName>
    <definedName name="SEadit" localSheetId="25">#REF!</definedName>
    <definedName name="SEadit" localSheetId="26">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 localSheetId="8">#REF!</definedName>
    <definedName name="SEadit">#REF!</definedName>
    <definedName name="SEadv" localSheetId="24">#REF!</definedName>
    <definedName name="SEadv" localSheetId="25">#REF!</definedName>
    <definedName name="SEadv" localSheetId="26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 localSheetId="8">#REF!</definedName>
    <definedName name="SEadv">#REF!</definedName>
    <definedName name="SEcash" localSheetId="24">#REF!</definedName>
    <definedName name="SEcash" localSheetId="25">#REF!</definedName>
    <definedName name="SEcash" localSheetId="26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 localSheetId="8">#REF!</definedName>
    <definedName name="SEcash">#REF!</definedName>
    <definedName name="SEcwip" localSheetId="24">#REF!</definedName>
    <definedName name="SEcwip" localSheetId="25">#REF!</definedName>
    <definedName name="SEcwip" localSheetId="26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 localSheetId="8">#REF!</definedName>
    <definedName name="SEcwip">#REF!</definedName>
    <definedName name="SEdep" localSheetId="24">#REF!</definedName>
    <definedName name="SEdep" localSheetId="25">#REF!</definedName>
    <definedName name="SEdep" localSheetId="26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 localSheetId="8">#REF!</definedName>
    <definedName name="SEdep">#REF!</definedName>
    <definedName name="SEmatsup" localSheetId="24">#REF!</definedName>
    <definedName name="SEmatsup" localSheetId="25">#REF!</definedName>
    <definedName name="SEmatsup" localSheetId="26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 localSheetId="8">#REF!</definedName>
    <definedName name="SEmatsup">#REF!</definedName>
    <definedName name="SEMO" localSheetId="24">#REF!</definedName>
    <definedName name="SEMO" localSheetId="25">#REF!</definedName>
    <definedName name="SEMO" localSheetId="26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 localSheetId="8">#REF!</definedName>
    <definedName name="SEMO">#REF!</definedName>
    <definedName name="SEMO_Plant" localSheetId="24">#REF!</definedName>
    <definedName name="SEMO_Plant" localSheetId="25">#REF!</definedName>
    <definedName name="SEMO_Plant" localSheetId="26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8">#REF!</definedName>
    <definedName name="SEMO_Plant">#REF!</definedName>
    <definedName name="SEplant" localSheetId="24">#REF!</definedName>
    <definedName name="SEplant" localSheetId="25">#REF!</definedName>
    <definedName name="SEplant" localSheetId="26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 localSheetId="8">#REF!</definedName>
    <definedName name="SEplant">#REF!</definedName>
    <definedName name="SEpp" localSheetId="24">#REF!</definedName>
    <definedName name="SEpp" localSheetId="25">#REF!</definedName>
    <definedName name="SEpp" localSheetId="26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 localSheetId="8">#REF!</definedName>
    <definedName name="SEpp">#REF!</definedName>
    <definedName name="SEstorg" localSheetId="24">#REF!</definedName>
    <definedName name="SEstorg" localSheetId="25">#REF!</definedName>
    <definedName name="SEstorg" localSheetId="26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 localSheetId="8">#REF!</definedName>
    <definedName name="SEstorg">#REF!</definedName>
    <definedName name="sp" localSheetId="24">#REF!</definedName>
    <definedName name="sp" localSheetId="25">#REF!</definedName>
    <definedName name="sp" localSheetId="26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8">#REF!</definedName>
    <definedName name="sp">#REF!</definedName>
    <definedName name="SSExp" localSheetId="24">'[8]Input '!#REF!</definedName>
    <definedName name="SSExp" localSheetId="25">'[8]Input '!#REF!</definedName>
    <definedName name="SSExp" localSheetId="26">'[8]Input '!#REF!</definedName>
    <definedName name="SSExp" localSheetId="1">#REF!</definedName>
    <definedName name="SSExp" localSheetId="2">#REF!</definedName>
    <definedName name="SSExp" localSheetId="3">#REF!</definedName>
    <definedName name="SSExp" localSheetId="8">#REF!</definedName>
    <definedName name="SSExp">#REF!</definedName>
    <definedName name="SSPlant" localSheetId="24">'[8]Input '!#REF!</definedName>
    <definedName name="SSPlant" localSheetId="25">'[8]Input '!#REF!</definedName>
    <definedName name="SSPlant" localSheetId="26">'[8]Input '!#REF!</definedName>
    <definedName name="SSPlant" localSheetId="1">#REF!</definedName>
    <definedName name="SSPlant" localSheetId="2">#REF!</definedName>
    <definedName name="SSPlant" localSheetId="3">#REF!</definedName>
    <definedName name="SSPlant" localSheetId="8">#REF!</definedName>
    <definedName name="SSPlant">#REF!</definedName>
    <definedName name="SSS" localSheetId="24">#REF!</definedName>
    <definedName name="SSS" localSheetId="25">#REF!</definedName>
    <definedName name="SSS" localSheetId="26">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7">#REF!</definedName>
    <definedName name="SSS" localSheetId="8">#REF!</definedName>
    <definedName name="SSS">#REF!</definedName>
    <definedName name="STD_Rate" localSheetId="24">'[8]Input '!$C$24</definedName>
    <definedName name="STD_Rate" localSheetId="25">'[8]Input '!$C$24</definedName>
    <definedName name="STD_Rate" localSheetId="26">'[8]Input '!$C$24</definedName>
    <definedName name="STD_Rate">#REF!</definedName>
    <definedName name="stockprice">'[11]Stock Price (Electric)'!$C$1:$AW$33</definedName>
    <definedName name="Sttax" localSheetId="24">#REF!</definedName>
    <definedName name="Sttax" localSheetId="25">#REF!</definedName>
    <definedName name="Sttax" localSheetId="26">#REF!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 localSheetId="8">#REF!</definedName>
    <definedName name="Sttax">#REF!</definedName>
    <definedName name="Study_Company" localSheetId="24">#REF!</definedName>
    <definedName name="Study_Company" localSheetId="25">#REF!</definedName>
    <definedName name="Study_Company" localSheetId="26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8">#REF!</definedName>
    <definedName name="Study_Company">#REF!</definedName>
    <definedName name="SWadit" localSheetId="24">#REF!</definedName>
    <definedName name="SWadit" localSheetId="25">#REF!</definedName>
    <definedName name="SWadit" localSheetId="26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 localSheetId="8">#REF!</definedName>
    <definedName name="SWadit">#REF!</definedName>
    <definedName name="SWadv" localSheetId="24">#REF!</definedName>
    <definedName name="SWadv" localSheetId="25">#REF!</definedName>
    <definedName name="SWadv" localSheetId="26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 localSheetId="8">#REF!</definedName>
    <definedName name="SWadv">#REF!</definedName>
    <definedName name="SWcash" localSheetId="24">#REF!</definedName>
    <definedName name="SWcash" localSheetId="25">#REF!</definedName>
    <definedName name="SWcash" localSheetId="26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 localSheetId="8">#REF!</definedName>
    <definedName name="SWcash">#REF!</definedName>
    <definedName name="SWcwip" localSheetId="24">#REF!</definedName>
    <definedName name="SWcwip" localSheetId="25">#REF!</definedName>
    <definedName name="SWcwip" localSheetId="26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 localSheetId="8">#REF!</definedName>
    <definedName name="SWcwip">#REF!</definedName>
    <definedName name="SWdep" localSheetId="24">#REF!</definedName>
    <definedName name="SWdep" localSheetId="25">#REF!</definedName>
    <definedName name="SWdep" localSheetId="26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 localSheetId="8">#REF!</definedName>
    <definedName name="SWdep">#REF!</definedName>
    <definedName name="SWmatsup" localSheetId="24">#REF!</definedName>
    <definedName name="SWmatsup" localSheetId="25">#REF!</definedName>
    <definedName name="SWmatsup" localSheetId="26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 localSheetId="8">#REF!</definedName>
    <definedName name="SWmatsup">#REF!</definedName>
    <definedName name="SWplant" localSheetId="24">#REF!</definedName>
    <definedName name="SWplant" localSheetId="25">#REF!</definedName>
    <definedName name="SWplant" localSheetId="26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 localSheetId="8">#REF!</definedName>
    <definedName name="SWplant">#REF!</definedName>
    <definedName name="SWpp" localSheetId="24">#REF!</definedName>
    <definedName name="SWpp" localSheetId="25">#REF!</definedName>
    <definedName name="SWpp" localSheetId="26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 localSheetId="8">#REF!</definedName>
    <definedName name="SWpp">#REF!</definedName>
    <definedName name="SWstorg" localSheetId="24">#REF!</definedName>
    <definedName name="SWstorg" localSheetId="25">#REF!</definedName>
    <definedName name="SWstorg" localSheetId="26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 localSheetId="8">#REF!</definedName>
    <definedName name="SWstorg">#REF!</definedName>
    <definedName name="TESTPERIOD" localSheetId="24">'[8]Input '!$C$10</definedName>
    <definedName name="TESTPERIOD" localSheetId="25">'[8]Input '!$C$10</definedName>
    <definedName name="TESTPERIOD" localSheetId="26">'[8]Input '!$C$10</definedName>
    <definedName name="TESTPERIOD">#REF!</definedName>
    <definedName name="TestPeriodDate" localSheetId="24">[14]Inputs!$D$20</definedName>
    <definedName name="TestPeriodDate" localSheetId="25">[14]Inputs!$D$20</definedName>
    <definedName name="TestPeriodDate" localSheetId="26">[14]Inputs!$D$20</definedName>
    <definedName name="TestPeriodDate">#REF!</definedName>
    <definedName name="TESTYEAR" localSheetId="24">'[6]DATA INPUT'!$C$9</definedName>
    <definedName name="TESTYEAR" localSheetId="25">'[6]DATA INPUT'!$C$9</definedName>
    <definedName name="TESTYEAR" localSheetId="26">'[6]DATA INPUT'!$C$9</definedName>
    <definedName name="TESTYEAR">#REF!</definedName>
    <definedName name="TOTadit" localSheetId="24">#REF!</definedName>
    <definedName name="TOTadit" localSheetId="25">#REF!</definedName>
    <definedName name="TOTadit" localSheetId="26">#REF!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 localSheetId="8">#REF!</definedName>
    <definedName name="TOTadit">#REF!</definedName>
    <definedName name="TOTadv" localSheetId="24">#REF!</definedName>
    <definedName name="TOTadv" localSheetId="25">#REF!</definedName>
    <definedName name="TOTadv" localSheetId="26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 localSheetId="8">#REF!</definedName>
    <definedName name="TOTadv">#REF!</definedName>
    <definedName name="TOTcash" localSheetId="24">#REF!</definedName>
    <definedName name="TOTcash" localSheetId="25">#REF!</definedName>
    <definedName name="TOTcash" localSheetId="26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 localSheetId="8">#REF!</definedName>
    <definedName name="TOTcash">#REF!</definedName>
    <definedName name="TOTcwip" localSheetId="24">#REF!</definedName>
    <definedName name="TOTcwip" localSheetId="25">#REF!</definedName>
    <definedName name="TOTcwip" localSheetId="26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 localSheetId="8">#REF!</definedName>
    <definedName name="TOTcwip">#REF!</definedName>
    <definedName name="TOTdep" localSheetId="24">#REF!</definedName>
    <definedName name="TOTdep" localSheetId="25">#REF!</definedName>
    <definedName name="TOTdep" localSheetId="26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 localSheetId="8">#REF!</definedName>
    <definedName name="TOTdep">#REF!</definedName>
    <definedName name="TOTmatsup" localSheetId="24">#REF!</definedName>
    <definedName name="TOTmatsup" localSheetId="25">#REF!</definedName>
    <definedName name="TOTmatsup" localSheetId="26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8">#REF!</definedName>
    <definedName name="TOTmatsup">#REF!</definedName>
    <definedName name="TOTplant" localSheetId="24">#REF!</definedName>
    <definedName name="TOTplant" localSheetId="25">#REF!</definedName>
    <definedName name="TOTplant" localSheetId="26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 localSheetId="8">#REF!</definedName>
    <definedName name="TOTplant">#REF!</definedName>
    <definedName name="TOTpp" localSheetId="24">#REF!</definedName>
    <definedName name="TOTpp" localSheetId="25">#REF!</definedName>
    <definedName name="TOTpp" localSheetId="26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 localSheetId="8">#REF!</definedName>
    <definedName name="TOTpp">#REF!</definedName>
    <definedName name="TOTstorg" localSheetId="24">#REF!</definedName>
    <definedName name="TOTstorg" localSheetId="25">#REF!</definedName>
    <definedName name="TOTstorg" localSheetId="26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 localSheetId="8">#REF!</definedName>
    <definedName name="TOTstorg">#REF!</definedName>
    <definedName name="Trans" localSheetId="24">#REF!</definedName>
    <definedName name="Trans" localSheetId="25">#REF!</definedName>
    <definedName name="Trans" localSheetId="26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 localSheetId="8">#REF!</definedName>
    <definedName name="Trans">#REF!</definedName>
    <definedName name="valueline" localSheetId="24">#REF!</definedName>
    <definedName name="valueline" localSheetId="25">#REF!</definedName>
    <definedName name="valueline" localSheetId="26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8">#REF!</definedName>
    <definedName name="valueline">#REF!</definedName>
    <definedName name="vldatabase">'[15]Electric Utility Data'!$B$8:$AI$53</definedName>
    <definedName name="WP_2_3" localSheetId="24">#REF!</definedName>
    <definedName name="WP_2_3" localSheetId="25">#REF!</definedName>
    <definedName name="WP_2_3" localSheetId="26">#REF!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 localSheetId="8">#REF!</definedName>
    <definedName name="WP_2_3">#REF!</definedName>
    <definedName name="WP_3_1" localSheetId="24">#REF!</definedName>
    <definedName name="WP_3_1" localSheetId="25">#REF!</definedName>
    <definedName name="WP_3_1" localSheetId="26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 localSheetId="8">#REF!</definedName>
    <definedName name="WP_3_1">#REF!</definedName>
    <definedName name="WP_6_1" localSheetId="24">#REF!</definedName>
    <definedName name="WP_6_1" localSheetId="25">#REF!</definedName>
    <definedName name="WP_6_1" localSheetId="26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 localSheetId="8">#REF!</definedName>
    <definedName name="WP_6_1">#REF!</definedName>
    <definedName name="WP_6_1_1" localSheetId="24">#REF!</definedName>
    <definedName name="WP_6_1_1" localSheetId="25">#REF!</definedName>
    <definedName name="WP_6_1_1" localSheetId="26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 localSheetId="8">#REF!</definedName>
    <definedName name="WP_6_1_1">#REF!</definedName>
    <definedName name="WP_6_2" localSheetId="24">#REF!</definedName>
    <definedName name="WP_6_2" localSheetId="25">#REF!</definedName>
    <definedName name="WP_6_2" localSheetId="26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 localSheetId="8">#REF!</definedName>
    <definedName name="WP_6_2">#REF!</definedName>
    <definedName name="WP_6_2_1" localSheetId="24">#REF!</definedName>
    <definedName name="WP_6_2_1" localSheetId="25">#REF!</definedName>
    <definedName name="WP_6_2_1" localSheetId="26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 localSheetId="8">#REF!</definedName>
    <definedName name="WP_6_2_1">#REF!</definedName>
    <definedName name="WP_6_3" localSheetId="24">#REF!</definedName>
    <definedName name="WP_6_3" localSheetId="25">#REF!</definedName>
    <definedName name="WP_6_3" localSheetId="26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 localSheetId="8">#REF!</definedName>
    <definedName name="WP_6_3">#REF!</definedName>
    <definedName name="WP_6_3_1" localSheetId="24">#REF!</definedName>
    <definedName name="WP_6_3_1" localSheetId="25">#REF!</definedName>
    <definedName name="WP_6_3_1" localSheetId="26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 localSheetId="8">#REF!</definedName>
    <definedName name="WP_6_3_1">#REF!</definedName>
    <definedName name="WP_7_3" localSheetId="24">#REF!</definedName>
    <definedName name="WP_7_3" localSheetId="25">#REF!</definedName>
    <definedName name="WP_7_3" localSheetId="26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 localSheetId="8">#REF!</definedName>
    <definedName name="WP_7_3">#REF!</definedName>
    <definedName name="WP_7_6" localSheetId="24">#REF!</definedName>
    <definedName name="WP_7_6" localSheetId="25">#REF!</definedName>
    <definedName name="WP_7_6" localSheetId="26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 localSheetId="8">#REF!</definedName>
    <definedName name="WP_7_6">#REF!</definedName>
    <definedName name="WP_9_1" localSheetId="24">#REF!</definedName>
    <definedName name="WP_9_1" localSheetId="25">#REF!</definedName>
    <definedName name="WP_9_1" localSheetId="26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 localSheetId="8">#REF!</definedName>
    <definedName name="WP_9_1">#REF!</definedName>
    <definedName name="WP_B9a" localSheetId="24">[16]WP_B9!$A$30:$U$49</definedName>
    <definedName name="WP_B9a" localSheetId="25">[16]WP_B9!$A$30:$U$49</definedName>
    <definedName name="WP_B9a" localSheetId="26">[16]WP_B9!$A$30:$U$49</definedName>
    <definedName name="WP_B9a">#REF!</definedName>
    <definedName name="WP_B9b" localSheetId="24">[16]WP_B9!#REF!</definedName>
    <definedName name="WP_B9b" localSheetId="25">[16]WP_B9!#REF!</definedName>
    <definedName name="WP_B9b" localSheetId="26">[16]WP_B9!#REF!</definedName>
    <definedName name="WP_B9b" localSheetId="1">#REF!</definedName>
    <definedName name="WP_B9b" localSheetId="2">#REF!</definedName>
    <definedName name="WP_B9b" localSheetId="3">#REF!</definedName>
    <definedName name="WP_B9b" localSheetId="8">#REF!</definedName>
    <definedName name="WP_B9b">#REF!</definedName>
    <definedName name="WP_G6" localSheetId="24">[16]WP_B5!$A$13:$J$349</definedName>
    <definedName name="WP_G6" localSheetId="25">[16]WP_B5!$A$13:$J$349</definedName>
    <definedName name="WP_G6" localSheetId="26">[16]WP_B5!$A$13:$J$349</definedName>
    <definedName name="WP_G6">#REF!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localSheetId="25" hidden="1">{"'Sheet1'!$A$1:$O$40"}</definedName>
    <definedName name="xxx" localSheetId="26" hidden="1">{"'Sheet1'!$A$1:$O$40"}</definedName>
    <definedName name="xxx" hidden="1">{"'Sheet1'!$A$1:$O$40"}</definedName>
    <definedName name="Yield">'[15]Dividend Yield - Utility'!$B$8:$D$53</definedName>
    <definedName name="z">#REF!</definedName>
    <definedName name="zzz" localSheetId="25" hidden="1">{"'Sheet1'!$A$1:$O$40"}</definedName>
    <definedName name="zzz" localSheetId="26" hidden="1">{"'Sheet1'!$A$1:$O$40"}</definedName>
    <definedName name="zzz" hidden="1">{"'Sheet1'!$A$1:$O$40"}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18" l="1"/>
  <c r="I28" i="118"/>
  <c r="F28" i="118"/>
  <c r="E28" i="118"/>
  <c r="D28" i="118"/>
  <c r="C28" i="118"/>
  <c r="I29" i="118"/>
  <c r="I26" i="118"/>
  <c r="I24" i="118"/>
  <c r="I23" i="118"/>
  <c r="I19" i="118"/>
  <c r="I16" i="118"/>
  <c r="F29" i="118"/>
  <c r="E29" i="118"/>
  <c r="D29" i="118"/>
  <c r="C29" i="118"/>
  <c r="F27" i="118"/>
  <c r="E27" i="118"/>
  <c r="D27" i="118"/>
  <c r="C27" i="118"/>
  <c r="F26" i="118"/>
  <c r="E26" i="118"/>
  <c r="D26" i="118"/>
  <c r="C26" i="118"/>
  <c r="F24" i="118"/>
  <c r="E24" i="118"/>
  <c r="D24" i="118"/>
  <c r="C24" i="118"/>
  <c r="F23" i="118"/>
  <c r="F36" i="118" s="1"/>
  <c r="E23" i="118"/>
  <c r="E36" i="118" s="1"/>
  <c r="D23" i="118"/>
  <c r="C23" i="118"/>
  <c r="F19" i="118"/>
  <c r="E19" i="118"/>
  <c r="D19" i="118"/>
  <c r="C19" i="118"/>
  <c r="F16" i="118"/>
  <c r="E16" i="118"/>
  <c r="D16" i="118"/>
  <c r="C16" i="118"/>
  <c r="A31" i="118"/>
  <c r="A30" i="118"/>
  <c r="A29" i="118"/>
  <c r="A28" i="118"/>
  <c r="A27" i="118"/>
  <c r="A26" i="118"/>
  <c r="A25" i="118"/>
  <c r="A24" i="118"/>
  <c r="A23" i="118"/>
  <c r="A22" i="118"/>
  <c r="A21" i="118"/>
  <c r="A20" i="118"/>
  <c r="A19" i="118"/>
  <c r="A18" i="118"/>
  <c r="A17" i="118"/>
  <c r="A16" i="118"/>
  <c r="A15" i="118"/>
  <c r="A13" i="118"/>
  <c r="F27" i="115"/>
  <c r="D27" i="115"/>
  <c r="F25" i="115"/>
  <c r="D25" i="115"/>
  <c r="F23" i="115"/>
  <c r="D23" i="115"/>
  <c r="F18" i="115"/>
  <c r="D18" i="115"/>
  <c r="O41" i="116"/>
  <c r="O39" i="116"/>
  <c r="O37" i="116"/>
  <c r="O33" i="116"/>
  <c r="O28" i="116"/>
  <c r="N41" i="116"/>
  <c r="N39" i="116"/>
  <c r="N37" i="116"/>
  <c r="N35" i="116"/>
  <c r="N33" i="116"/>
  <c r="M41" i="116"/>
  <c r="M39" i="116"/>
  <c r="M37" i="116"/>
  <c r="M35" i="116"/>
  <c r="M33" i="116"/>
  <c r="L41" i="116"/>
  <c r="L39" i="116"/>
  <c r="L37" i="116"/>
  <c r="L35" i="116"/>
  <c r="L33" i="116"/>
  <c r="K41" i="116"/>
  <c r="K39" i="116"/>
  <c r="K37" i="116"/>
  <c r="K35" i="116"/>
  <c r="K33" i="116"/>
  <c r="J41" i="116"/>
  <c r="J39" i="116"/>
  <c r="J37" i="116"/>
  <c r="J35" i="116"/>
  <c r="J33" i="116"/>
  <c r="I41" i="116"/>
  <c r="I39" i="116"/>
  <c r="I37" i="116"/>
  <c r="I35" i="116"/>
  <c r="I33" i="116"/>
  <c r="H41" i="116"/>
  <c r="H39" i="116"/>
  <c r="H37" i="116"/>
  <c r="H35" i="116"/>
  <c r="H33" i="116"/>
  <c r="G41" i="116"/>
  <c r="G39" i="116"/>
  <c r="G37" i="116"/>
  <c r="G35" i="116"/>
  <c r="G33" i="116"/>
  <c r="F39" i="116"/>
  <c r="F41" i="116"/>
  <c r="F37" i="116"/>
  <c r="F35" i="116"/>
  <c r="F33" i="116"/>
  <c r="E41" i="116"/>
  <c r="E39" i="116"/>
  <c r="E37" i="116"/>
  <c r="E35" i="116"/>
  <c r="E33" i="116"/>
  <c r="D41" i="116"/>
  <c r="D39" i="116"/>
  <c r="D37" i="116"/>
  <c r="D35" i="116"/>
  <c r="D33" i="116"/>
  <c r="C41" i="116"/>
  <c r="C39" i="116"/>
  <c r="C37" i="116"/>
  <c r="C35" i="116"/>
  <c r="C33" i="116"/>
  <c r="O13" i="116"/>
  <c r="O26" i="116"/>
  <c r="O24" i="116"/>
  <c r="O22" i="116"/>
  <c r="O20" i="116"/>
  <c r="O18" i="116"/>
  <c r="N28" i="116"/>
  <c r="N26" i="116"/>
  <c r="N24" i="116"/>
  <c r="N22" i="116"/>
  <c r="N20" i="116"/>
  <c r="N18" i="116"/>
  <c r="M28" i="116"/>
  <c r="L28" i="116"/>
  <c r="K28" i="116"/>
  <c r="J28" i="116"/>
  <c r="I28" i="116"/>
  <c r="H28" i="116"/>
  <c r="G28" i="116"/>
  <c r="F28" i="116"/>
  <c r="E28" i="116"/>
  <c r="D28" i="116"/>
  <c r="C28" i="116"/>
  <c r="AA91" i="117"/>
  <c r="Y91" i="117"/>
  <c r="W91" i="117"/>
  <c r="U91" i="117"/>
  <c r="S91" i="117"/>
  <c r="M39" i="117"/>
  <c r="K39" i="117"/>
  <c r="I39" i="117"/>
  <c r="G39" i="117"/>
  <c r="E39" i="117"/>
  <c r="B37" i="20"/>
  <c r="B34" i="20"/>
  <c r="V17" i="20"/>
  <c r="U31" i="20"/>
  <c r="U29" i="20"/>
  <c r="U28" i="20"/>
  <c r="U27" i="20"/>
  <c r="U25" i="20"/>
  <c r="U24" i="20"/>
  <c r="U23" i="20"/>
  <c r="U21" i="20"/>
  <c r="U20" i="20"/>
  <c r="U19" i="20"/>
  <c r="U18" i="20"/>
  <c r="B37" i="19"/>
  <c r="B34" i="19"/>
  <c r="V31" i="19"/>
  <c r="V17" i="19"/>
  <c r="U31" i="19"/>
  <c r="U29" i="19"/>
  <c r="U28" i="19"/>
  <c r="U27" i="19"/>
  <c r="U25" i="19"/>
  <c r="U24" i="19"/>
  <c r="U23" i="19"/>
  <c r="U21" i="19"/>
  <c r="U20" i="19"/>
  <c r="U19" i="19"/>
  <c r="U18" i="19"/>
  <c r="D18" i="104"/>
  <c r="B18" i="104"/>
  <c r="E17" i="104"/>
  <c r="D17" i="104"/>
  <c r="B17" i="104"/>
  <c r="D34" i="104"/>
  <c r="C34" i="104"/>
  <c r="B34" i="104"/>
  <c r="E33" i="104"/>
  <c r="D33" i="104"/>
  <c r="C33" i="104"/>
  <c r="B33" i="104"/>
  <c r="D30" i="104"/>
  <c r="C30" i="104"/>
  <c r="B30" i="104"/>
  <c r="E29" i="104"/>
  <c r="D29" i="104"/>
  <c r="C29" i="104"/>
  <c r="B29" i="104"/>
  <c r="D26" i="104"/>
  <c r="C26" i="104"/>
  <c r="B26" i="104"/>
  <c r="E25" i="104"/>
  <c r="D25" i="104"/>
  <c r="C25" i="104"/>
  <c r="B25" i="104"/>
  <c r="D22" i="104"/>
  <c r="B22" i="104"/>
  <c r="E21" i="104"/>
  <c r="D21" i="104"/>
  <c r="B21" i="104"/>
  <c r="E24" i="104"/>
  <c r="E30" i="105"/>
  <c r="D30" i="105"/>
  <c r="C30" i="105"/>
  <c r="F29" i="105"/>
  <c r="E29" i="105"/>
  <c r="D29" i="105"/>
  <c r="C29" i="105"/>
  <c r="C26" i="105"/>
  <c r="E26" i="105"/>
  <c r="D26" i="105"/>
  <c r="F25" i="105"/>
  <c r="E25" i="105"/>
  <c r="D25" i="105"/>
  <c r="C25" i="105"/>
  <c r="E22" i="105"/>
  <c r="D22" i="105"/>
  <c r="C22" i="105"/>
  <c r="F21" i="105"/>
  <c r="E21" i="105"/>
  <c r="D21" i="105"/>
  <c r="C21" i="105"/>
  <c r="E18" i="105"/>
  <c r="D18" i="105"/>
  <c r="C18" i="105"/>
  <c r="F17" i="105"/>
  <c r="E17" i="105"/>
  <c r="D17" i="105"/>
  <c r="C17" i="105"/>
  <c r="E87" i="103"/>
  <c r="D87" i="103"/>
  <c r="C87" i="103"/>
  <c r="F86" i="103"/>
  <c r="E86" i="103"/>
  <c r="D86" i="103"/>
  <c r="C86" i="103"/>
  <c r="E83" i="103"/>
  <c r="D83" i="103"/>
  <c r="C83" i="103"/>
  <c r="F82" i="103"/>
  <c r="E82" i="103"/>
  <c r="D82" i="103"/>
  <c r="C82" i="103"/>
  <c r="E79" i="103"/>
  <c r="D79" i="103"/>
  <c r="C79" i="103"/>
  <c r="F78" i="103"/>
  <c r="E78" i="103"/>
  <c r="D78" i="103"/>
  <c r="C78" i="103"/>
  <c r="E75" i="103"/>
  <c r="D75" i="103"/>
  <c r="C75" i="103"/>
  <c r="F74" i="103"/>
  <c r="E74" i="103"/>
  <c r="D74" i="103"/>
  <c r="C74" i="103"/>
  <c r="E71" i="103"/>
  <c r="D71" i="103"/>
  <c r="C71" i="103"/>
  <c r="F70" i="103"/>
  <c r="E70" i="103"/>
  <c r="D70" i="103"/>
  <c r="C70" i="103"/>
  <c r="E67" i="103"/>
  <c r="D67" i="103"/>
  <c r="C67" i="103"/>
  <c r="F66" i="103"/>
  <c r="E66" i="103"/>
  <c r="D66" i="103"/>
  <c r="C66" i="103"/>
  <c r="D46" i="75"/>
  <c r="E51" i="39"/>
  <c r="G24" i="114"/>
  <c r="H29" i="16" s="1"/>
  <c r="G23" i="114"/>
  <c r="H28" i="16" s="1"/>
  <c r="G22" i="114"/>
  <c r="G15" i="12"/>
  <c r="D15" i="12"/>
  <c r="Y37" i="19"/>
  <c r="Z37" i="19"/>
  <c r="AA37" i="19"/>
  <c r="AA34" i="19"/>
  <c r="Z34" i="19"/>
  <c r="Y34" i="19"/>
  <c r="H33" i="23"/>
  <c r="E33" i="23"/>
  <c r="C33" i="23"/>
  <c r="F14" i="14"/>
  <c r="H32" i="113"/>
  <c r="H30" i="113"/>
  <c r="G13" i="113"/>
  <c r="E1" i="84"/>
  <c r="D22" i="12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V24" i="20"/>
  <c r="AB24" i="19"/>
  <c r="V24" i="19"/>
  <c r="G21" i="114"/>
  <c r="H26" i="16" s="1"/>
  <c r="K21" i="14"/>
  <c r="G26" i="16" s="1"/>
  <c r="F21" i="14"/>
  <c r="F26" i="16" s="1"/>
  <c r="L22" i="13"/>
  <c r="E26" i="16" s="1"/>
  <c r="H22" i="13"/>
  <c r="D26" i="16" s="1"/>
  <c r="G22" i="12"/>
  <c r="A22" i="12"/>
  <c r="A22" i="13" s="1"/>
  <c r="A21" i="14" s="1"/>
  <c r="G20" i="113"/>
  <c r="A20" i="113"/>
  <c r="X37" i="20"/>
  <c r="X34" i="20"/>
  <c r="W37" i="20"/>
  <c r="W34" i="20"/>
  <c r="F60" i="56"/>
  <c r="D60" i="56"/>
  <c r="I59" i="55"/>
  <c r="I62" i="55"/>
  <c r="I58" i="55"/>
  <c r="I57" i="55"/>
  <c r="G59" i="55"/>
  <c r="G58" i="55"/>
  <c r="G57" i="55"/>
  <c r="E70" i="84"/>
  <c r="D70" i="84"/>
  <c r="C70" i="84"/>
  <c r="B70" i="84"/>
  <c r="E56" i="84"/>
  <c r="D56" i="84"/>
  <c r="C56" i="84"/>
  <c r="B56" i="84"/>
  <c r="E45" i="84"/>
  <c r="D45" i="84"/>
  <c r="C45" i="84"/>
  <c r="B45" i="84"/>
  <c r="E32" i="84"/>
  <c r="D32" i="84"/>
  <c r="D20" i="84"/>
  <c r="E20" i="84"/>
  <c r="L71" i="82"/>
  <c r="J71" i="82"/>
  <c r="H71" i="82"/>
  <c r="F71" i="82"/>
  <c r="D71" i="82"/>
  <c r="B71" i="82"/>
  <c r="L57" i="82"/>
  <c r="J57" i="82"/>
  <c r="H57" i="82"/>
  <c r="F57" i="82"/>
  <c r="D57" i="82"/>
  <c r="B57" i="82"/>
  <c r="L46" i="82"/>
  <c r="J46" i="82"/>
  <c r="H46" i="82"/>
  <c r="F46" i="82"/>
  <c r="D46" i="82"/>
  <c r="B46" i="82"/>
  <c r="L33" i="82"/>
  <c r="J33" i="82"/>
  <c r="H33" i="82"/>
  <c r="F33" i="82"/>
  <c r="D33" i="82"/>
  <c r="B33" i="82"/>
  <c r="L21" i="82"/>
  <c r="J21" i="82"/>
  <c r="H21" i="82"/>
  <c r="F21" i="82"/>
  <c r="D21" i="82"/>
  <c r="B21" i="82"/>
  <c r="H71" i="80"/>
  <c r="F71" i="80"/>
  <c r="D71" i="80"/>
  <c r="B71" i="80"/>
  <c r="H57" i="80"/>
  <c r="F57" i="80"/>
  <c r="D57" i="80"/>
  <c r="B57" i="80"/>
  <c r="H46" i="80"/>
  <c r="F46" i="80"/>
  <c r="D46" i="80"/>
  <c r="B46" i="80"/>
  <c r="H33" i="80"/>
  <c r="F33" i="80"/>
  <c r="D33" i="80"/>
  <c r="B33" i="80"/>
  <c r="H21" i="80"/>
  <c r="F21" i="80"/>
  <c r="D21" i="80"/>
  <c r="B21" i="80"/>
  <c r="F14" i="115"/>
  <c r="F20" i="115"/>
  <c r="O35" i="116"/>
  <c r="N1" i="116"/>
  <c r="Y1" i="117" s="1"/>
  <c r="M91" i="117"/>
  <c r="K91" i="117"/>
  <c r="I91" i="117"/>
  <c r="G91" i="117"/>
  <c r="E91" i="117"/>
  <c r="AA78" i="117"/>
  <c r="Y78" i="117"/>
  <c r="W78" i="117"/>
  <c r="U78" i="117"/>
  <c r="S78" i="117"/>
  <c r="M78" i="117"/>
  <c r="K78" i="117"/>
  <c r="I78" i="117"/>
  <c r="G78" i="117"/>
  <c r="E78" i="117"/>
  <c r="AA65" i="117"/>
  <c r="Y65" i="117"/>
  <c r="W65" i="117"/>
  <c r="U65" i="117"/>
  <c r="S65" i="117"/>
  <c r="M65" i="117"/>
  <c r="K65" i="117"/>
  <c r="I65" i="117"/>
  <c r="G65" i="117"/>
  <c r="E65" i="117"/>
  <c r="AA52" i="117"/>
  <c r="Y52" i="117"/>
  <c r="W52" i="117"/>
  <c r="U52" i="117"/>
  <c r="S52" i="117"/>
  <c r="M52" i="117"/>
  <c r="K52" i="117"/>
  <c r="I52" i="117"/>
  <c r="G52" i="117"/>
  <c r="E52" i="117"/>
  <c r="AA39" i="117"/>
  <c r="Y39" i="117"/>
  <c r="W39" i="117"/>
  <c r="U39" i="117"/>
  <c r="S39" i="117"/>
  <c r="AA26" i="117"/>
  <c r="Y26" i="117"/>
  <c r="W26" i="117"/>
  <c r="U26" i="117"/>
  <c r="S26" i="117"/>
  <c r="E26" i="117"/>
  <c r="N13" i="116"/>
  <c r="C36" i="118" l="1"/>
  <c r="E34" i="118"/>
  <c r="D34" i="118"/>
  <c r="F34" i="118"/>
  <c r="I36" i="118"/>
  <c r="C34" i="118"/>
  <c r="D36" i="118"/>
  <c r="I15" i="12"/>
  <c r="I34" i="118"/>
  <c r="I26" i="16"/>
  <c r="I22" i="12"/>
  <c r="A26" i="16"/>
  <c r="A21" i="114"/>
  <c r="A25" i="39"/>
  <c r="A24" i="19" s="1"/>
  <c r="A24" i="20" s="1"/>
  <c r="A23" i="23" s="1"/>
  <c r="H15" i="89"/>
  <c r="G1" i="89"/>
  <c r="G25" i="114"/>
  <c r="H30" i="16" s="1"/>
  <c r="G28" i="114"/>
  <c r="H33" i="16" s="1"/>
  <c r="G27" i="114"/>
  <c r="H32" i="16" s="1"/>
  <c r="G26" i="114"/>
  <c r="H31" i="16" s="1"/>
  <c r="H27" i="16"/>
  <c r="G20" i="114"/>
  <c r="H25" i="16" s="1"/>
  <c r="G19" i="114"/>
  <c r="H24" i="16" s="1"/>
  <c r="G18" i="114"/>
  <c r="H23" i="16" s="1"/>
  <c r="G17" i="114"/>
  <c r="H22" i="16" s="1"/>
  <c r="G16" i="114"/>
  <c r="H21" i="16" s="1"/>
  <c r="G15" i="114"/>
  <c r="H20" i="16" s="1"/>
  <c r="G14" i="114"/>
  <c r="E18" i="39"/>
  <c r="A35" i="113"/>
  <c r="F15" i="89"/>
  <c r="D15" i="89"/>
  <c r="V31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V30" i="20"/>
  <c r="V29" i="20"/>
  <c r="V28" i="20"/>
  <c r="V27" i="20"/>
  <c r="V26" i="20"/>
  <c r="V25" i="20"/>
  <c r="V23" i="20"/>
  <c r="V21" i="20"/>
  <c r="U34" i="20"/>
  <c r="V20" i="20"/>
  <c r="V19" i="20"/>
  <c r="V18" i="20"/>
  <c r="AB31" i="19"/>
  <c r="AB30" i="19"/>
  <c r="G29" i="118" s="1"/>
  <c r="AB29" i="19"/>
  <c r="AB28" i="19"/>
  <c r="G28" i="118" s="1"/>
  <c r="AB27" i="19"/>
  <c r="G27" i="118" s="1"/>
  <c r="AB26" i="19"/>
  <c r="G26" i="118" s="1"/>
  <c r="AB25" i="19"/>
  <c r="G24" i="118" s="1"/>
  <c r="AB23" i="19"/>
  <c r="AB22" i="19"/>
  <c r="G23" i="118" s="1"/>
  <c r="AB21" i="19"/>
  <c r="AB20" i="19"/>
  <c r="G19" i="118" s="1"/>
  <c r="AB19" i="19"/>
  <c r="AB18" i="19"/>
  <c r="G16" i="118" s="1"/>
  <c r="AB17" i="19"/>
  <c r="V30" i="19"/>
  <c r="V29" i="19"/>
  <c r="V28" i="19"/>
  <c r="V27" i="19"/>
  <c r="V26" i="19"/>
  <c r="V25" i="19"/>
  <c r="V23" i="19"/>
  <c r="V21" i="19"/>
  <c r="V20" i="19"/>
  <c r="V19" i="19"/>
  <c r="V18" i="19"/>
  <c r="X37" i="19"/>
  <c r="W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U37" i="19" s="1"/>
  <c r="X34" i="19"/>
  <c r="W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G19" i="39"/>
  <c r="G20" i="39" s="1"/>
  <c r="G21" i="39" s="1"/>
  <c r="G22" i="39" s="1"/>
  <c r="G23" i="39" s="1"/>
  <c r="G24" i="39" s="1"/>
  <c r="K14" i="14"/>
  <c r="F19" i="16"/>
  <c r="L29" i="13"/>
  <c r="E33" i="16" s="1"/>
  <c r="L28" i="13"/>
  <c r="E32" i="16" s="1"/>
  <c r="L27" i="13"/>
  <c r="E31" i="16" s="1"/>
  <c r="L26" i="13"/>
  <c r="E30" i="16" s="1"/>
  <c r="L25" i="13"/>
  <c r="E29" i="16" s="1"/>
  <c r="L24" i="13"/>
  <c r="E28" i="16" s="1"/>
  <c r="L23" i="13"/>
  <c r="E27" i="16" s="1"/>
  <c r="L21" i="13"/>
  <c r="E25" i="16" s="1"/>
  <c r="L20" i="13"/>
  <c r="E24" i="16" s="1"/>
  <c r="L19" i="13"/>
  <c r="E23" i="16" s="1"/>
  <c r="L18" i="13"/>
  <c r="E22" i="16" s="1"/>
  <c r="L17" i="13"/>
  <c r="E21" i="16" s="1"/>
  <c r="L16" i="13"/>
  <c r="E20" i="16" s="1"/>
  <c r="L15" i="13"/>
  <c r="H29" i="13"/>
  <c r="D33" i="16" s="1"/>
  <c r="H28" i="13"/>
  <c r="D32" i="16" s="1"/>
  <c r="H27" i="13"/>
  <c r="D31" i="16" s="1"/>
  <c r="H26" i="13"/>
  <c r="D30" i="16" s="1"/>
  <c r="H25" i="13"/>
  <c r="D29" i="16" s="1"/>
  <c r="H24" i="13"/>
  <c r="D28" i="16" s="1"/>
  <c r="H23" i="13"/>
  <c r="D27" i="16" s="1"/>
  <c r="H21" i="13"/>
  <c r="D25" i="16" s="1"/>
  <c r="H20" i="13"/>
  <c r="D24" i="16" s="1"/>
  <c r="H19" i="13"/>
  <c r="D23" i="16" s="1"/>
  <c r="H18" i="13"/>
  <c r="D22" i="16" s="1"/>
  <c r="H17" i="13"/>
  <c r="D21" i="16" s="1"/>
  <c r="H16" i="13"/>
  <c r="D20" i="16" s="1"/>
  <c r="H15" i="13"/>
  <c r="A15" i="12"/>
  <c r="A15" i="13" s="1"/>
  <c r="A14" i="14" s="1"/>
  <c r="A13" i="113"/>
  <c r="F37" i="75"/>
  <c r="E37" i="75"/>
  <c r="D37" i="75"/>
  <c r="C37" i="75"/>
  <c r="B37" i="75"/>
  <c r="AB10" i="19"/>
  <c r="K28" i="14"/>
  <c r="G33" i="16" s="1"/>
  <c r="K27" i="14"/>
  <c r="G32" i="16" s="1"/>
  <c r="K26" i="14"/>
  <c r="G31" i="16" s="1"/>
  <c r="K25" i="14"/>
  <c r="G30" i="16" s="1"/>
  <c r="K24" i="14"/>
  <c r="G29" i="16" s="1"/>
  <c r="K23" i="14"/>
  <c r="G28" i="16" s="1"/>
  <c r="K22" i="14"/>
  <c r="G27" i="16" s="1"/>
  <c r="K20" i="14"/>
  <c r="G25" i="16" s="1"/>
  <c r="K19" i="14"/>
  <c r="G24" i="16" s="1"/>
  <c r="K18" i="14"/>
  <c r="G23" i="16" s="1"/>
  <c r="K17" i="14"/>
  <c r="G22" i="16" s="1"/>
  <c r="K16" i="14"/>
  <c r="G21" i="16" s="1"/>
  <c r="F28" i="14"/>
  <c r="F33" i="16" s="1"/>
  <c r="F27" i="14"/>
  <c r="F32" i="16" s="1"/>
  <c r="F26" i="14"/>
  <c r="F31" i="16" s="1"/>
  <c r="F25" i="14"/>
  <c r="F30" i="16" s="1"/>
  <c r="F24" i="14"/>
  <c r="F29" i="16" s="1"/>
  <c r="F23" i="14"/>
  <c r="F28" i="16" s="1"/>
  <c r="F22" i="14"/>
  <c r="F27" i="16" s="1"/>
  <c r="F20" i="14"/>
  <c r="F25" i="16" s="1"/>
  <c r="F18" i="14"/>
  <c r="F23" i="16" s="1"/>
  <c r="F17" i="14"/>
  <c r="F22" i="16" s="1"/>
  <c r="F16" i="14"/>
  <c r="F21" i="16" s="1"/>
  <c r="G29" i="12"/>
  <c r="G28" i="12"/>
  <c r="G27" i="12"/>
  <c r="G26" i="12"/>
  <c r="G25" i="12"/>
  <c r="G24" i="12"/>
  <c r="G23" i="12"/>
  <c r="G21" i="12"/>
  <c r="G20" i="12"/>
  <c r="G19" i="12"/>
  <c r="G18" i="12"/>
  <c r="G17" i="12"/>
  <c r="D29" i="12"/>
  <c r="D28" i="12"/>
  <c r="D27" i="12"/>
  <c r="D26" i="12"/>
  <c r="D25" i="12"/>
  <c r="D24" i="12"/>
  <c r="D23" i="12"/>
  <c r="D21" i="12"/>
  <c r="D20" i="12"/>
  <c r="D19" i="12"/>
  <c r="D18" i="12"/>
  <c r="A29" i="12"/>
  <c r="A29" i="13" s="1"/>
  <c r="A28" i="14" s="1"/>
  <c r="A28" i="12"/>
  <c r="A28" i="13" s="1"/>
  <c r="A27" i="14" s="1"/>
  <c r="A27" i="12"/>
  <c r="A27" i="13" s="1"/>
  <c r="A26" i="14" s="1"/>
  <c r="A26" i="12"/>
  <c r="A26" i="13" s="1"/>
  <c r="A25" i="14" s="1"/>
  <c r="A25" i="12"/>
  <c r="A25" i="13" s="1"/>
  <c r="A24" i="14" s="1"/>
  <c r="A24" i="12"/>
  <c r="A24" i="13" s="1"/>
  <c r="A23" i="14" s="1"/>
  <c r="A23" i="12"/>
  <c r="A23" i="13" s="1"/>
  <c r="A22" i="14" s="1"/>
  <c r="A21" i="12"/>
  <c r="A21" i="13" s="1"/>
  <c r="A20" i="14" s="1"/>
  <c r="A20" i="12"/>
  <c r="A20" i="13" s="1"/>
  <c r="A19" i="14" s="1"/>
  <c r="A19" i="12"/>
  <c r="A19" i="13" s="1"/>
  <c r="A18" i="14" s="1"/>
  <c r="A18" i="12"/>
  <c r="A18" i="13" s="1"/>
  <c r="A17" i="14" s="1"/>
  <c r="A17" i="12"/>
  <c r="A17" i="13" s="1"/>
  <c r="A16" i="14" s="1"/>
  <c r="D24" i="104"/>
  <c r="B24" i="104"/>
  <c r="F33" i="105"/>
  <c r="F34" i="105" s="1"/>
  <c r="E33" i="105"/>
  <c r="C33" i="105"/>
  <c r="B32" i="104"/>
  <c r="B28" i="104"/>
  <c r="E32" i="104"/>
  <c r="E28" i="104"/>
  <c r="D32" i="104"/>
  <c r="D28" i="104"/>
  <c r="G27" i="113"/>
  <c r="G26" i="113"/>
  <c r="G25" i="113"/>
  <c r="G24" i="113"/>
  <c r="G23" i="113"/>
  <c r="G22" i="113"/>
  <c r="G21" i="113"/>
  <c r="G19" i="113"/>
  <c r="G18" i="113"/>
  <c r="G17" i="113"/>
  <c r="G16" i="113"/>
  <c r="G15" i="113"/>
  <c r="A27" i="113"/>
  <c r="A26" i="113"/>
  <c r="A25" i="113"/>
  <c r="A24" i="113"/>
  <c r="A23" i="113"/>
  <c r="A22" i="113"/>
  <c r="A21" i="113"/>
  <c r="A19" i="113"/>
  <c r="A18" i="113"/>
  <c r="A17" i="113"/>
  <c r="A16" i="113"/>
  <c r="A15" i="113"/>
  <c r="F51" i="75"/>
  <c r="E51" i="75"/>
  <c r="D51" i="75"/>
  <c r="C51" i="75"/>
  <c r="B51" i="75"/>
  <c r="F50" i="75"/>
  <c r="E50" i="75"/>
  <c r="D50" i="75"/>
  <c r="C50" i="75"/>
  <c r="B50" i="75"/>
  <c r="F49" i="75"/>
  <c r="E49" i="75"/>
  <c r="D49" i="75"/>
  <c r="C49" i="75"/>
  <c r="B49" i="75"/>
  <c r="F48" i="75"/>
  <c r="E48" i="75"/>
  <c r="D48" i="75"/>
  <c r="C48" i="75"/>
  <c r="B48" i="75"/>
  <c r="F46" i="75"/>
  <c r="E46" i="75"/>
  <c r="C46" i="75"/>
  <c r="B46" i="75"/>
  <c r="F41" i="75"/>
  <c r="E41" i="75"/>
  <c r="D41" i="75"/>
  <c r="C41" i="75"/>
  <c r="B41" i="75"/>
  <c r="G34" i="118" l="1"/>
  <c r="G36" i="118"/>
  <c r="V37" i="19"/>
  <c r="H19" i="16"/>
  <c r="H39" i="16" s="1"/>
  <c r="G31" i="114"/>
  <c r="G33" i="114"/>
  <c r="G19" i="16"/>
  <c r="E19" i="16"/>
  <c r="L31" i="13"/>
  <c r="D19" i="16"/>
  <c r="H31" i="13"/>
  <c r="AB37" i="19"/>
  <c r="E39" i="16"/>
  <c r="E36" i="16"/>
  <c r="D35" i="105"/>
  <c r="C35" i="105"/>
  <c r="D34" i="105"/>
  <c r="C34" i="105"/>
  <c r="E35" i="105"/>
  <c r="E34" i="105"/>
  <c r="C26" i="16"/>
  <c r="J26" i="16" s="1"/>
  <c r="G25" i="39"/>
  <c r="G26" i="39" s="1"/>
  <c r="U34" i="19"/>
  <c r="V34" i="20"/>
  <c r="V34" i="19"/>
  <c r="U37" i="20"/>
  <c r="V37" i="20"/>
  <c r="H36" i="16"/>
  <c r="AB34" i="19"/>
  <c r="I19" i="16"/>
  <c r="I22" i="16"/>
  <c r="A19" i="16"/>
  <c r="A18" i="39"/>
  <c r="A17" i="19" s="1"/>
  <c r="A17" i="20" s="1"/>
  <c r="A16" i="23" s="1"/>
  <c r="A14" i="114"/>
  <c r="I25" i="16"/>
  <c r="I29" i="16"/>
  <c r="I28" i="16"/>
  <c r="I23" i="16"/>
  <c r="I27" i="16"/>
  <c r="I24" i="16"/>
  <c r="A27" i="114"/>
  <c r="A32" i="16"/>
  <c r="A31" i="39"/>
  <c r="A30" i="19" s="1"/>
  <c r="A30" i="20" s="1"/>
  <c r="A29" i="23" s="1"/>
  <c r="A29" i="39"/>
  <c r="A28" i="19" s="1"/>
  <c r="A28" i="20" s="1"/>
  <c r="A27" i="23" s="1"/>
  <c r="A25" i="114"/>
  <c r="A30" i="16"/>
  <c r="A18" i="114"/>
  <c r="A23" i="16"/>
  <c r="A22" i="39"/>
  <c r="A21" i="19" s="1"/>
  <c r="A21" i="20" s="1"/>
  <c r="A20" i="23" s="1"/>
  <c r="A28" i="114"/>
  <c r="A33" i="16"/>
  <c r="A32" i="39"/>
  <c r="A31" i="19" s="1"/>
  <c r="A31" i="20" s="1"/>
  <c r="A30" i="23" s="1"/>
  <c r="A20" i="114"/>
  <c r="A25" i="16"/>
  <c r="A24" i="39"/>
  <c r="A23" i="19" s="1"/>
  <c r="A23" i="20" s="1"/>
  <c r="A22" i="23" s="1"/>
  <c r="A26" i="114"/>
  <c r="A31" i="16"/>
  <c r="A30" i="39"/>
  <c r="A29" i="19" s="1"/>
  <c r="A29" i="20" s="1"/>
  <c r="A28" i="23" s="1"/>
  <c r="A22" i="114"/>
  <c r="A27" i="16"/>
  <c r="A26" i="39"/>
  <c r="A25" i="19" s="1"/>
  <c r="A25" i="20" s="1"/>
  <c r="A24" i="23" s="1"/>
  <c r="A16" i="114"/>
  <c r="A21" i="16"/>
  <c r="A20" i="39"/>
  <c r="A19" i="19" s="1"/>
  <c r="A19" i="20" s="1"/>
  <c r="A18" i="23" s="1"/>
  <c r="A19" i="114"/>
  <c r="A24" i="16"/>
  <c r="A23" i="39"/>
  <c r="A22" i="19" s="1"/>
  <c r="A22" i="20" s="1"/>
  <c r="A21" i="23" s="1"/>
  <c r="A28" i="16"/>
  <c r="A27" i="39"/>
  <c r="A26" i="19" s="1"/>
  <c r="A26" i="20" s="1"/>
  <c r="A25" i="23" s="1"/>
  <c r="A23" i="114"/>
  <c r="A17" i="114"/>
  <c r="A22" i="16"/>
  <c r="A21" i="39"/>
  <c r="A20" i="19" s="1"/>
  <c r="A20" i="20" s="1"/>
  <c r="A19" i="23" s="1"/>
  <c r="A28" i="39"/>
  <c r="A27" i="19" s="1"/>
  <c r="A27" i="20" s="1"/>
  <c r="A26" i="23" s="1"/>
  <c r="A24" i="114"/>
  <c r="A29" i="16"/>
  <c r="I23" i="12"/>
  <c r="I24" i="12"/>
  <c r="I18" i="12"/>
  <c r="I25" i="12"/>
  <c r="I19" i="12"/>
  <c r="I26" i="12"/>
  <c r="I20" i="12"/>
  <c r="I27" i="12"/>
  <c r="I21" i="12"/>
  <c r="I28" i="12"/>
  <c r="I29" i="12"/>
  <c r="C25" i="16" l="1"/>
  <c r="D36" i="16"/>
  <c r="D39" i="16"/>
  <c r="C22" i="16"/>
  <c r="J22" i="16" s="1"/>
  <c r="C28" i="16"/>
  <c r="J28" i="16" s="1"/>
  <c r="C23" i="16"/>
  <c r="J23" i="16" s="1"/>
  <c r="C29" i="16"/>
  <c r="J29" i="16" s="1"/>
  <c r="C27" i="16"/>
  <c r="J27" i="16" s="1"/>
  <c r="C24" i="16"/>
  <c r="J24" i="16" s="1"/>
  <c r="C19" i="16"/>
  <c r="J19" i="16" s="1"/>
  <c r="J25" i="16"/>
  <c r="G27" i="39"/>
  <c r="G28" i="39" s="1"/>
  <c r="G29" i="39" s="1"/>
  <c r="G30" i="39" s="1"/>
  <c r="G31" i="39" s="1"/>
  <c r="G32" i="39" s="1"/>
  <c r="I30" i="16"/>
  <c r="C30" i="16" s="1"/>
  <c r="J30" i="16" l="1"/>
  <c r="G14" i="113"/>
  <c r="G30" i="113" l="1"/>
  <c r="G32" i="113"/>
  <c r="G56" i="55"/>
  <c r="I56" i="55" s="1"/>
  <c r="G55" i="55"/>
  <c r="I55" i="55" s="1"/>
  <c r="G54" i="55"/>
  <c r="I54" i="55" s="1"/>
  <c r="G53" i="55"/>
  <c r="I53" i="55" s="1"/>
  <c r="G52" i="55"/>
  <c r="I52" i="55" s="1"/>
  <c r="G51" i="55"/>
  <c r="I51" i="55" s="1"/>
  <c r="G50" i="55"/>
  <c r="I50" i="55" s="1"/>
  <c r="G49" i="55"/>
  <c r="I49" i="55" s="1"/>
  <c r="G48" i="55"/>
  <c r="I48" i="55" s="1"/>
  <c r="G47" i="55"/>
  <c r="I47" i="55" s="1"/>
  <c r="G46" i="55"/>
  <c r="I46" i="55" s="1"/>
  <c r="G45" i="55"/>
  <c r="I45" i="55" s="1"/>
  <c r="G44" i="55"/>
  <c r="I44" i="55" s="1"/>
  <c r="G43" i="55"/>
  <c r="I43" i="55" s="1"/>
  <c r="G42" i="55"/>
  <c r="I42" i="55" s="1"/>
  <c r="G41" i="55"/>
  <c r="I41" i="55" s="1"/>
  <c r="G40" i="55"/>
  <c r="I40" i="55" s="1"/>
  <c r="G39" i="55"/>
  <c r="I39" i="55" s="1"/>
  <c r="G38" i="55"/>
  <c r="I38" i="55" s="1"/>
  <c r="G37" i="55"/>
  <c r="I37" i="55" s="1"/>
  <c r="G36" i="55"/>
  <c r="I36" i="55" s="1"/>
  <c r="G35" i="55"/>
  <c r="I35" i="55" s="1"/>
  <c r="G34" i="55"/>
  <c r="I34" i="55" s="1"/>
  <c r="G33" i="55"/>
  <c r="I33" i="55" s="1"/>
  <c r="G32" i="55"/>
  <c r="I32" i="55" s="1"/>
  <c r="G31" i="55"/>
  <c r="I31" i="55" s="1"/>
  <c r="G30" i="55"/>
  <c r="I30" i="55" s="1"/>
  <c r="G29" i="55"/>
  <c r="I29" i="55" s="1"/>
  <c r="G28" i="55"/>
  <c r="I28" i="55" s="1"/>
  <c r="G27" i="55"/>
  <c r="I27" i="55" s="1"/>
  <c r="G26" i="55"/>
  <c r="I26" i="55" s="1"/>
  <c r="G25" i="55"/>
  <c r="I25" i="55" s="1"/>
  <c r="G24" i="55"/>
  <c r="I24" i="55" s="1"/>
  <c r="G23" i="55"/>
  <c r="I23" i="55" s="1"/>
  <c r="G22" i="55"/>
  <c r="I22" i="55" s="1"/>
  <c r="G21" i="55"/>
  <c r="I21" i="55" s="1"/>
  <c r="G20" i="55"/>
  <c r="I20" i="55" s="1"/>
  <c r="G19" i="55"/>
  <c r="I19" i="55" s="1"/>
  <c r="G18" i="55"/>
  <c r="I18" i="55" s="1"/>
  <c r="G17" i="55"/>
  <c r="I17" i="55" s="1"/>
  <c r="G16" i="55"/>
  <c r="I16" i="55" s="1"/>
  <c r="G15" i="55"/>
  <c r="I15" i="55" s="1"/>
  <c r="F58" i="56" l="1"/>
  <c r="D58" i="56"/>
  <c r="A14" i="113" l="1"/>
  <c r="A11" i="113"/>
  <c r="K15" i="14" l="1"/>
  <c r="F15" i="14"/>
  <c r="F20" i="16" l="1"/>
  <c r="F39" i="16" s="1"/>
  <c r="F30" i="14"/>
  <c r="G20" i="16"/>
  <c r="G39" i="16" s="1"/>
  <c r="K30" i="14"/>
  <c r="I32" i="16"/>
  <c r="C32" i="16" s="1"/>
  <c r="I31" i="16"/>
  <c r="C31" i="16" s="1"/>
  <c r="I21" i="16"/>
  <c r="I33" i="16" l="1"/>
  <c r="C33" i="16" s="1"/>
  <c r="G16" i="12"/>
  <c r="D17" i="12"/>
  <c r="D16" i="12"/>
  <c r="I17" i="12" l="1"/>
  <c r="C21" i="16" s="1"/>
  <c r="I16" i="12"/>
  <c r="I31" i="12" s="1"/>
  <c r="E63" i="103" l="1"/>
  <c r="D63" i="103"/>
  <c r="C63" i="103"/>
  <c r="F62" i="103"/>
  <c r="E62" i="103"/>
  <c r="D62" i="103"/>
  <c r="C62" i="103"/>
  <c r="E59" i="103"/>
  <c r="D59" i="103"/>
  <c r="C59" i="103"/>
  <c r="F58" i="103"/>
  <c r="E58" i="103"/>
  <c r="D58" i="103"/>
  <c r="C58" i="103"/>
  <c r="E55" i="103"/>
  <c r="D55" i="103"/>
  <c r="C55" i="103"/>
  <c r="F54" i="103"/>
  <c r="E54" i="103"/>
  <c r="D54" i="103"/>
  <c r="C54" i="103"/>
  <c r="E51" i="103"/>
  <c r="D51" i="103"/>
  <c r="C51" i="103"/>
  <c r="F50" i="103"/>
  <c r="E50" i="103"/>
  <c r="D50" i="103"/>
  <c r="C50" i="103"/>
  <c r="E47" i="103"/>
  <c r="D47" i="103"/>
  <c r="C47" i="103"/>
  <c r="F46" i="103"/>
  <c r="E46" i="103"/>
  <c r="D46" i="103"/>
  <c r="C46" i="103"/>
  <c r="E43" i="103"/>
  <c r="D43" i="103"/>
  <c r="C43" i="103"/>
  <c r="F42" i="103"/>
  <c r="E42" i="103"/>
  <c r="D42" i="103"/>
  <c r="C42" i="103"/>
  <c r="E39" i="103"/>
  <c r="D39" i="103"/>
  <c r="C39" i="103"/>
  <c r="F38" i="103"/>
  <c r="E38" i="103"/>
  <c r="D38" i="103"/>
  <c r="C38" i="103"/>
  <c r="E35" i="103"/>
  <c r="D35" i="103"/>
  <c r="C35" i="103"/>
  <c r="F34" i="103"/>
  <c r="E34" i="103"/>
  <c r="D34" i="103"/>
  <c r="C34" i="103"/>
  <c r="E31" i="103"/>
  <c r="D31" i="103"/>
  <c r="C31" i="103"/>
  <c r="E27" i="103"/>
  <c r="D27" i="103"/>
  <c r="C27" i="103"/>
  <c r="F26" i="103"/>
  <c r="E26" i="103"/>
  <c r="D26" i="103"/>
  <c r="C26" i="103"/>
  <c r="E20" i="104" l="1"/>
  <c r="E16" i="104"/>
  <c r="D20" i="104"/>
  <c r="D16" i="104"/>
  <c r="J1" i="82" l="1"/>
  <c r="A38" i="23"/>
  <c r="E37" i="97" l="1"/>
  <c r="G37" i="97" s="1"/>
  <c r="I21" i="97"/>
  <c r="H21" i="97"/>
  <c r="G21" i="97"/>
  <c r="F34" i="97" l="1"/>
  <c r="B19" i="97" s="1"/>
  <c r="F36" i="97"/>
  <c r="B17" i="97" s="1"/>
  <c r="H17" i="97" s="1"/>
  <c r="F35" i="97"/>
  <c r="B15" i="97" s="1"/>
  <c r="A40" i="20"/>
  <c r="H15" i="97" l="1"/>
  <c r="B24" i="97"/>
  <c r="H19" i="97"/>
  <c r="G24" i="97" l="1"/>
  <c r="I24" i="97"/>
  <c r="H25" i="97"/>
  <c r="A16" i="12" l="1"/>
  <c r="F45" i="75"/>
  <c r="E45" i="75"/>
  <c r="D45" i="75"/>
  <c r="C45" i="75"/>
  <c r="B45" i="75"/>
  <c r="B39" i="75"/>
  <c r="F39" i="75"/>
  <c r="E39" i="75"/>
  <c r="D39" i="75"/>
  <c r="C39" i="75"/>
  <c r="F38" i="75"/>
  <c r="E38" i="75"/>
  <c r="D38" i="75"/>
  <c r="C38" i="75"/>
  <c r="B38" i="75"/>
  <c r="E2" i="104" l="1"/>
  <c r="F2" i="105" s="1"/>
  <c r="F29" i="103" l="1"/>
  <c r="F21" i="103"/>
  <c r="F22" i="103" s="1"/>
  <c r="D21" i="103"/>
  <c r="F17" i="103"/>
  <c r="D17" i="103"/>
  <c r="D18" i="103" l="1"/>
  <c r="E18" i="103"/>
  <c r="C18" i="103"/>
  <c r="E19" i="103"/>
  <c r="C19" i="103"/>
  <c r="D19" i="103"/>
  <c r="F18" i="103"/>
  <c r="E23" i="103"/>
  <c r="D23" i="103"/>
  <c r="D22" i="103"/>
  <c r="C23" i="103"/>
  <c r="E22" i="103"/>
  <c r="C22" i="103"/>
  <c r="F30" i="103"/>
  <c r="E30" i="103"/>
  <c r="D30" i="103"/>
  <c r="C30" i="103"/>
  <c r="D43" i="75"/>
  <c r="J31" i="16" l="1"/>
  <c r="J21" i="16"/>
  <c r="J32" i="16"/>
  <c r="J33" i="16"/>
  <c r="C18" i="39" l="1"/>
  <c r="I18" i="39" s="1"/>
  <c r="C19" i="39" l="1"/>
  <c r="C20" i="39" s="1"/>
  <c r="C21" i="39" l="1"/>
  <c r="I20" i="39"/>
  <c r="I19" i="39"/>
  <c r="C22" i="39" l="1"/>
  <c r="I21" i="39"/>
  <c r="G36" i="16"/>
  <c r="F36" i="16"/>
  <c r="I20" i="16"/>
  <c r="C20" i="16" l="1"/>
  <c r="C39" i="16" s="1"/>
  <c r="E45" i="16" s="1"/>
  <c r="I36" i="16"/>
  <c r="I39" i="16"/>
  <c r="C36" i="16"/>
  <c r="C23" i="39"/>
  <c r="I22" i="39"/>
  <c r="J20" i="16"/>
  <c r="G45" i="16" l="1"/>
  <c r="F45" i="16"/>
  <c r="H45" i="16"/>
  <c r="I45" i="16"/>
  <c r="D45" i="16"/>
  <c r="J39" i="16"/>
  <c r="J36" i="16"/>
  <c r="I42" i="16"/>
  <c r="H42" i="16"/>
  <c r="G42" i="16"/>
  <c r="F42" i="16"/>
  <c r="E42" i="16"/>
  <c r="D42" i="16"/>
  <c r="C24" i="39"/>
  <c r="C25" i="39" s="1"/>
  <c r="I23" i="39"/>
  <c r="I25" i="39" l="1"/>
  <c r="C26" i="39"/>
  <c r="I26" i="39" s="1"/>
  <c r="I24" i="39"/>
  <c r="E1" i="102"/>
  <c r="C27" i="39" l="1"/>
  <c r="K1" i="13"/>
  <c r="V11" i="20"/>
  <c r="A37" i="20"/>
  <c r="A34" i="20"/>
  <c r="F9" i="75"/>
  <c r="F10" i="75"/>
  <c r="A15" i="55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8" i="55"/>
  <c r="A39" i="55" s="1"/>
  <c r="A40" i="55" s="1"/>
  <c r="A41" i="55" s="1"/>
  <c r="A5" i="13"/>
  <c r="A9" i="13"/>
  <c r="A10" i="23"/>
  <c r="A13" i="13"/>
  <c r="A36" i="14"/>
  <c r="A42" i="39" s="1"/>
  <c r="A42" i="20"/>
  <c r="U11" i="20"/>
  <c r="A12" i="14" l="1"/>
  <c r="A12" i="114" s="1"/>
  <c r="A9" i="14"/>
  <c r="J1" i="14"/>
  <c r="F1" i="114" s="1"/>
  <c r="A4" i="14"/>
  <c r="A16" i="13"/>
  <c r="A17" i="16" l="1"/>
  <c r="A13" i="16"/>
  <c r="A5" i="16"/>
  <c r="I1" i="16"/>
  <c r="V1" i="20" s="1"/>
  <c r="H1" i="118" s="1"/>
  <c r="A15" i="14"/>
  <c r="C28" i="39" l="1"/>
  <c r="I27" i="39"/>
  <c r="A15" i="114"/>
  <c r="A16" i="39"/>
  <c r="A15" i="19" s="1"/>
  <c r="A15" i="20" s="1"/>
  <c r="A6" i="39"/>
  <c r="A4" i="19" s="1"/>
  <c r="A4" i="20" s="1"/>
  <c r="A12" i="39"/>
  <c r="A11" i="19" s="1"/>
  <c r="A20" i="16"/>
  <c r="A19" i="39"/>
  <c r="A18" i="19" s="1"/>
  <c r="A18" i="20" s="1"/>
  <c r="C29" i="39" l="1"/>
  <c r="I28" i="39"/>
  <c r="A14" i="23"/>
  <c r="A17" i="23"/>
  <c r="C30" i="39" l="1"/>
  <c r="I29" i="39"/>
  <c r="C31" i="39" l="1"/>
  <c r="I30" i="39"/>
  <c r="C32" i="39" l="1"/>
  <c r="I32" i="39" s="1"/>
  <c r="I31" i="39"/>
  <c r="I35" i="39" l="1"/>
  <c r="I38" i="39"/>
</calcChain>
</file>

<file path=xl/sharedStrings.xml><?xml version="1.0" encoding="utf-8"?>
<sst xmlns="http://schemas.openxmlformats.org/spreadsheetml/2006/main" count="934" uniqueCount="431">
  <si>
    <t>Exh. DCP-3</t>
  </si>
  <si>
    <t>PACIFICORP</t>
  </si>
  <si>
    <t>TOTAL COST OF CAPITAL</t>
  </si>
  <si>
    <t>Item</t>
  </si>
  <si>
    <t xml:space="preserve">Percent  </t>
  </si>
  <si>
    <t>Cost</t>
  </si>
  <si>
    <t>Weighted Cost</t>
  </si>
  <si>
    <t>December 31, 2024</t>
  </si>
  <si>
    <t>Short-Term Debt</t>
  </si>
  <si>
    <t>1/</t>
  </si>
  <si>
    <t>3/</t>
  </si>
  <si>
    <t>Long-Term Debt</t>
  </si>
  <si>
    <t>4/</t>
  </si>
  <si>
    <t>Preferred Stock</t>
  </si>
  <si>
    <t>Common Equity</t>
  </si>
  <si>
    <t>2/</t>
  </si>
  <si>
    <t>Total</t>
  </si>
  <si>
    <t>1/  Percentages of preferred stock, short-term debt and long-term debt derived from relative amounts of these capital</t>
  </si>
  <si>
    <t>items, as of the December 31, 2024 forecast period used in the Company's filing:</t>
  </si>
  <si>
    <t>Ratio to</t>
  </si>
  <si>
    <t>Percent 5/</t>
  </si>
  <si>
    <t>6/</t>
  </si>
  <si>
    <t>2/  Common equity ratio approved in recent PacifiCorp litigated rate proceedings.</t>
  </si>
  <si>
    <t>2/  Ratios shown in Exh. No. NLK-1Tr, page 17, Table 4.</t>
  </si>
  <si>
    <t>3/  Cost of 2022 cost of short-tern debt, as contained in response to WUTC-14. A request has been made for 2024 cost.</t>
  </si>
  <si>
    <t>4/  Test Period costs of long-term debt and preferred stock, as shown on Exh. No. NLK-1Tr, page 2, Table 1.</t>
  </si>
  <si>
    <t>5/  Test Period percentages of long-term debt and preferred stock, as shown on Exh. No. MLK-1Tr, page 2 Table 1.</t>
  </si>
  <si>
    <t>6/  Ratios of preferred stock, short-term debt and long-term debt that equate to a 49.1 percent common equity ratio.</t>
  </si>
  <si>
    <t>Exh. DCP-4</t>
  </si>
  <si>
    <t>Page 1 of 3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</si>
  <si>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</si>
  <si>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</si>
  <si>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</si>
  <si>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</si>
  <si>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</si>
  <si>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</si>
  <si>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</si>
  <si>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</si>
  <si>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Year</t>
  </si>
  <si>
    <t>Growth</t>
  </si>
  <si>
    <t>Rate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</si>
  <si>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</si>
  <si>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</si>
  <si>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</si>
  <si>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</si>
  <si>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</si>
  <si>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</si>
  <si>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</si>
  <si>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</si>
  <si>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</si>
  <si>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</si>
  <si>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Cycle Avg.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</si>
  <si>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</si>
  <si>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</si>
  <si>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</si>
  <si>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</si>
  <si>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</si>
  <si>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</si>
  <si>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</si>
  <si>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</si>
  <si>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</si>
  <si>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</si>
  <si>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</si>
  <si>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>1992</t>
  </si>
  <si>
    <t xml:space="preserve"> </t>
  </si>
  <si>
    <t>1993</t>
  </si>
  <si>
    <t>1994</t>
  </si>
  <si>
    <t>1995</t>
  </si>
  <si>
    <t>1996</t>
  </si>
  <si>
    <t>1997</t>
  </si>
  <si>
    <t>2002 - 2009 Cycle</t>
  </si>
  <si>
    <t>2010 - 2020 Cycle</t>
  </si>
  <si>
    <t>Current Cycle</t>
  </si>
  <si>
    <t>Q1</t>
  </si>
  <si>
    <t>Q2</t>
  </si>
  <si>
    <t>*GDP=Gross Domestic Product</t>
  </si>
  <si>
    <t xml:space="preserve">Note that economic indices are revised periodically, with prior periods also </t>
  </si>
  <si>
    <t>being revised.</t>
  </si>
  <si>
    <t>Source:  Council of Economic Advisors, Economic Indicators, various issues.</t>
  </si>
  <si>
    <t>Data for period 2010 to the present taken from the April, 2020 edition.  Prior</t>
  </si>
  <si>
    <t>data taken from prior editions and may not reflect revisions.</t>
  </si>
  <si>
    <t>Page 2 of 3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</si>
  <si>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</si>
  <si>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</si>
  <si>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</si>
  <si>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</si>
  <si>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</si>
  <si>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</si>
  <si>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</si>
  <si>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</si>
  <si>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</si>
  <si>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 Aa</t>
  </si>
  <si>
    <t xml:space="preserve">    A</t>
  </si>
  <si>
    <t xml:space="preserve">   Baa</t>
  </si>
  <si>
    <t>Jan</t>
  </si>
  <si>
    <t>Feb</t>
  </si>
  <si>
    <t>Mar</t>
  </si>
  <si>
    <t>Apr</t>
  </si>
  <si>
    <t>May</t>
  </si>
  <si>
    <t>June</t>
  </si>
  <si>
    <t>July</t>
  </si>
  <si>
    <t>Averages for public utility bond yields reflect annual averages of monthly figures.</t>
  </si>
  <si>
    <t>Sources:  Council of Economic Advisors, Economic Indicators; Mergent Bond Record; Federal</t>
  </si>
  <si>
    <t xml:space="preserve">                 Reserve Bulletin; various issues.</t>
  </si>
  <si>
    <t>Page 3 of 3</t>
  </si>
  <si>
    <t>STOCK PRICE INDICATORS</t>
  </si>
  <si>
    <t>S&amp;P</t>
  </si>
  <si>
    <t>NASDAQ</t>
  </si>
  <si>
    <t>Composite [1]</t>
  </si>
  <si>
    <t>DJIA</t>
  </si>
  <si>
    <t>E/P</t>
  </si>
  <si>
    <t>Cycle Average</t>
  </si>
  <si>
    <t>[1]</t>
  </si>
  <si>
    <t>2020 - 2020 Cycle</t>
  </si>
  <si>
    <t>Current cycle</t>
  </si>
  <si>
    <t>[1] Note:  this source did not publish the S&amp;P Composite prior to 1988 and the NASDAQ</t>
  </si>
  <si>
    <t>Composite prior to 1991.</t>
  </si>
  <si>
    <t>Exh. DCP-5</t>
  </si>
  <si>
    <t>Page 1 of 2</t>
  </si>
  <si>
    <t xml:space="preserve">PACIFICORP </t>
  </si>
  <si>
    <t>HISTORY OF CREDIT RATINGS</t>
  </si>
  <si>
    <t>SENIOR SECURED DEBT</t>
  </si>
  <si>
    <t>Pacificorp</t>
  </si>
  <si>
    <t>Moody's</t>
  </si>
  <si>
    <t>A-</t>
  </si>
  <si>
    <t>A3</t>
  </si>
  <si>
    <t>A-/A</t>
  </si>
  <si>
    <t>A3/A2</t>
  </si>
  <si>
    <t>A</t>
  </si>
  <si>
    <t>A2</t>
  </si>
  <si>
    <t>A2/A1</t>
  </si>
  <si>
    <t>A1</t>
  </si>
  <si>
    <t>A/A+</t>
  </si>
  <si>
    <t>A+</t>
  </si>
  <si>
    <t>A+/A</t>
  </si>
  <si>
    <t>Source:  Response to WUTC-8, Standard &amp; Poor's website.</t>
  </si>
  <si>
    <t>Note:  The June 20, 2023 downgrade of PacifiCorp's ratings by Standard &amp;</t>
  </si>
  <si>
    <t>Poor's was the result of a class action lawsuit related to a series of wildfires</t>
  </si>
  <si>
    <t>in which the Company was found liable for some $90 million in damages.</t>
  </si>
  <si>
    <t>Page 2 of 2</t>
  </si>
  <si>
    <t>BERKSHIRE HATHAWAY ENERGY AND SUBSIDIARIES</t>
  </si>
  <si>
    <t>SECURITY RATINGS</t>
  </si>
  <si>
    <t xml:space="preserve">Standard </t>
  </si>
  <si>
    <t>Company</t>
  </si>
  <si>
    <t>&amp; Poor's</t>
  </si>
  <si>
    <t>Berkshire Hathaway Energy</t>
  </si>
  <si>
    <t>MidAmerican Energy Co.</t>
  </si>
  <si>
    <t>Aa2</t>
  </si>
  <si>
    <t>PacifiCorp</t>
  </si>
  <si>
    <t>Nevada Power Co.</t>
  </si>
  <si>
    <t>Sierra Pacific Power Co.</t>
  </si>
  <si>
    <t>1/  Senior unsecured.</t>
  </si>
  <si>
    <t>2/  Senior secured</t>
  </si>
  <si>
    <t>Sources:   Moody's and Standard &amp; Poor's websites, assessed August 10, 2023.</t>
  </si>
  <si>
    <t>Exh. DCP-6</t>
  </si>
  <si>
    <t>CAPITAL STRUCTURE RATIOS</t>
  </si>
  <si>
    <t>2006 - 2022</t>
  </si>
  <si>
    <t>($000)</t>
  </si>
  <si>
    <t>COMMON</t>
  </si>
  <si>
    <t>PREFERRED</t>
  </si>
  <si>
    <t>LONG-TERM</t>
  </si>
  <si>
    <t>SHORT-TERM</t>
  </si>
  <si>
    <t>YEAR</t>
  </si>
  <si>
    <t>EQUITY</t>
  </si>
  <si>
    <t>STOCK</t>
  </si>
  <si>
    <t xml:space="preserve">  DEBT </t>
  </si>
  <si>
    <t>DEBT</t>
  </si>
  <si>
    <t>March 31, 2006</t>
  </si>
  <si>
    <t>(Time of Merger)</t>
  </si>
  <si>
    <t>2010</t>
  </si>
  <si>
    <t>Note:  Percentages may not total 100.0% due to rounding.</t>
  </si>
  <si>
    <t>Source:  Response to WUTC-6 for years 2018-2022; prior years taken from Exhibit No.___(DCP-6)</t>
  </si>
  <si>
    <t>in Docket No. UE-152253 and Response to WUTC 232 in Docket NO. UE-190124.</t>
  </si>
  <si>
    <t>BERKSHIRE HATHAWAY ENERGY COMPANY</t>
  </si>
  <si>
    <t>AND SUSBSIDIARIES</t>
  </si>
  <si>
    <t>2018 - 2022</t>
  </si>
  <si>
    <t>($ Millions)</t>
  </si>
  <si>
    <t xml:space="preserve">  DEBT</t>
  </si>
  <si>
    <t>Note:  Current portion of long-term debt included in short-term debt totals.</t>
  </si>
  <si>
    <t>Source:  Berkshire Hathaway Energy, Form 10-K.</t>
  </si>
  <si>
    <t>BERKSHIRE HATHAWAY ENERGY  &amp; UTILITY SUBSIDIARIES</t>
  </si>
  <si>
    <t>AS OF DECEMBER 31, 2022</t>
  </si>
  <si>
    <t>($millions)</t>
  </si>
  <si>
    <t xml:space="preserve">LONG-TERM </t>
  </si>
  <si>
    <t>COMPANY</t>
  </si>
  <si>
    <t>SECURITIES</t>
  </si>
  <si>
    <t>Nevada Power Co</t>
  </si>
  <si>
    <t>MidAmerican Energy</t>
  </si>
  <si>
    <t>Berkshire Hathaway</t>
  </si>
  <si>
    <t>Energy Company</t>
  </si>
  <si>
    <t>Consolidated</t>
  </si>
  <si>
    <t>Source:  2022 PacifiCorp Form 10-K, provided as Attachment WUTC Data Request 4.</t>
  </si>
  <si>
    <t>Exh. DCP-7</t>
  </si>
  <si>
    <t>PROXY COMPANIES</t>
  </si>
  <si>
    <t>COMMON EQUITY RATIOS (EXCLIUDING SHORT-TERM DEBT)</t>
  </si>
  <si>
    <t>2018-2022</t>
  </si>
  <si>
    <t>Average</t>
  </si>
  <si>
    <t>2026-28</t>
  </si>
  <si>
    <t>Median</t>
  </si>
  <si>
    <t>Exh. DCP-8</t>
  </si>
  <si>
    <t>BASIS FOR SELECTION</t>
  </si>
  <si>
    <t>Market</t>
  </si>
  <si>
    <t>Common</t>
  </si>
  <si>
    <t>Value</t>
  </si>
  <si>
    <t>Capitalization</t>
  </si>
  <si>
    <t>Equity</t>
  </si>
  <si>
    <t>Line</t>
  </si>
  <si>
    <t>Bond</t>
  </si>
  <si>
    <t>($ millions)</t>
  </si>
  <si>
    <t>Ratio</t>
  </si>
  <si>
    <t>Safety</t>
  </si>
  <si>
    <t>Rating</t>
  </si>
  <si>
    <t>No market Cap 1/</t>
  </si>
  <si>
    <t>BBB+</t>
  </si>
  <si>
    <t>Parcell Proxy Group</t>
  </si>
  <si>
    <t>$1 billion - $30 Billion</t>
  </si>
  <si>
    <t>40% - 60%</t>
  </si>
  <si>
    <t>1 or 2</t>
  </si>
  <si>
    <t>A or BBB</t>
  </si>
  <si>
    <t>A or Baa</t>
  </si>
  <si>
    <t>ALLETE</t>
  </si>
  <si>
    <t>BBB</t>
  </si>
  <si>
    <t>Baa1</t>
  </si>
  <si>
    <t>Alliant Energy Corp</t>
  </si>
  <si>
    <t>Baa2</t>
  </si>
  <si>
    <t>Ameren Corp</t>
  </si>
  <si>
    <t>Avista Corp</t>
  </si>
  <si>
    <t xml:space="preserve">BBB </t>
  </si>
  <si>
    <t>Black Hills Corp</t>
  </si>
  <si>
    <t>Evergy, Inc.</t>
  </si>
  <si>
    <t>Eversource Energy</t>
  </si>
  <si>
    <t>Fortis, Inc.</t>
  </si>
  <si>
    <t>Baa3</t>
  </si>
  <si>
    <t>IDACORP</t>
  </si>
  <si>
    <t>Northwestern Corp</t>
  </si>
  <si>
    <t>OGE Energy</t>
  </si>
  <si>
    <t>Otter Tail Corp</t>
  </si>
  <si>
    <t>Pinnacle West Capital Corp</t>
  </si>
  <si>
    <t>Portland General Electric</t>
  </si>
  <si>
    <t>WEC Energy Group</t>
  </si>
  <si>
    <t>Bulkley Proxy Group</t>
  </si>
  <si>
    <t>ALLETE, Inc.</t>
  </si>
  <si>
    <t>American Electric Power Corp</t>
  </si>
  <si>
    <t>CMS Energy</t>
  </si>
  <si>
    <t>Duke Energy Corp.</t>
  </si>
  <si>
    <t>Entergy Corp.</t>
  </si>
  <si>
    <t>IDACORP, Inc.</t>
  </si>
  <si>
    <t>NextEra Energy, Inc.</t>
  </si>
  <si>
    <t>Northwestern Corp.</t>
  </si>
  <si>
    <t>OGE Energy Corp.</t>
  </si>
  <si>
    <t>Otter Tail Corp.</t>
  </si>
  <si>
    <t>Portland General Electric Co.</t>
  </si>
  <si>
    <t>Southern Co.</t>
  </si>
  <si>
    <t>Xcel Energy, Inc.</t>
  </si>
  <si>
    <t>1/  Since PacifiCorp is not publicly-traded, it has no "market cap."  The 2022 "Book Value" of PacifiCorp is</t>
  </si>
  <si>
    <t>about $10.7 billion (see Exh. DCP-6, page 1).  Since most electric utilities have a market-to-book ratio of about</t>
  </si>
  <si>
    <t>160 percent (see Exh. DCP-12, page 2 for year 2022), an implied market value for PacifiCorp is about $17</t>
  </si>
  <si>
    <t>billion (i.e., market value is 1.7 times book value).  A market cap range of $1 billion to $30 billion is used as</t>
  </si>
  <si>
    <t>the "screen" for size in selecting the proxy group.</t>
  </si>
  <si>
    <t>Sources:  Value Line Investment Survey; Moody's and Standard &amp; Poor's websites (assesssed August 10, 2023).</t>
  </si>
  <si>
    <t>Exh. DCP-9</t>
  </si>
  <si>
    <t>Page 1 of 5</t>
  </si>
  <si>
    <t>DIVIDEND YIELD</t>
  </si>
  <si>
    <t>Qtr</t>
  </si>
  <si>
    <t>May - July 2023</t>
  </si>
  <si>
    <t>DPS</t>
  </si>
  <si>
    <t>HIGH</t>
  </si>
  <si>
    <t>LOW</t>
  </si>
  <si>
    <t>MID-POINT</t>
  </si>
  <si>
    <t>YIELD</t>
  </si>
  <si>
    <t>Source:  Yahoo! Finance.</t>
  </si>
  <si>
    <t>Page 2 of 5</t>
  </si>
  <si>
    <t>RETENTION GROWTH RATES</t>
  </si>
  <si>
    <t>2026-'28</t>
  </si>
  <si>
    <t>Source:  Value Line Investment Survey, June 9, 2023, July 21, 2023, August 11, 2023.</t>
  </si>
  <si>
    <t>Page 3 of 5</t>
  </si>
  <si>
    <t>PER SHARE GROWTH RATES</t>
  </si>
  <si>
    <t>5-Year Historic Growth Rates</t>
  </si>
  <si>
    <t>Est'd '20-'22 to '26-'28 Growth Rates</t>
  </si>
  <si>
    <t>EPS</t>
  </si>
  <si>
    <t>BVPS</t>
  </si>
  <si>
    <t>1/  Evergy was formed in 2018 through merger of Great Plains Energy and Westar Energy. Thus, Value Line does not report 5-year</t>
  </si>
  <si>
    <t>historic growth rates.</t>
  </si>
  <si>
    <t>Page 4 of 5</t>
  </si>
  <si>
    <t>"CONSENSUS" FORECASTS OF EARNINGS PER SHARE GROWTH</t>
  </si>
  <si>
    <t>First Call</t>
  </si>
  <si>
    <t>Zacks</t>
  </si>
  <si>
    <t>neg</t>
  </si>
  <si>
    <t>na</t>
  </si>
  <si>
    <t>Sources:  Yahoo! Finance and Zack's websites, assessed August 1, 2023.</t>
  </si>
  <si>
    <t>Page 5 of 5</t>
  </si>
  <si>
    <t>DCF COST RATES</t>
  </si>
  <si>
    <t>HISTORIC</t>
  </si>
  <si>
    <t>PROSPECTIVE</t>
  </si>
  <si>
    <t>CONSENSUS</t>
  </si>
  <si>
    <t>ADJUSTED</t>
  </si>
  <si>
    <t>RETENTION</t>
  </si>
  <si>
    <t>PER SHARE</t>
  </si>
  <si>
    <t>AVERAGE</t>
  </si>
  <si>
    <t>DCF</t>
  </si>
  <si>
    <t>GROWTH</t>
  </si>
  <si>
    <t>RATES</t>
  </si>
  <si>
    <t>Mean</t>
  </si>
  <si>
    <t>Composite - Mean</t>
  </si>
  <si>
    <t>Composite - Median</t>
  </si>
  <si>
    <t>Note:  negative values not used in calculations.</t>
  </si>
  <si>
    <t>Sources:  Prior pages of this schedule.</t>
  </si>
  <si>
    <t>Exh. DCP-10</t>
  </si>
  <si>
    <t>STANDARD &amp; POOR'S 500 COMPOSITE</t>
  </si>
  <si>
    <t>20-YEAR U.S. TREASURY BOND YIELDS</t>
  </si>
  <si>
    <t>RISK PREMIUMS</t>
  </si>
  <si>
    <t>20-YEAR</t>
  </si>
  <si>
    <t>T-BOND</t>
  </si>
  <si>
    <t>RISK</t>
  </si>
  <si>
    <t>ROE</t>
  </si>
  <si>
    <t>PREMIUM</t>
  </si>
  <si>
    <t>Source:  Standard &amp; Poor's, SBBI.</t>
  </si>
  <si>
    <t>Exh. DCP-11</t>
  </si>
  <si>
    <t>CAPM COST RATES</t>
  </si>
  <si>
    <t>RISK-FREE</t>
  </si>
  <si>
    <t>CAPM</t>
  </si>
  <si>
    <t>RATE</t>
  </si>
  <si>
    <t>BETA</t>
  </si>
  <si>
    <t>Standard &amp; Poor's, and Federal Reserve.</t>
  </si>
  <si>
    <t>20-year Treasury Bonds</t>
  </si>
  <si>
    <t>Month</t>
  </si>
  <si>
    <t>Jul-23</t>
  </si>
  <si>
    <t>Exh. DCP-12</t>
  </si>
  <si>
    <t>RATES OF RETURN ON AVERAGE COMMON EQUITY</t>
  </si>
  <si>
    <t>2021 -</t>
  </si>
  <si>
    <t>2002-2008</t>
  </si>
  <si>
    <t>2009-2020</t>
  </si>
  <si>
    <t>Source:  Calculations made from data contained in Value Line Investment Survey.</t>
  </si>
  <si>
    <t>MARKET TO BOOK RATIOS</t>
  </si>
  <si>
    <t>WITNESS BULKLEY PROXY GROUP</t>
  </si>
  <si>
    <t>RETURNS ON EQUITY AND MARKET-TO-BOOK RATIOS</t>
  </si>
  <si>
    <t>Actual ROE</t>
  </si>
  <si>
    <t>Projected ROE</t>
  </si>
  <si>
    <t>M/B</t>
  </si>
  <si>
    <t>(Average Equity)</t>
  </si>
  <si>
    <t>(Value Line)</t>
  </si>
  <si>
    <t>Source:  Calculations from data contained in Value Line Investment Survey.</t>
  </si>
  <si>
    <t>Exh. DCP-13</t>
  </si>
  <si>
    <t>RETURNS AND MARKET-TO-BOOK RATIOS</t>
  </si>
  <si>
    <t>2002 - 2022</t>
  </si>
  <si>
    <t xml:space="preserve">  RETURN ON</t>
  </si>
  <si>
    <t>MARKET-TO</t>
  </si>
  <si>
    <t>AVERAGE EQUITY</t>
  </si>
  <si>
    <t>BOOK RATIO</t>
  </si>
  <si>
    <t>Averages:</t>
  </si>
  <si>
    <t>2009-2022</t>
  </si>
  <si>
    <t>Source:  Standard &amp; Poor's.</t>
  </si>
  <si>
    <t>Exh. DCP-14</t>
  </si>
  <si>
    <t>RISK INDICATORS</t>
  </si>
  <si>
    <t>VALUE LINE</t>
  </si>
  <si>
    <t>FINANCIAL</t>
  </si>
  <si>
    <t>SAFETY</t>
  </si>
  <si>
    <t>STRENGTH</t>
  </si>
  <si>
    <t>B++</t>
  </si>
  <si>
    <t>GROUP</t>
  </si>
  <si>
    <t>FIN STR</t>
  </si>
  <si>
    <t>S&amp;P 500</t>
  </si>
  <si>
    <t>Proxy Group</t>
  </si>
  <si>
    <t>Source:  Value Line Investment Survey.</t>
  </si>
  <si>
    <t>Definitions:</t>
  </si>
  <si>
    <t>Safety rankings are in a range of 1 to 5, with 1 representing the highest safety or</t>
  </si>
  <si>
    <t>lowest risk.</t>
  </si>
  <si>
    <t>Beta reflects the variability of the price of a common stock, relative to the variability</t>
  </si>
  <si>
    <t>of the market as a whole.  A stock with a beta of 1.0 moves in concert with the</t>
  </si>
  <si>
    <t>market; a stock with a beta below 1.0 is less variable than the market; and a stock</t>
  </si>
  <si>
    <t>with a beta of greater than 1.0 is more variable than the market.</t>
  </si>
  <si>
    <t xml:space="preserve">Financial Strengths range from D to A+, with A+ representing the highest level. </t>
  </si>
  <si>
    <t>Exh. DCP-15</t>
  </si>
  <si>
    <t>RISK PREMIUM ANALYSIS</t>
  </si>
  <si>
    <t>Line No.</t>
  </si>
  <si>
    <t>Low</t>
  </si>
  <si>
    <t>High</t>
  </si>
  <si>
    <t>Source</t>
  </si>
  <si>
    <t>Risk Premium Range for 2012-2019</t>
  </si>
  <si>
    <t>Current level of A-rated Utility bonds</t>
  </si>
  <si>
    <t>Interest Rate Range for 2012-2019</t>
  </si>
  <si>
    <t>Difference in Interest Rate Levels</t>
  </si>
  <si>
    <t>Relationship between Interest Rates</t>
  </si>
  <si>
    <t>5/</t>
  </si>
  <si>
    <t>and Risk Premiums</t>
  </si>
  <si>
    <t>Required change in Risk Premium</t>
  </si>
  <si>
    <t>Risk Premium</t>
  </si>
  <si>
    <t>7/</t>
  </si>
  <si>
    <t>RP Result</t>
  </si>
  <si>
    <t>8/</t>
  </si>
  <si>
    <t>As developed in testimony and page 2 of this exhibit.</t>
  </si>
  <si>
    <t>Average yield on A-rated utility bonds for three-month period May-</t>
  </si>
  <si>
    <t>July 2023, as shown on Exh. DCP-4, page 2.</t>
  </si>
  <si>
    <t>As shown on page 2 of this exhibit.</t>
  </si>
  <si>
    <t>Difference between lines 2 and 3.</t>
  </si>
  <si>
    <t>As developed in Witness Bulkley's Direct Testimony, Exhibit AEB-10.</t>
  </si>
  <si>
    <t>Lines 4 times lines 5.</t>
  </si>
  <si>
    <t>Lines 1 plus 6.</t>
  </si>
  <si>
    <t>Lines 2 plus lines 7.</t>
  </si>
  <si>
    <t>CALCULATION OF RISK PREMIUMS</t>
  </si>
  <si>
    <t>2012-19</t>
  </si>
  <si>
    <t>2012-22</t>
  </si>
  <si>
    <t>Average Authorized ROE</t>
  </si>
  <si>
    <t>General Rate Cases</t>
  </si>
  <si>
    <t>Annual Average Yields on</t>
  </si>
  <si>
    <t>A rated Utility Bonds</t>
  </si>
  <si>
    <t>No Lag</t>
  </si>
  <si>
    <t>3 Months Lag</t>
  </si>
  <si>
    <t>6 Months Lag</t>
  </si>
  <si>
    <t>9 Months Lag</t>
  </si>
  <si>
    <t>12 Months Lag</t>
  </si>
  <si>
    <t>Risk Premiums of ROEs vs</t>
  </si>
  <si>
    <t>Sources:  S&amp;P Global Intelligence; Mergent Bond Record.</t>
  </si>
  <si>
    <t>YIELDS ON A RATED PUBLIC UTILITY BONDS</t>
  </si>
  <si>
    <t>3-Month</t>
  </si>
  <si>
    <t>6-Month</t>
  </si>
  <si>
    <t>9-Month</t>
  </si>
  <si>
    <t>12-Month</t>
  </si>
  <si>
    <t>Annual</t>
  </si>
  <si>
    <t>Lagged</t>
  </si>
  <si>
    <t>Year/Month</t>
  </si>
  <si>
    <t>Yield</t>
  </si>
  <si>
    <t>Jun</t>
  </si>
  <si>
    <t>Jul</t>
  </si>
  <si>
    <t>Aug</t>
  </si>
  <si>
    <t>Sep</t>
  </si>
  <si>
    <t>Oct</t>
  </si>
  <si>
    <t>Nov</t>
  </si>
  <si>
    <t>Dec</t>
  </si>
  <si>
    <t>Source:  Mergent Bond Record.</t>
  </si>
  <si>
    <t>Note -- blanks in individual years and average column indicates that Value Line annual data is not available for all years of the indicated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</si>
</sst>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  <numFmt numFmtId="171" formatCode="0.000%"/>
    <numFmt numFmtId="172" formatCode="0.000"/>
  </numFmts>
  <fonts count="26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1">
    <xf numFmtId="0" fontId="0" fillId="0" borderId="0"/>
    <xf numFmtId="3" fontId="9" fillId="0" borderId="0" applyFont="0" applyFill="0" applyBorder="0" applyAlignment="0" applyProtection="0"/>
    <xf numFmtId="5" fontId="9" fillId="0" borderId="0" applyFill="0" applyBorder="0" applyAlignment="0" applyProtection="0"/>
    <xf numFmtId="0" fontId="11" fillId="0" borderId="0"/>
    <xf numFmtId="0" fontId="11" fillId="0" borderId="0"/>
    <xf numFmtId="0" fontId="11" fillId="0" borderId="1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2" borderId="1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0" fontId="14" fillId="3" borderId="0">
      <alignment horizontal="right"/>
    </xf>
    <xf numFmtId="0" fontId="15" fillId="4" borderId="0">
      <alignment horizontal="center"/>
    </xf>
    <xf numFmtId="0" fontId="16" fillId="5" borderId="2"/>
    <xf numFmtId="0" fontId="17" fillId="0" borderId="0" applyBorder="0">
      <alignment horizontal="centerContinuous"/>
    </xf>
    <xf numFmtId="0" fontId="18" fillId="0" borderId="0" applyBorder="0">
      <alignment horizontal="centerContinuous"/>
    </xf>
    <xf numFmtId="0" fontId="11" fillId="0" borderId="0"/>
    <xf numFmtId="0" fontId="11" fillId="0" borderId="0"/>
    <xf numFmtId="0" fontId="11" fillId="0" borderId="1"/>
    <xf numFmtId="0" fontId="11" fillId="0" borderId="1"/>
    <xf numFmtId="0" fontId="19" fillId="6" borderId="0"/>
    <xf numFmtId="0" fontId="19" fillId="6" borderId="0"/>
    <xf numFmtId="0" fontId="9" fillId="0" borderId="3" applyNumberFormat="0" applyFont="0" applyFill="0" applyAlignment="0" applyProtection="0"/>
    <xf numFmtId="0" fontId="13" fillId="0" borderId="4"/>
    <xf numFmtId="0" fontId="13" fillId="0" borderId="4"/>
    <xf numFmtId="0" fontId="13" fillId="0" borderId="1"/>
    <xf numFmtId="0" fontId="13" fillId="0" borderId="1"/>
    <xf numFmtId="0" fontId="5" fillId="0" borderId="0"/>
    <xf numFmtId="167" fontId="5" fillId="0" borderId="0"/>
    <xf numFmtId="167" fontId="5" fillId="0" borderId="0"/>
    <xf numFmtId="0" fontId="2" fillId="0" borderId="0"/>
    <xf numFmtId="44" fontId="9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0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6" fillId="0" borderId="0" xfId="0" applyFont="1"/>
    <xf numFmtId="0" fontId="0" fillId="0" borderId="3" xfId="0" applyBorder="1"/>
    <xf numFmtId="164" fontId="3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164" fontId="5" fillId="0" borderId="6" xfId="0" applyNumberFormat="1" applyFont="1" applyBorder="1" applyAlignment="1">
      <alignment horizontal="center"/>
    </xf>
    <xf numFmtId="167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Border="1"/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7" xfId="0" applyBorder="1"/>
    <xf numFmtId="0" fontId="0" fillId="0" borderId="7" xfId="0" applyBorder="1" applyAlignment="1">
      <alignment horizontal="center"/>
    </xf>
    <xf numFmtId="0" fontId="5" fillId="0" borderId="6" xfId="0" applyFont="1" applyBorder="1"/>
    <xf numFmtId="168" fontId="5" fillId="0" borderId="0" xfId="0" applyNumberFormat="1" applyFont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horizontal="left"/>
    </xf>
    <xf numFmtId="169" fontId="0" fillId="0" borderId="0" xfId="0" applyNumberFormat="1" applyAlignment="1">
      <alignment horizontal="center"/>
    </xf>
    <xf numFmtId="9" fontId="0" fillId="0" borderId="0" xfId="0" applyNumberFormat="1"/>
    <xf numFmtId="168" fontId="5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9" fontId="0" fillId="0" borderId="0" xfId="0" applyNumberFormat="1"/>
    <xf numFmtId="9" fontId="6" fillId="0" borderId="0" xfId="0" applyNumberFormat="1" applyFont="1"/>
    <xf numFmtId="9" fontId="4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5" fillId="0" borderId="3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right"/>
    </xf>
    <xf numFmtId="2" fontId="0" fillId="0" borderId="0" xfId="0" applyNumberFormat="1"/>
    <xf numFmtId="0" fontId="10" fillId="0" borderId="0" xfId="0" applyFont="1"/>
    <xf numFmtId="164" fontId="3" fillId="0" borderId="6" xfId="0" applyNumberFormat="1" applyFont="1" applyBorder="1" applyAlignment="1">
      <alignment horizontal="center"/>
    </xf>
    <xf numFmtId="0" fontId="5" fillId="0" borderId="0" xfId="35"/>
    <xf numFmtId="0" fontId="3" fillId="0" borderId="0" xfId="35" applyFont="1"/>
    <xf numFmtId="0" fontId="5" fillId="0" borderId="0" xfId="35" applyAlignment="1">
      <alignment horizontal="center"/>
    </xf>
    <xf numFmtId="167" fontId="5" fillId="0" borderId="0" xfId="36"/>
    <xf numFmtId="167" fontId="3" fillId="0" borderId="0" xfId="36" applyFont="1"/>
    <xf numFmtId="167" fontId="5" fillId="0" borderId="0" xfId="36" applyAlignment="1">
      <alignment horizontal="centerContinuous"/>
    </xf>
    <xf numFmtId="167" fontId="5" fillId="0" borderId="3" xfId="36" applyBorder="1"/>
    <xf numFmtId="167" fontId="3" fillId="0" borderId="0" xfId="36" applyFont="1" applyAlignment="1">
      <alignment horizontal="center"/>
    </xf>
    <xf numFmtId="167" fontId="3" fillId="0" borderId="6" xfId="36" applyFont="1" applyBorder="1" applyAlignment="1">
      <alignment horizontal="center"/>
    </xf>
    <xf numFmtId="167" fontId="5" fillId="0" borderId="6" xfId="36" applyBorder="1"/>
    <xf numFmtId="167" fontId="5" fillId="0" borderId="0" xfId="36" applyAlignment="1">
      <alignment horizontal="center"/>
    </xf>
    <xf numFmtId="164" fontId="5" fillId="0" borderId="0" xfId="36" applyNumberFormat="1" applyAlignment="1">
      <alignment horizontal="center"/>
    </xf>
    <xf numFmtId="164" fontId="5" fillId="0" borderId="0" xfId="36" applyNumberFormat="1"/>
    <xf numFmtId="165" fontId="5" fillId="0" borderId="0" xfId="36" applyNumberFormat="1"/>
    <xf numFmtId="165" fontId="5" fillId="0" borderId="0" xfId="36" applyNumberFormat="1" applyAlignment="1">
      <alignment horizontal="centerContinuous"/>
    </xf>
    <xf numFmtId="1" fontId="5" fillId="0" borderId="0" xfId="36" applyNumberFormat="1" applyAlignment="1">
      <alignment horizontal="center"/>
    </xf>
    <xf numFmtId="164" fontId="5" fillId="0" borderId="0" xfId="38" applyNumberFormat="1" applyFont="1" applyAlignment="1">
      <alignment horizontal="center"/>
    </xf>
    <xf numFmtId="167" fontId="5" fillId="0" borderId="7" xfId="36" applyBorder="1"/>
    <xf numFmtId="164" fontId="5" fillId="0" borderId="7" xfId="36" applyNumberFormat="1" applyBorder="1" applyAlignment="1">
      <alignment horizontal="center"/>
    </xf>
    <xf numFmtId="167" fontId="5" fillId="0" borderId="7" xfId="36" applyBorder="1" applyAlignment="1">
      <alignment horizontal="center"/>
    </xf>
    <xf numFmtId="167" fontId="4" fillId="0" borderId="0" xfId="36" applyFont="1" applyAlignment="1">
      <alignment horizontal="center"/>
    </xf>
    <xf numFmtId="167" fontId="5" fillId="0" borderId="8" xfId="36" applyBorder="1"/>
    <xf numFmtId="10" fontId="5" fillId="0" borderId="0" xfId="36" applyNumberFormat="1" applyAlignment="1">
      <alignment horizontal="center"/>
    </xf>
    <xf numFmtId="10" fontId="5" fillId="0" borderId="7" xfId="36" applyNumberFormat="1" applyBorder="1" applyAlignment="1">
      <alignment horizontal="center"/>
    </xf>
    <xf numFmtId="2" fontId="5" fillId="0" borderId="0" xfId="36" applyNumberFormat="1"/>
    <xf numFmtId="167" fontId="20" fillId="0" borderId="0" xfId="36" applyFont="1"/>
    <xf numFmtId="167" fontId="20" fillId="0" borderId="3" xfId="36" applyFont="1" applyBorder="1"/>
    <xf numFmtId="2" fontId="5" fillId="0" borderId="0" xfId="36" applyNumberFormat="1" applyAlignment="1">
      <alignment horizontal="center"/>
    </xf>
    <xf numFmtId="4" fontId="5" fillId="0" borderId="0" xfId="36" applyNumberFormat="1" applyAlignment="1">
      <alignment horizontal="center"/>
    </xf>
    <xf numFmtId="2" fontId="3" fillId="0" borderId="0" xfId="36" applyNumberFormat="1" applyFont="1" applyAlignment="1">
      <alignment horizontal="center"/>
    </xf>
    <xf numFmtId="10" fontId="5" fillId="0" borderId="0" xfId="36" quotePrefix="1" applyNumberFormat="1" applyAlignment="1">
      <alignment horizontal="center"/>
    </xf>
    <xf numFmtId="4" fontId="5" fillId="0" borderId="7" xfId="36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7" xfId="35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5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9" fontId="0" fillId="0" borderId="7" xfId="0" applyNumberFormat="1" applyBorder="1"/>
    <xf numFmtId="0" fontId="4" fillId="0" borderId="0" xfId="35" applyFont="1" applyAlignment="1">
      <alignment horizontal="centerContinuous"/>
    </xf>
    <xf numFmtId="0" fontId="5" fillId="0" borderId="0" xfId="35" applyAlignment="1">
      <alignment horizontal="centerContinuous"/>
    </xf>
    <xf numFmtId="0" fontId="5" fillId="0" borderId="7" xfId="35" applyBorder="1"/>
    <xf numFmtId="0" fontId="5" fillId="0" borderId="0" xfId="35" applyAlignment="1">
      <alignment horizontal="left"/>
    </xf>
    <xf numFmtId="0" fontId="3" fillId="0" borderId="0" xfId="35" applyFont="1" applyAlignment="1">
      <alignment horizontal="center"/>
    </xf>
    <xf numFmtId="0" fontId="5" fillId="0" borderId="6" xfId="35" applyBorder="1"/>
    <xf numFmtId="0" fontId="5" fillId="0" borderId="6" xfId="35" applyBorder="1" applyAlignment="1">
      <alignment horizontal="center"/>
    </xf>
    <xf numFmtId="10" fontId="5" fillId="0" borderId="0" xfId="35" applyNumberFormat="1" applyAlignment="1">
      <alignment horizontal="center"/>
    </xf>
    <xf numFmtId="10" fontId="5" fillId="0" borderId="0" xfId="35" applyNumberFormat="1" applyAlignment="1">
      <alignment horizontal="right"/>
    </xf>
    <xf numFmtId="10" fontId="5" fillId="0" borderId="0" xfId="35" applyNumberFormat="1" applyAlignment="1">
      <alignment horizontal="left"/>
    </xf>
    <xf numFmtId="0" fontId="5" fillId="0" borderId="6" xfId="35" applyBorder="1" applyAlignment="1">
      <alignment horizontal="right"/>
    </xf>
    <xf numFmtId="0" fontId="5" fillId="0" borderId="6" xfId="35" applyBorder="1" applyAlignment="1">
      <alignment horizontal="left"/>
    </xf>
    <xf numFmtId="0" fontId="5" fillId="0" borderId="0" xfId="35" applyAlignment="1">
      <alignment horizontal="right"/>
    </xf>
    <xf numFmtId="10" fontId="5" fillId="0" borderId="0" xfId="35" applyNumberFormat="1"/>
    <xf numFmtId="10" fontId="3" fillId="0" borderId="0" xfId="35" applyNumberFormat="1" applyFont="1" applyAlignment="1">
      <alignment horizontal="center"/>
    </xf>
    <xf numFmtId="171" fontId="5" fillId="0" borderId="0" xfId="35" applyNumberFormat="1" applyAlignment="1">
      <alignment horizontal="center"/>
    </xf>
    <xf numFmtId="0" fontId="10" fillId="0" borderId="7" xfId="35" applyFont="1" applyBorder="1" applyAlignment="1">
      <alignment horizontal="center"/>
    </xf>
    <xf numFmtId="17" fontId="5" fillId="0" borderId="0" xfId="0" applyNumberFormat="1" applyFont="1" applyAlignment="1">
      <alignment horizontal="right"/>
    </xf>
    <xf numFmtId="6" fontId="4" fillId="0" borderId="0" xfId="35" quotePrefix="1" applyNumberFormat="1" applyFont="1" applyAlignment="1">
      <alignment horizontal="centerContinuous"/>
    </xf>
    <xf numFmtId="164" fontId="5" fillId="0" borderId="0" xfId="35" applyNumberFormat="1" applyAlignment="1">
      <alignment horizontal="center"/>
    </xf>
    <xf numFmtId="166" fontId="5" fillId="0" borderId="0" xfId="35" applyNumberFormat="1" applyAlignment="1">
      <alignment horizontal="center"/>
    </xf>
    <xf numFmtId="15" fontId="5" fillId="0" borderId="0" xfId="35" quotePrefix="1" applyNumberFormat="1" applyAlignment="1">
      <alignment horizontal="center"/>
    </xf>
    <xf numFmtId="169" fontId="5" fillId="0" borderId="0" xfId="35" applyNumberFormat="1" applyAlignment="1">
      <alignment horizontal="center"/>
    </xf>
    <xf numFmtId="164" fontId="5" fillId="0" borderId="0" xfId="35" applyNumberFormat="1"/>
    <xf numFmtId="169" fontId="5" fillId="0" borderId="7" xfId="35" applyNumberFormat="1" applyBorder="1" applyAlignment="1">
      <alignment horizontal="center"/>
    </xf>
    <xf numFmtId="169" fontId="5" fillId="0" borderId="0" xfId="35" applyNumberFormat="1"/>
    <xf numFmtId="6" fontId="4" fillId="0" borderId="7" xfId="35" quotePrefix="1" applyNumberFormat="1" applyFont="1" applyBorder="1" applyAlignment="1">
      <alignment horizontal="center"/>
    </xf>
    <xf numFmtId="6" fontId="4" fillId="0" borderId="0" xfId="35" quotePrefix="1" applyNumberFormat="1" applyFont="1" applyAlignment="1">
      <alignment horizontal="center"/>
    </xf>
    <xf numFmtId="164" fontId="5" fillId="0" borderId="7" xfId="35" applyNumberFormat="1" applyBorder="1" applyAlignment="1">
      <alignment horizontal="center"/>
    </xf>
    <xf numFmtId="166" fontId="5" fillId="0" borderId="7" xfId="35" applyNumberFormat="1" applyBorder="1" applyAlignment="1">
      <alignment horizontal="center"/>
    </xf>
    <xf numFmtId="169" fontId="3" fillId="0" borderId="0" xfId="0" applyNumberFormat="1" applyFont="1"/>
    <xf numFmtId="170" fontId="5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5" fillId="0" borderId="6" xfId="35" applyNumberFormat="1" applyBorder="1"/>
    <xf numFmtId="10" fontId="5" fillId="0" borderId="6" xfId="35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/>
    </xf>
    <xf numFmtId="169" fontId="5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3" fillId="0" borderId="0" xfId="36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40"/>
    <xf numFmtId="0" fontId="21" fillId="0" borderId="0" xfId="40" applyFont="1"/>
    <xf numFmtId="0" fontId="1" fillId="0" borderId="7" xfId="40" applyBorder="1"/>
    <xf numFmtId="0" fontId="23" fillId="0" borderId="0" xfId="40" applyFont="1"/>
    <xf numFmtId="0" fontId="23" fillId="0" borderId="0" xfId="40" applyFont="1" applyAlignment="1">
      <alignment horizontal="center"/>
    </xf>
    <xf numFmtId="0" fontId="23" fillId="0" borderId="6" xfId="40" applyFont="1" applyBorder="1"/>
    <xf numFmtId="0" fontId="23" fillId="0" borderId="6" xfId="40" applyFont="1" applyBorder="1" applyAlignment="1">
      <alignment horizontal="center"/>
    </xf>
    <xf numFmtId="0" fontId="1" fillId="0" borderId="0" xfId="40" applyAlignment="1">
      <alignment horizontal="center"/>
    </xf>
    <xf numFmtId="10" fontId="23" fillId="0" borderId="0" xfId="40" applyNumberFormat="1" applyFont="1" applyAlignment="1">
      <alignment horizontal="center"/>
    </xf>
    <xf numFmtId="1" fontId="23" fillId="0" borderId="0" xfId="40" applyNumberFormat="1" applyFont="1" applyAlignment="1">
      <alignment horizontal="center"/>
    </xf>
    <xf numFmtId="10" fontId="1" fillId="0" borderId="0" xfId="40" applyNumberFormat="1" applyAlignment="1">
      <alignment horizontal="center"/>
    </xf>
    <xf numFmtId="10" fontId="1" fillId="0" borderId="0" xfId="40" applyNumberFormat="1"/>
    <xf numFmtId="172" fontId="23" fillId="0" borderId="0" xfId="40" applyNumberFormat="1" applyFont="1" applyAlignment="1">
      <alignment horizontal="center"/>
    </xf>
    <xf numFmtId="0" fontId="23" fillId="0" borderId="7" xfId="40" applyFont="1" applyBorder="1" applyAlignment="1">
      <alignment horizontal="center"/>
    </xf>
    <xf numFmtId="0" fontId="23" fillId="0" borderId="7" xfId="40" applyFont="1" applyBorder="1"/>
    <xf numFmtId="10" fontId="23" fillId="0" borderId="7" xfId="40" applyNumberFormat="1" applyFont="1" applyBorder="1" applyAlignment="1">
      <alignment horizontal="center"/>
    </xf>
    <xf numFmtId="10" fontId="23" fillId="0" borderId="7" xfId="40" applyNumberFormat="1" applyFont="1" applyBorder="1" applyAlignment="1">
      <alignment horizontal="right"/>
    </xf>
    <xf numFmtId="0" fontId="23" fillId="0" borderId="0" xfId="40" applyFont="1" applyAlignment="1">
      <alignment horizontal="right"/>
    </xf>
    <xf numFmtId="10" fontId="5" fillId="0" borderId="0" xfId="35" quotePrefix="1" applyNumberFormat="1" applyAlignment="1">
      <alignment horizontal="center"/>
    </xf>
    <xf numFmtId="0" fontId="5" fillId="0" borderId="0" xfId="35" quotePrefix="1"/>
    <xf numFmtId="10" fontId="5" fillId="0" borderId="7" xfId="35" applyNumberFormat="1" applyBorder="1" applyAlignment="1">
      <alignment horizontal="center"/>
    </xf>
    <xf numFmtId="0" fontId="24" fillId="0" borderId="6" xfId="35" applyFont="1" applyBorder="1"/>
    <xf numFmtId="0" fontId="24" fillId="0" borderId="6" xfId="35" applyFont="1" applyBorder="1" applyAlignment="1">
      <alignment horizontal="center"/>
    </xf>
    <xf numFmtId="164" fontId="3" fillId="0" borderId="0" xfId="36" applyNumberFormat="1" applyFont="1" applyAlignment="1">
      <alignment horizontal="center"/>
    </xf>
    <xf numFmtId="10" fontId="3" fillId="0" borderId="0" xfId="36" applyNumberFormat="1" applyFont="1" applyAlignment="1">
      <alignment horizontal="center"/>
    </xf>
    <xf numFmtId="0" fontId="0" fillId="0" borderId="0" xfId="0" quotePrefix="1" applyAlignment="1">
      <alignment horizontal="right"/>
    </xf>
    <xf numFmtId="164" fontId="0" fillId="0" borderId="6" xfId="0" applyNumberFormat="1" applyBorder="1" applyAlignment="1">
      <alignment horizontal="center"/>
    </xf>
    <xf numFmtId="10" fontId="3" fillId="0" borderId="0" xfId="35" applyNumberFormat="1" applyFont="1" applyAlignment="1">
      <alignment horizontal="right"/>
    </xf>
    <xf numFmtId="167" fontId="25" fillId="0" borderId="0" xfId="36" applyFont="1"/>
    <xf numFmtId="0" fontId="3" fillId="0" borderId="6" xfId="0" applyFont="1" applyBorder="1"/>
    <xf numFmtId="0" fontId="0" fillId="0" borderId="6" xfId="0" applyBorder="1" applyAlignment="1">
      <alignment horizontal="center"/>
    </xf>
    <xf numFmtId="170" fontId="5" fillId="0" borderId="0" xfId="0" applyNumberFormat="1" applyFont="1"/>
    <xf numFmtId="170" fontId="5" fillId="0" borderId="7" xfId="0" applyNumberFormat="1" applyFont="1" applyBorder="1"/>
    <xf numFmtId="0" fontId="3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/>
    </xf>
    <xf numFmtId="9" fontId="5" fillId="0" borderId="0" xfId="0" applyNumberFormat="1" applyFont="1"/>
    <xf numFmtId="9" fontId="5" fillId="0" borderId="6" xfId="0" applyNumberFormat="1" applyFont="1" applyBorder="1"/>
    <xf numFmtId="9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164" fontId="5" fillId="0" borderId="7" xfId="0" applyNumberFormat="1" applyFont="1" applyBorder="1"/>
    <xf numFmtId="1" fontId="5" fillId="0" borderId="7" xfId="0" applyNumberFormat="1" applyFont="1" applyBorder="1"/>
    <xf numFmtId="15" fontId="10" fillId="0" borderId="0" xfId="35" quotePrefix="1" applyNumberFormat="1" applyFont="1" applyAlignment="1">
      <alignment horizontal="center"/>
    </xf>
    <xf numFmtId="0" fontId="10" fillId="0" borderId="0" xfId="35" quotePrefix="1" applyFont="1" applyAlignment="1">
      <alignment horizontal="center"/>
    </xf>
    <xf numFmtId="0" fontId="3" fillId="0" borderId="0" xfId="35" applyFont="1" applyAlignment="1">
      <alignment horizontal="center"/>
    </xf>
    <xf numFmtId="0" fontId="4" fillId="0" borderId="0" xfId="35" applyFont="1" applyAlignment="1">
      <alignment horizontal="center"/>
    </xf>
    <xf numFmtId="1" fontId="3" fillId="0" borderId="0" xfId="36" applyNumberFormat="1" applyFont="1" applyAlignment="1">
      <alignment horizontal="center"/>
    </xf>
    <xf numFmtId="167" fontId="4" fillId="0" borderId="0" xfId="36" applyFont="1" applyAlignment="1">
      <alignment horizontal="center"/>
    </xf>
    <xf numFmtId="167" fontId="3" fillId="0" borderId="0" xfId="36" applyFont="1" applyAlignment="1">
      <alignment horizontal="center"/>
    </xf>
    <xf numFmtId="165" fontId="3" fillId="0" borderId="0" xfId="36" applyNumberFormat="1" applyFont="1" applyAlignment="1">
      <alignment horizontal="center"/>
    </xf>
    <xf numFmtId="2" fontId="3" fillId="0" borderId="0" xfId="36" applyNumberFormat="1" applyFont="1" applyAlignment="1">
      <alignment horizontal="center"/>
    </xf>
    <xf numFmtId="4" fontId="3" fillId="0" borderId="0" xfId="36" applyNumberFormat="1" applyFont="1" applyAlignment="1">
      <alignment horizontal="center"/>
    </xf>
    <xf numFmtId="0" fontId="3" fillId="0" borderId="6" xfId="35" applyFont="1" applyBorder="1" applyAlignment="1">
      <alignment horizontal="center"/>
    </xf>
    <xf numFmtId="0" fontId="10" fillId="0" borderId="0" xfId="35" applyFont="1" applyAlignment="1">
      <alignment horizontal="center"/>
    </xf>
    <xf numFmtId="6" fontId="4" fillId="0" borderId="0" xfId="35" applyNumberFormat="1" applyFont="1" applyAlignment="1">
      <alignment horizontal="center"/>
    </xf>
    <xf numFmtId="6" fontId="4" fillId="0" borderId="0" xfId="35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2" fillId="0" borderId="0" xfId="40" applyFont="1" applyAlignment="1">
      <alignment horizontal="center"/>
    </xf>
  </cellXfs>
  <cellStyles count="41">
    <cellStyle name="Comma0" xfId="1" xr:uid="{00000000-0005-0000-0000-000000000000}"/>
    <cellStyle name="Currency 2" xfId="39" xr:uid="{00000000-0005-0000-0000-000001000000}"/>
    <cellStyle name="Currency0" xfId="2" xr:uid="{00000000-0005-0000-0000-000002000000}"/>
    <cellStyle name="Custom - Style1" xfId="3" xr:uid="{00000000-0005-0000-0000-000003000000}"/>
    <cellStyle name="Custom - Style8" xfId="4" xr:uid="{00000000-0005-0000-0000-000004000000}"/>
    <cellStyle name="Data   - Style2" xfId="5" xr:uid="{00000000-0005-0000-0000-000005000000}"/>
    <cellStyle name="Date" xfId="6" xr:uid="{00000000-0005-0000-0000-000006000000}"/>
    <cellStyle name="Fixed" xfId="7" xr:uid="{00000000-0005-0000-0000-000007000000}"/>
    <cellStyle name="Heading 1" xfId="8" builtinId="16" customBuiltin="1"/>
    <cellStyle name="Heading 2" xfId="9" builtinId="17" customBuiltin="1"/>
    <cellStyle name="Labels - Style3" xfId="10" xr:uid="{00000000-0005-0000-0000-00000A000000}"/>
    <cellStyle name="Normal" xfId="0" builtinId="0"/>
    <cellStyle name="Normal - Style1" xfId="11" xr:uid="{00000000-0005-0000-0000-00000C000000}"/>
    <cellStyle name="Normal - Style2" xfId="12" xr:uid="{00000000-0005-0000-0000-00000D000000}"/>
    <cellStyle name="Normal - Style3" xfId="13" xr:uid="{00000000-0005-0000-0000-00000E000000}"/>
    <cellStyle name="Normal - Style4" xfId="14" xr:uid="{00000000-0005-0000-0000-00000F000000}"/>
    <cellStyle name="Normal - Style5" xfId="15" xr:uid="{00000000-0005-0000-0000-000010000000}"/>
    <cellStyle name="Normal - Style6" xfId="16" xr:uid="{00000000-0005-0000-0000-000011000000}"/>
    <cellStyle name="Normal - Style7" xfId="17" xr:uid="{00000000-0005-0000-0000-000012000000}"/>
    <cellStyle name="Normal - Style8" xfId="18" xr:uid="{00000000-0005-0000-0000-000013000000}"/>
    <cellStyle name="Normal 2" xfId="35" xr:uid="{00000000-0005-0000-0000-000014000000}"/>
    <cellStyle name="Normal 3" xfId="36" xr:uid="{00000000-0005-0000-0000-000015000000}"/>
    <cellStyle name="Normal 3 2" xfId="37" xr:uid="{00000000-0005-0000-0000-000016000000}"/>
    <cellStyle name="Normal 4" xfId="38" xr:uid="{00000000-0005-0000-0000-000017000000}"/>
    <cellStyle name="Normal 5" xfId="40" xr:uid="{6FBFC317-384B-411A-8906-C85EB332F00E}"/>
    <cellStyle name="Output Amounts" xfId="19" xr:uid="{00000000-0005-0000-0000-000018000000}"/>
    <cellStyle name="Output Column Headings" xfId="20" xr:uid="{00000000-0005-0000-0000-000019000000}"/>
    <cellStyle name="Output Line Items" xfId="21" xr:uid="{00000000-0005-0000-0000-00001A000000}"/>
    <cellStyle name="Output Report Heading" xfId="22" xr:uid="{00000000-0005-0000-0000-00001B000000}"/>
    <cellStyle name="Output Report Title" xfId="23" xr:uid="{00000000-0005-0000-0000-00001C000000}"/>
    <cellStyle name="Reset  - Style4" xfId="24" xr:uid="{00000000-0005-0000-0000-00001D000000}"/>
    <cellStyle name="Reset  - Style7" xfId="25" xr:uid="{00000000-0005-0000-0000-00001E000000}"/>
    <cellStyle name="Table  - Style5" xfId="26" xr:uid="{00000000-0005-0000-0000-00001F000000}"/>
    <cellStyle name="Table  - Style6" xfId="27" xr:uid="{00000000-0005-0000-0000-000020000000}"/>
    <cellStyle name="Title  - Style1" xfId="28" xr:uid="{00000000-0005-0000-0000-000021000000}"/>
    <cellStyle name="Title  - Style6" xfId="29" xr:uid="{00000000-0005-0000-0000-000022000000}"/>
    <cellStyle name="Total" xfId="30" builtinId="25" customBuiltin="1"/>
    <cellStyle name="TotCol - Style5" xfId="31" xr:uid="{00000000-0005-0000-0000-000024000000}"/>
    <cellStyle name="TotCol - Style7" xfId="32" xr:uid="{00000000-0005-0000-0000-000025000000}"/>
    <cellStyle name="TotRow - Style4" xfId="33" xr:uid="{00000000-0005-0000-0000-000026000000}"/>
    <cellStyle name="TotRow - Style8" xfId="34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p.TAI-M056/AppData/Local/Microsoft/Windows/Temporary%20Internet%20Files/Content.Outlook/HI6E25ND/CASES/TAI/06%20Cases/0636%20%20UNS%20Gas/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iecon.sharepoint.com/15%20CASES/1506%20MISO/McKenzie%20Adjustment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p.TAI-M056/AppData/Local/Microsoft/Windows/Temporary%20Internet%20Files/Content.Outlook/HI6E25ND/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opLeftCell="A17" zoomScaleNormal="100" workbookViewId="0">
      <selection activeCell="N47" sqref="N47"/>
    </sheetView>
  </sheetViews>
  <sheetFormatPr defaultColWidth="8.76953125" defaultRowHeight="15"/>
  <cols>
    <col min="1" max="1" width="29.6796875" style="57" bestFit="1" customWidth="1"/>
    <col min="2" max="2" width="13.453125" style="57" customWidth="1"/>
    <col min="3" max="3" width="2.31640625" style="57" customWidth="1"/>
    <col min="4" max="4" width="8.76953125" style="57"/>
    <col min="5" max="5" width="8.86328125" style="57" customWidth="1"/>
    <col min="6" max="6" width="9" style="57" bestFit="1" customWidth="1"/>
    <col min="7" max="7" width="8.76953125" style="57"/>
    <col min="8" max="8" width="6" style="57" customWidth="1"/>
    <col min="9" max="16384" width="8.76953125" style="57"/>
  </cols>
  <sheetData>
    <row r="1" spans="1:9">
      <c r="H1" s="58" t="s">
        <v>0</v>
      </c>
    </row>
    <row r="2" spans="1:9">
      <c r="G2" s="58"/>
      <c r="H2" s="58"/>
    </row>
    <row r="3" spans="1:9">
      <c r="H3" s="58"/>
    </row>
    <row r="5" spans="1:9" ht="20.100000000000001">
      <c r="A5" s="189" t="s">
        <v>1</v>
      </c>
      <c r="B5" s="189"/>
      <c r="C5" s="189"/>
      <c r="D5" s="189"/>
      <c r="E5" s="189"/>
      <c r="F5" s="189"/>
      <c r="G5" s="189"/>
      <c r="H5" s="189"/>
      <c r="I5" s="189"/>
    </row>
    <row r="6" spans="1:9" ht="20.100000000000001">
      <c r="A6" s="189" t="s">
        <v>2</v>
      </c>
      <c r="B6" s="189"/>
      <c r="C6" s="189"/>
      <c r="D6" s="189"/>
      <c r="E6" s="189"/>
      <c r="F6" s="189"/>
      <c r="G6" s="189"/>
      <c r="H6" s="189"/>
      <c r="I6" s="189"/>
    </row>
    <row r="7" spans="1:9" ht="20.100000000000001">
      <c r="A7" s="189"/>
      <c r="B7" s="189"/>
      <c r="C7" s="189"/>
      <c r="D7" s="189"/>
      <c r="E7" s="189"/>
      <c r="F7" s="189"/>
      <c r="G7" s="189"/>
      <c r="H7" s="189"/>
      <c r="I7" s="189"/>
    </row>
    <row r="8" spans="1:9" ht="15.3" thickBot="1">
      <c r="A8" s="101"/>
      <c r="B8" s="101"/>
      <c r="C8" s="101"/>
      <c r="D8" s="101"/>
      <c r="E8" s="101"/>
      <c r="F8" s="101"/>
      <c r="G8" s="101"/>
      <c r="H8" s="101"/>
      <c r="I8" s="101"/>
    </row>
    <row r="9" spans="1:9" ht="15.3" thickTop="1"/>
    <row r="10" spans="1:9">
      <c r="A10" s="103" t="s">
        <v>3</v>
      </c>
      <c r="B10" s="103" t="s">
        <v>4</v>
      </c>
      <c r="C10" s="103"/>
      <c r="D10" s="188" t="s">
        <v>5</v>
      </c>
      <c r="E10" s="188"/>
      <c r="F10" s="188"/>
      <c r="G10" s="188" t="s">
        <v>6</v>
      </c>
      <c r="H10" s="188"/>
      <c r="I10" s="188"/>
    </row>
    <row r="11" spans="1:9">
      <c r="A11" s="104"/>
      <c r="B11" s="104"/>
      <c r="C11" s="104"/>
      <c r="D11" s="104"/>
      <c r="E11" s="105"/>
      <c r="F11" s="104"/>
      <c r="G11" s="104"/>
      <c r="H11" s="104"/>
      <c r="I11" s="104"/>
    </row>
    <row r="12" spans="1:9">
      <c r="E12" s="59"/>
    </row>
    <row r="13" spans="1:9" ht="17.7">
      <c r="B13" s="186" t="s">
        <v>7</v>
      </c>
      <c r="C13" s="186"/>
      <c r="D13" s="186"/>
      <c r="E13" s="186"/>
      <c r="F13" s="186"/>
      <c r="G13" s="186"/>
      <c r="H13" s="186"/>
      <c r="I13" s="186"/>
    </row>
    <row r="14" spans="1:9">
      <c r="E14" s="59"/>
    </row>
    <row r="15" spans="1:9">
      <c r="A15" s="57" t="s">
        <v>8</v>
      </c>
      <c r="B15" s="106">
        <f>+F35</f>
        <v>7.5660761555691293E-3</v>
      </c>
      <c r="C15" s="57" t="s">
        <v>9</v>
      </c>
      <c r="E15" s="106">
        <v>3.9E-2</v>
      </c>
      <c r="F15" s="57" t="s">
        <v>10</v>
      </c>
      <c r="H15" s="106">
        <f>+B15*E15</f>
        <v>2.9507697006719602E-4</v>
      </c>
    </row>
    <row r="16" spans="1:9">
      <c r="E16" s="59"/>
    </row>
    <row r="17" spans="1:9">
      <c r="A17" s="57" t="s">
        <v>11</v>
      </c>
      <c r="B17" s="106">
        <f>+F36</f>
        <v>0.50133027896558746</v>
      </c>
      <c r="C17" s="57" t="s">
        <v>9</v>
      </c>
      <c r="E17" s="106">
        <v>4.7699999999999999E-2</v>
      </c>
      <c r="F17" s="57" t="s">
        <v>12</v>
      </c>
      <c r="H17" s="106">
        <f>+B17*E17</f>
        <v>2.3913454306658522E-2</v>
      </c>
    </row>
    <row r="18" spans="1:9">
      <c r="B18" s="106"/>
      <c r="C18" s="106"/>
      <c r="E18" s="106"/>
      <c r="H18" s="106"/>
    </row>
    <row r="19" spans="1:9">
      <c r="A19" s="57" t="s">
        <v>13</v>
      </c>
      <c r="B19" s="106">
        <f>+F34</f>
        <v>1.0364487884341274E-4</v>
      </c>
      <c r="C19" s="57" t="s">
        <v>9</v>
      </c>
      <c r="E19" s="106">
        <v>6.7500000000000004E-2</v>
      </c>
      <c r="F19" s="57" t="s">
        <v>12</v>
      </c>
      <c r="H19" s="106">
        <f>+B19*E19</f>
        <v>6.9960293219303602E-6</v>
      </c>
    </row>
    <row r="20" spans="1:9">
      <c r="B20" s="106"/>
      <c r="C20" s="106"/>
      <c r="D20" s="106"/>
      <c r="E20" s="106"/>
      <c r="H20" s="106"/>
    </row>
    <row r="21" spans="1:9">
      <c r="A21" s="57" t="s">
        <v>14</v>
      </c>
      <c r="B21" s="106">
        <v>0.49099999999999999</v>
      </c>
      <c r="C21" s="162" t="s">
        <v>15</v>
      </c>
      <c r="D21" s="107">
        <v>9.5000000000000001E-2</v>
      </c>
      <c r="E21" s="114">
        <v>9.7000000000000003E-2</v>
      </c>
      <c r="F21" s="108">
        <v>9.9000000000000005E-2</v>
      </c>
      <c r="G21" s="107">
        <f>+B21*D21</f>
        <v>4.6644999999999999E-2</v>
      </c>
      <c r="H21" s="106">
        <f>+B21*E21</f>
        <v>4.7627000000000003E-2</v>
      </c>
      <c r="I21" s="108">
        <f>+B21*F21</f>
        <v>4.8608999999999999E-2</v>
      </c>
    </row>
    <row r="22" spans="1:9">
      <c r="B22" s="104"/>
      <c r="E22" s="59"/>
      <c r="G22" s="109"/>
      <c r="I22" s="110"/>
    </row>
    <row r="23" spans="1:9">
      <c r="E23" s="59"/>
      <c r="G23" s="111"/>
      <c r="I23" s="102"/>
    </row>
    <row r="24" spans="1:9">
      <c r="A24" s="57" t="s">
        <v>16</v>
      </c>
      <c r="B24" s="106">
        <f>SUM(B15:B21)</f>
        <v>1</v>
      </c>
      <c r="C24" s="106"/>
      <c r="D24" s="112"/>
      <c r="E24" s="59"/>
      <c r="G24" s="170">
        <f>+H15+H17+H19+G21</f>
        <v>7.0860527306047638E-2</v>
      </c>
      <c r="H24" s="59"/>
      <c r="I24" s="108">
        <f>+H15+H17+H19+I21</f>
        <v>7.2824527306047646E-2</v>
      </c>
    </row>
    <row r="25" spans="1:9">
      <c r="B25" s="106"/>
      <c r="C25" s="106"/>
      <c r="D25" s="112"/>
      <c r="E25" s="59"/>
      <c r="G25" s="107"/>
      <c r="H25" s="106">
        <f>+H15+H17+H19+H21</f>
        <v>7.1842527306047649E-2</v>
      </c>
      <c r="I25" s="108"/>
    </row>
    <row r="26" spans="1:9">
      <c r="B26" s="106"/>
      <c r="C26" s="106"/>
      <c r="D26" s="112"/>
      <c r="E26" s="59"/>
      <c r="G26" s="107"/>
      <c r="H26" s="59"/>
      <c r="I26" s="108"/>
    </row>
    <row r="27" spans="1:9" ht="15.3" thickBot="1">
      <c r="A27" s="101"/>
      <c r="B27" s="101"/>
      <c r="C27" s="101"/>
      <c r="D27" s="101"/>
      <c r="E27" s="101"/>
      <c r="F27" s="101"/>
      <c r="G27" s="101"/>
      <c r="H27" s="101"/>
      <c r="I27" s="101"/>
    </row>
    <row r="28" spans="1:9" ht="15.3" thickTop="1">
      <c r="G28" s="58"/>
      <c r="H28" s="113"/>
      <c r="I28" s="58"/>
    </row>
    <row r="29" spans="1:9">
      <c r="A29" s="57" t="s">
        <v>17</v>
      </c>
    </row>
    <row r="30" spans="1:9">
      <c r="A30" s="57" t="s">
        <v>18</v>
      </c>
    </row>
    <row r="31" spans="1:9">
      <c r="F31" s="59" t="s">
        <v>19</v>
      </c>
    </row>
    <row r="32" spans="1:9">
      <c r="E32" s="104" t="s">
        <v>20</v>
      </c>
      <c r="F32" s="133">
        <v>0.50900000000000001</v>
      </c>
    </row>
    <row r="33" spans="1:7">
      <c r="F33" s="112"/>
    </row>
    <row r="34" spans="1:7">
      <c r="B34" s="57" t="s">
        <v>13</v>
      </c>
      <c r="E34" s="112">
        <v>1E-4</v>
      </c>
      <c r="F34" s="112">
        <f>+E34*G37</f>
        <v>1.0364487884341274E-4</v>
      </c>
      <c r="G34" s="57" t="s">
        <v>21</v>
      </c>
    </row>
    <row r="35" spans="1:7">
      <c r="B35" s="57" t="s">
        <v>8</v>
      </c>
      <c r="E35" s="112">
        <v>7.3000000000000001E-3</v>
      </c>
      <c r="F35" s="112">
        <f>+E35*G37</f>
        <v>7.5660761555691293E-3</v>
      </c>
      <c r="G35" s="57" t="s">
        <v>21</v>
      </c>
    </row>
    <row r="36" spans="1:7">
      <c r="B36" s="57" t="s">
        <v>11</v>
      </c>
      <c r="E36" s="132">
        <v>0.48370000000000002</v>
      </c>
      <c r="F36" s="132">
        <f>+E36*G37</f>
        <v>0.50133027896558746</v>
      </c>
      <c r="G36" s="57" t="s">
        <v>21</v>
      </c>
    </row>
    <row r="37" spans="1:7">
      <c r="E37" s="112">
        <f>+E34+E35+E36</f>
        <v>0.49110000000000004</v>
      </c>
      <c r="F37" s="112">
        <v>0.50900000000000001</v>
      </c>
      <c r="G37" s="57">
        <f>+F37/E37</f>
        <v>1.0364487884341274</v>
      </c>
    </row>
    <row r="38" spans="1:7">
      <c r="E38" s="112"/>
      <c r="F38" s="112"/>
    </row>
    <row r="39" spans="1:7">
      <c r="A39" s="57" t="s">
        <v>22</v>
      </c>
      <c r="E39" s="112"/>
      <c r="F39" s="112"/>
    </row>
    <row r="40" spans="1:7">
      <c r="F40" s="112"/>
    </row>
    <row r="41" spans="1:7">
      <c r="A41" s="57" t="s">
        <v>23</v>
      </c>
      <c r="F41" s="112"/>
    </row>
    <row r="43" spans="1:7">
      <c r="A43" s="57" t="s">
        <v>24</v>
      </c>
    </row>
    <row r="45" spans="1:7">
      <c r="A45" s="57" t="s">
        <v>25</v>
      </c>
    </row>
    <row r="47" spans="1:7">
      <c r="A47" s="57" t="s">
        <v>26</v>
      </c>
    </row>
    <row r="49" spans="1:9">
      <c r="A49" s="57" t="s">
        <v>27</v>
      </c>
    </row>
    <row r="50" spans="1:9">
      <c r="A50" s="104"/>
      <c r="B50" s="104"/>
      <c r="C50" s="104"/>
      <c r="D50" s="104"/>
      <c r="E50" s="104"/>
      <c r="F50" s="104"/>
      <c r="G50" s="104"/>
      <c r="H50" s="104"/>
      <c r="I50" s="104"/>
    </row>
    <row r="52" spans="1:9" ht="17.7">
      <c r="B52" s="187"/>
      <c r="C52" s="187"/>
      <c r="D52" s="187"/>
      <c r="E52" s="187"/>
      <c r="F52" s="187"/>
      <c r="G52" s="187"/>
      <c r="H52" s="187"/>
      <c r="I52" s="187"/>
    </row>
    <row r="54" spans="1:9">
      <c r="B54" s="106"/>
      <c r="C54" s="106"/>
      <c r="E54" s="106"/>
      <c r="H54" s="106"/>
    </row>
    <row r="55" spans="1:9">
      <c r="E55" s="59"/>
    </row>
    <row r="56" spans="1:9">
      <c r="B56" s="106"/>
      <c r="C56" s="106"/>
      <c r="E56" s="106"/>
      <c r="H56" s="106"/>
    </row>
    <row r="57" spans="1:9">
      <c r="B57" s="106"/>
      <c r="C57" s="106"/>
      <c r="D57" s="106"/>
      <c r="E57" s="106"/>
      <c r="H57" s="106"/>
    </row>
    <row r="58" spans="1:9">
      <c r="B58" s="106"/>
      <c r="C58" s="106"/>
      <c r="D58" s="106"/>
      <c r="E58" s="106"/>
      <c r="H58" s="106"/>
    </row>
    <row r="59" spans="1:9">
      <c r="B59" s="106"/>
      <c r="C59" s="106"/>
      <c r="D59" s="106"/>
      <c r="E59" s="106"/>
      <c r="H59" s="106"/>
    </row>
    <row r="60" spans="1:9">
      <c r="B60" s="106"/>
      <c r="C60" s="106"/>
      <c r="D60" s="107"/>
      <c r="E60" s="106"/>
      <c r="F60" s="108"/>
      <c r="G60" s="107"/>
      <c r="H60" s="106"/>
      <c r="I60" s="108"/>
    </row>
    <row r="61" spans="1:9">
      <c r="E61" s="59"/>
      <c r="G61" s="111"/>
      <c r="I61" s="102"/>
    </row>
    <row r="62" spans="1:9">
      <c r="E62" s="59"/>
      <c r="G62" s="111"/>
      <c r="I62" s="102"/>
    </row>
    <row r="63" spans="1:9">
      <c r="B63" s="106"/>
      <c r="C63" s="106"/>
      <c r="D63" s="112"/>
      <c r="E63" s="59"/>
      <c r="G63" s="107"/>
      <c r="H63" s="59"/>
      <c r="I63" s="108"/>
    </row>
    <row r="64" spans="1:9">
      <c r="B64" s="106"/>
      <c r="C64" s="106"/>
      <c r="D64" s="112"/>
      <c r="E64" s="59"/>
      <c r="G64" s="107"/>
      <c r="H64" s="106"/>
      <c r="I64" s="108"/>
    </row>
  </sheetData>
  <mergeCells count="7">
    <mergeCell ref="B13:I13"/>
    <mergeCell ref="B52:I52"/>
    <mergeCell ref="D10:F10"/>
    <mergeCell ref="G10:I10"/>
    <mergeCell ref="A5:I5"/>
    <mergeCell ref="A6:I6"/>
    <mergeCell ref="A7:I7"/>
  </mergeCells>
  <pageMargins left="0.75" right="0.75" top="1" bottom="1" header="0.5" footer="0.5"/>
  <pageSetup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D16D4-BC4F-4A7C-8390-80E4C6E7C4AB}">
  <sheetPr>
    <pageSetUpPr fitToPage="1"/>
  </sheetPr>
  <dimension ref="A1:H35"/>
  <sheetViews>
    <sheetView workbookViewId="0">
      <selection activeCell="A21" sqref="A21:H21"/>
    </sheetView>
  </sheetViews>
  <sheetFormatPr defaultRowHeight="15"/>
  <cols>
    <col min="1" max="1" width="25.31640625" customWidth="1"/>
  </cols>
  <sheetData>
    <row r="1" spans="1:8">
      <c r="G1" s="1" t="s">
        <v>192</v>
      </c>
    </row>
    <row r="2" spans="1:8">
      <c r="G2" s="1"/>
    </row>
    <row r="3" spans="1:8" ht="17.7">
      <c r="A3" s="200" t="s">
        <v>193</v>
      </c>
      <c r="B3" s="200"/>
      <c r="C3" s="200"/>
      <c r="D3" s="200"/>
      <c r="E3" s="200"/>
      <c r="F3" s="200"/>
      <c r="G3" s="200"/>
      <c r="H3" s="200"/>
    </row>
    <row r="4" spans="1:8" ht="17.7">
      <c r="A4" s="200" t="s">
        <v>194</v>
      </c>
      <c r="B4" s="200"/>
      <c r="C4" s="200"/>
      <c r="D4" s="200"/>
      <c r="E4" s="200"/>
      <c r="F4" s="200"/>
      <c r="G4" s="200"/>
      <c r="H4" s="200"/>
    </row>
    <row r="5" spans="1:8" ht="15.3" thickBot="1">
      <c r="A5" s="36"/>
      <c r="B5" s="36"/>
      <c r="C5" s="36"/>
      <c r="D5" s="36"/>
      <c r="E5" s="36"/>
      <c r="F5" s="36"/>
      <c r="G5" s="36"/>
      <c r="H5" s="36"/>
    </row>
    <row r="6" spans="1:8" ht="15.3" thickTop="1"/>
    <row r="7" spans="1:8">
      <c r="B7" s="17"/>
      <c r="C7" s="17"/>
      <c r="D7" s="17"/>
      <c r="E7" s="17"/>
      <c r="F7" s="17"/>
      <c r="G7" s="4" t="s">
        <v>195</v>
      </c>
      <c r="H7" s="17"/>
    </row>
    <row r="8" spans="1:8">
      <c r="A8" s="3" t="s">
        <v>143</v>
      </c>
      <c r="B8" s="17">
        <v>2018</v>
      </c>
      <c r="C8" s="17">
        <v>2019</v>
      </c>
      <c r="D8" s="17">
        <v>2020</v>
      </c>
      <c r="E8" s="17">
        <v>2021</v>
      </c>
      <c r="F8" s="17">
        <v>2022</v>
      </c>
      <c r="G8" s="4" t="s">
        <v>196</v>
      </c>
      <c r="H8" s="4" t="s">
        <v>197</v>
      </c>
    </row>
    <row r="9" spans="1:8">
      <c r="A9" s="18"/>
      <c r="B9" s="18"/>
      <c r="C9" s="18"/>
      <c r="D9" s="18"/>
      <c r="E9" s="18"/>
      <c r="F9" s="18"/>
      <c r="G9" s="18"/>
      <c r="H9" s="18"/>
    </row>
    <row r="11" spans="1:8">
      <c r="A11" s="1" t="str">
        <f>+'DCP-8'!A16</f>
        <v>Parcell Proxy Group</v>
      </c>
    </row>
    <row r="13" spans="1:8">
      <c r="A13" t="str">
        <f>+'DCP-8'!A18</f>
        <v>ALLETE</v>
      </c>
      <c r="B13" s="134">
        <v>0.60099999999999998</v>
      </c>
      <c r="C13" s="134">
        <v>0.61399999999999999</v>
      </c>
      <c r="D13" s="134">
        <v>0.59</v>
      </c>
      <c r="E13" s="134">
        <v>0.57799999999999996</v>
      </c>
      <c r="F13" s="134">
        <v>0.59599999999999997</v>
      </c>
      <c r="G13" s="134">
        <f>AVERAGE(B13:F13)</f>
        <v>0.59579999999999989</v>
      </c>
      <c r="H13" s="134">
        <v>0.59499999999999997</v>
      </c>
    </row>
    <row r="14" spans="1:8">
      <c r="A14" t="str">
        <f>+'DCP-8'!A19</f>
        <v>Alliant Energy Corp</v>
      </c>
      <c r="B14" s="134">
        <v>0.45700000000000002</v>
      </c>
      <c r="C14" s="134">
        <v>0.47599999999999998</v>
      </c>
      <c r="D14" s="134">
        <v>0.44900000000000001</v>
      </c>
      <c r="E14" s="134">
        <v>0.47099999999999997</v>
      </c>
      <c r="F14" s="134">
        <v>0.45</v>
      </c>
      <c r="G14" s="134">
        <f>AVERAGE(B14:F14)</f>
        <v>0.46060000000000006</v>
      </c>
      <c r="H14" s="134">
        <v>0.48</v>
      </c>
    </row>
    <row r="15" spans="1:8">
      <c r="A15" t="str">
        <f>+'DCP-8'!A20</f>
        <v>Ameren Corp</v>
      </c>
      <c r="B15" s="134">
        <v>0.48799999999999999</v>
      </c>
      <c r="C15" s="134">
        <v>0.47099999999999997</v>
      </c>
      <c r="D15" s="134">
        <v>0.443</v>
      </c>
      <c r="E15" s="134">
        <v>0.433</v>
      </c>
      <c r="F15" s="134">
        <v>0.44</v>
      </c>
      <c r="G15" s="134">
        <f t="shared" ref="G15:G27" si="0">AVERAGE(B15:F15)</f>
        <v>0.45499999999999996</v>
      </c>
      <c r="H15" s="134">
        <v>0.48499999999999999</v>
      </c>
    </row>
    <row r="16" spans="1:8">
      <c r="A16" t="str">
        <f>+'DCP-8'!A21</f>
        <v>Avista Corp</v>
      </c>
      <c r="B16" s="134">
        <v>0.495</v>
      </c>
      <c r="C16" s="134">
        <v>0.50600000000000001</v>
      </c>
      <c r="D16" s="134">
        <v>0.496</v>
      </c>
      <c r="E16" s="134">
        <v>0.52500000000000002</v>
      </c>
      <c r="F16" s="134">
        <v>0.496</v>
      </c>
      <c r="G16" s="134">
        <f t="shared" si="0"/>
        <v>0.50359999999999994</v>
      </c>
      <c r="H16" s="134">
        <v>0.505</v>
      </c>
    </row>
    <row r="17" spans="1:8">
      <c r="A17" t="str">
        <f>+'DCP-8'!A22</f>
        <v>Black Hills Corp</v>
      </c>
      <c r="B17" s="134">
        <v>0.42499999999999999</v>
      </c>
      <c r="C17" s="134">
        <v>0.42899999999999999</v>
      </c>
      <c r="D17" s="134">
        <v>0.42099999999999999</v>
      </c>
      <c r="E17" s="134">
        <v>0.40300000000000002</v>
      </c>
      <c r="F17" s="134">
        <v>0.45400000000000001</v>
      </c>
      <c r="G17" s="134">
        <f t="shared" si="0"/>
        <v>0.4264</v>
      </c>
      <c r="H17" s="134">
        <v>0.46</v>
      </c>
    </row>
    <row r="18" spans="1:8">
      <c r="A18" t="str">
        <f>+'DCP-8'!A23</f>
        <v>Evergy, Inc.</v>
      </c>
      <c r="B18" s="134">
        <v>0.6</v>
      </c>
      <c r="C18" s="134">
        <v>0.49399999999999999</v>
      </c>
      <c r="D18" s="134">
        <v>0.48699999999999999</v>
      </c>
      <c r="E18" s="134">
        <v>0.499</v>
      </c>
      <c r="F18" s="134">
        <v>0.48</v>
      </c>
      <c r="G18" s="134">
        <f t="shared" si="0"/>
        <v>0.51200000000000001</v>
      </c>
      <c r="H18" s="134">
        <v>0.46500000000000002</v>
      </c>
    </row>
    <row r="19" spans="1:8">
      <c r="A19" t="str">
        <f>+'DCP-8'!A24</f>
        <v>Eversource Energy</v>
      </c>
      <c r="B19" s="134">
        <v>0.46899999999999997</v>
      </c>
      <c r="C19" s="134">
        <v>0.46600000000000003</v>
      </c>
      <c r="D19" s="134">
        <v>0.47099999999999997</v>
      </c>
      <c r="E19" s="134">
        <v>0.45300000000000001</v>
      </c>
      <c r="F19" s="134">
        <v>0.433</v>
      </c>
      <c r="G19" s="134">
        <f t="shared" si="0"/>
        <v>0.45840000000000003</v>
      </c>
      <c r="H19" s="134">
        <v>0.435</v>
      </c>
    </row>
    <row r="20" spans="1:8">
      <c r="A20" t="str">
        <f>+'DCP-8'!A25</f>
        <v>Fortis, Inc.</v>
      </c>
      <c r="B20" s="134">
        <v>0.372</v>
      </c>
      <c r="C20" s="134">
        <v>0.41799999999999998</v>
      </c>
      <c r="D20" s="134">
        <v>0.40500000000000003</v>
      </c>
      <c r="E20" s="134">
        <v>0.40799999999999997</v>
      </c>
      <c r="F20" s="134">
        <v>0.41499999999999998</v>
      </c>
      <c r="G20" s="134">
        <f t="shared" ref="G20" si="1">AVERAGE(B20:F20)</f>
        <v>0.40359999999999996</v>
      </c>
      <c r="H20" s="134">
        <v>0.45</v>
      </c>
    </row>
    <row r="21" spans="1:8">
      <c r="A21" t="str">
        <f>+'DCP-8'!A26</f>
        <v>IDACORP</v>
      </c>
      <c r="B21" s="134">
        <v>0.56399999999999995</v>
      </c>
      <c r="C21" s="134">
        <v>0.58699999999999997</v>
      </c>
      <c r="D21" s="134">
        <v>0.56100000000000005</v>
      </c>
      <c r="E21" s="134">
        <v>0.57199999999999995</v>
      </c>
      <c r="F21" s="134">
        <v>0.56100000000000005</v>
      </c>
      <c r="G21" s="134">
        <f t="shared" si="0"/>
        <v>0.56899999999999995</v>
      </c>
      <c r="H21" s="134">
        <v>0.5</v>
      </c>
    </row>
    <row r="22" spans="1:8">
      <c r="A22" t="str">
        <f>+'DCP-8'!A27</f>
        <v>Northwestern Corp</v>
      </c>
      <c r="B22" s="134">
        <v>0.47799999999999998</v>
      </c>
      <c r="C22" s="134">
        <v>0.47499999999999998</v>
      </c>
      <c r="D22" s="134">
        <v>0.47199999999999998</v>
      </c>
      <c r="E22" s="134">
        <v>0.47799999999999998</v>
      </c>
      <c r="F22" s="134">
        <v>0.51800000000000002</v>
      </c>
      <c r="G22" s="134">
        <f t="shared" si="0"/>
        <v>0.48419999999999996</v>
      </c>
      <c r="H22" s="134">
        <v>0.52</v>
      </c>
    </row>
    <row r="23" spans="1:8">
      <c r="A23" t="str">
        <f>+'DCP-8'!A28</f>
        <v>OGE Energy</v>
      </c>
      <c r="B23" s="134">
        <v>0.57999999999999996</v>
      </c>
      <c r="C23" s="134">
        <v>0.56399999999999995</v>
      </c>
      <c r="D23" s="134">
        <v>0.51</v>
      </c>
      <c r="E23" s="134">
        <v>0.47399999999999998</v>
      </c>
      <c r="F23" s="134">
        <v>0.52400000000000002</v>
      </c>
      <c r="G23" s="134">
        <f t="shared" si="0"/>
        <v>0.53039999999999998</v>
      </c>
      <c r="H23" s="134">
        <v>0.5</v>
      </c>
    </row>
    <row r="24" spans="1:8">
      <c r="A24" t="str">
        <f>+'DCP-8'!A29</f>
        <v>Otter Tail Corp</v>
      </c>
      <c r="B24" s="134">
        <v>0.55300000000000005</v>
      </c>
      <c r="C24" s="134">
        <v>0.53100000000000003</v>
      </c>
      <c r="D24" s="134">
        <v>0.58199999999999996</v>
      </c>
      <c r="E24" s="134">
        <v>0.57399999999999995</v>
      </c>
      <c r="F24" s="134">
        <v>0.58499999999999996</v>
      </c>
      <c r="G24" s="134">
        <f t="shared" si="0"/>
        <v>0.56499999999999995</v>
      </c>
      <c r="H24" s="134">
        <v>0.57499999999999996</v>
      </c>
    </row>
    <row r="25" spans="1:8">
      <c r="A25" t="str">
        <f>+'DCP-8'!A30</f>
        <v>Pinnacle West Capital Corp</v>
      </c>
      <c r="B25" s="134">
        <v>0.53</v>
      </c>
      <c r="C25" s="134">
        <v>0.52900000000000003</v>
      </c>
      <c r="D25" s="134">
        <v>0.47199999999999998</v>
      </c>
      <c r="E25" s="134">
        <v>0.46100000000000002</v>
      </c>
      <c r="F25" s="134">
        <v>0.439</v>
      </c>
      <c r="G25" s="134">
        <f t="shared" si="0"/>
        <v>0.48620000000000002</v>
      </c>
      <c r="H25" s="134">
        <v>0.44</v>
      </c>
    </row>
    <row r="26" spans="1:8">
      <c r="A26" t="str">
        <f>+'DCP-8'!A31</f>
        <v>Portland General Electric</v>
      </c>
      <c r="B26" s="134">
        <v>0.53500000000000003</v>
      </c>
      <c r="C26" s="134">
        <v>0.48699999999999999</v>
      </c>
      <c r="D26" s="134">
        <v>0.46400000000000002</v>
      </c>
      <c r="E26" s="134">
        <v>0.432</v>
      </c>
      <c r="F26" s="134">
        <v>0.43</v>
      </c>
      <c r="G26" s="134">
        <f t="shared" si="0"/>
        <v>0.46959999999999996</v>
      </c>
      <c r="H26" s="134">
        <v>0.45</v>
      </c>
    </row>
    <row r="27" spans="1:8">
      <c r="A27" t="str">
        <f>+'DCP-8'!A32</f>
        <v>WEC Energy Group</v>
      </c>
      <c r="B27" s="134">
        <v>0.49399999999999999</v>
      </c>
      <c r="C27" s="134">
        <v>0.47399999999999998</v>
      </c>
      <c r="D27" s="134">
        <v>0.47099999999999997</v>
      </c>
      <c r="E27" s="134">
        <v>0.44600000000000001</v>
      </c>
      <c r="F27" s="134">
        <v>0.44400000000000001</v>
      </c>
      <c r="G27" s="134">
        <f t="shared" si="0"/>
        <v>0.46580000000000005</v>
      </c>
      <c r="H27" s="134">
        <v>0.44500000000000001</v>
      </c>
    </row>
    <row r="28" spans="1:8">
      <c r="A28" s="18"/>
      <c r="B28" s="169"/>
      <c r="C28" s="169"/>
      <c r="D28" s="169"/>
      <c r="E28" s="169"/>
      <c r="F28" s="169"/>
      <c r="G28" s="169"/>
      <c r="H28" s="169"/>
    </row>
    <row r="29" spans="1:8">
      <c r="B29" s="134"/>
      <c r="C29" s="134"/>
      <c r="D29" s="134"/>
      <c r="E29" s="134"/>
      <c r="F29" s="134"/>
      <c r="G29" s="134"/>
      <c r="H29" s="134"/>
    </row>
    <row r="30" spans="1:8">
      <c r="A30" s="3" t="s">
        <v>196</v>
      </c>
      <c r="B30" s="134"/>
      <c r="C30" s="134"/>
      <c r="D30" s="134"/>
      <c r="E30" s="134"/>
      <c r="F30" s="134"/>
      <c r="G30" s="134">
        <f>AVERAGE(G13:G27)</f>
        <v>0.49237333333333333</v>
      </c>
      <c r="H30" s="134">
        <f>AVERAGE(H13:H27)</f>
        <v>0.48700000000000004</v>
      </c>
    </row>
    <row r="31" spans="1:8">
      <c r="A31" s="3"/>
      <c r="B31" s="134"/>
      <c r="C31" s="134"/>
      <c r="D31" s="134"/>
      <c r="E31" s="134"/>
      <c r="F31" s="134"/>
      <c r="G31" s="134"/>
      <c r="H31" s="134"/>
    </row>
    <row r="32" spans="1:8">
      <c r="A32" s="3" t="s">
        <v>198</v>
      </c>
      <c r="B32" s="134"/>
      <c r="C32" s="134"/>
      <c r="D32" s="134"/>
      <c r="E32" s="134"/>
      <c r="F32" s="134"/>
      <c r="G32" s="134">
        <f>MEDIAN(G13:G27)</f>
        <v>0.48419999999999996</v>
      </c>
      <c r="H32" s="134">
        <f>MEDIAN(H13:H27)</f>
        <v>0.48</v>
      </c>
    </row>
    <row r="33" spans="1:8" ht="15.3" thickBot="1">
      <c r="A33" s="36"/>
      <c r="B33" s="135"/>
      <c r="C33" s="135"/>
      <c r="D33" s="135"/>
      <c r="E33" s="135"/>
      <c r="F33" s="135"/>
      <c r="G33" s="135"/>
      <c r="H33" s="135"/>
    </row>
    <row r="34" spans="1:8" ht="15.3" thickTop="1">
      <c r="B34" s="134"/>
      <c r="C34" s="134"/>
      <c r="D34" s="134"/>
      <c r="E34" s="134"/>
      <c r="F34" s="134"/>
      <c r="G34" s="134"/>
      <c r="H34" s="134"/>
    </row>
    <row r="35" spans="1:8">
      <c r="A35" s="3" t="str">
        <f>+'DCP-9, P 2'!A35</f>
        <v>Source:  Value Line Investment Survey, June 9, 2023, July 21, 2023, August 11, 2023.</v>
      </c>
    </row>
  </sheetData>
  <mergeCells count="2">
    <mergeCell ref="A3:H3"/>
    <mergeCell ref="A4:H4"/>
  </mergeCells>
  <pageMargins left="0.7" right="0.7" top="0.75" bottom="0.75" header="0.3" footer="0.3"/>
  <pageSetup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62"/>
  <sheetViews>
    <sheetView topLeftCell="A12" zoomScaleNormal="100" workbookViewId="0">
      <selection activeCell="A62" sqref="A62"/>
    </sheetView>
  </sheetViews>
  <sheetFormatPr defaultRowHeight="15"/>
  <cols>
    <col min="1" max="1" width="27.54296875" customWidth="1"/>
    <col min="2" max="2" width="19.86328125" customWidth="1"/>
    <col min="3" max="4" width="10.54296875" customWidth="1"/>
    <col min="5" max="5" width="9.453125" customWidth="1"/>
    <col min="6" max="6" width="9.54296875" customWidth="1"/>
  </cols>
  <sheetData>
    <row r="1" spans="1:8">
      <c r="E1" s="1" t="s">
        <v>199</v>
      </c>
    </row>
    <row r="2" spans="1:8">
      <c r="E2" s="1"/>
    </row>
    <row r="4" spans="1:8" ht="17.7">
      <c r="A4" s="200" t="s">
        <v>193</v>
      </c>
      <c r="B4" s="200"/>
      <c r="C4" s="200"/>
      <c r="D4" s="200"/>
      <c r="E4" s="200"/>
      <c r="F4" s="200"/>
      <c r="G4" s="55"/>
      <c r="H4" s="55"/>
    </row>
    <row r="5" spans="1:8" ht="17.7">
      <c r="A5" s="200" t="s">
        <v>200</v>
      </c>
      <c r="B5" s="200"/>
      <c r="C5" s="200"/>
      <c r="D5" s="200"/>
      <c r="E5" s="200"/>
      <c r="F5" s="200"/>
    </row>
    <row r="6" spans="1:8" ht="15.3" thickBot="1">
      <c r="A6" s="36"/>
      <c r="B6" s="36"/>
      <c r="C6" s="36"/>
      <c r="D6" s="36"/>
      <c r="E6" s="36"/>
      <c r="F6" s="36"/>
    </row>
    <row r="7" spans="1:8" ht="15.3" thickTop="1"/>
    <row r="8" spans="1:8">
      <c r="B8" s="4" t="s">
        <v>201</v>
      </c>
      <c r="C8" s="17" t="s">
        <v>202</v>
      </c>
      <c r="D8" s="17" t="s">
        <v>203</v>
      </c>
      <c r="E8" s="17" t="s">
        <v>106</v>
      </c>
      <c r="F8" s="17" t="s">
        <v>123</v>
      </c>
    </row>
    <row r="9" spans="1:8">
      <c r="B9" s="4" t="s">
        <v>204</v>
      </c>
      <c r="C9" s="17" t="s">
        <v>205</v>
      </c>
      <c r="D9" s="17" t="s">
        <v>206</v>
      </c>
      <c r="E9" s="17" t="s">
        <v>207</v>
      </c>
      <c r="F9" s="17" t="str">
        <f>+E9</f>
        <v>Bond</v>
      </c>
    </row>
    <row r="10" spans="1:8">
      <c r="A10" t="s">
        <v>143</v>
      </c>
      <c r="B10" s="4" t="s">
        <v>208</v>
      </c>
      <c r="C10" s="17" t="s">
        <v>209</v>
      </c>
      <c r="D10" s="17" t="s">
        <v>210</v>
      </c>
      <c r="E10" s="17" t="s">
        <v>211</v>
      </c>
      <c r="F10" s="17" t="str">
        <f>+E10</f>
        <v>Rating</v>
      </c>
    </row>
    <row r="11" spans="1:8">
      <c r="B11" s="4">
        <v>2023</v>
      </c>
      <c r="C11" s="17">
        <v>2022</v>
      </c>
      <c r="D11" s="17"/>
      <c r="E11" s="17"/>
      <c r="F11" s="17"/>
    </row>
    <row r="12" spans="1:8">
      <c r="A12" s="18"/>
      <c r="B12" s="18"/>
      <c r="C12" s="18"/>
      <c r="D12" s="18"/>
      <c r="E12" s="18"/>
      <c r="F12" s="18"/>
    </row>
    <row r="14" spans="1:8">
      <c r="A14" s="1" t="s">
        <v>148</v>
      </c>
      <c r="B14" s="42" t="s">
        <v>212</v>
      </c>
      <c r="C14" s="90">
        <v>0.51800000000000002</v>
      </c>
      <c r="D14" s="17"/>
      <c r="E14" s="4" t="s">
        <v>213</v>
      </c>
      <c r="F14" s="4" t="s">
        <v>125</v>
      </c>
    </row>
    <row r="15" spans="1:8">
      <c r="B15" s="48"/>
      <c r="E15" s="17"/>
    </row>
    <row r="16" spans="1:8">
      <c r="A16" s="1" t="s">
        <v>214</v>
      </c>
      <c r="B16" s="129" t="s">
        <v>215</v>
      </c>
      <c r="C16" t="s">
        <v>216</v>
      </c>
      <c r="D16" s="17" t="s">
        <v>217</v>
      </c>
      <c r="E16" s="17" t="s">
        <v>218</v>
      </c>
      <c r="F16" s="17" t="s">
        <v>219</v>
      </c>
    </row>
    <row r="17" spans="1:9">
      <c r="A17" s="1"/>
      <c r="B17" s="129"/>
    </row>
    <row r="18" spans="1:9">
      <c r="A18" s="3" t="s">
        <v>220</v>
      </c>
      <c r="B18" s="136">
        <v>3500000</v>
      </c>
      <c r="C18" s="5">
        <v>0.59599999999999997</v>
      </c>
      <c r="D18" s="4">
        <v>2</v>
      </c>
      <c r="E18" s="4" t="s">
        <v>221</v>
      </c>
      <c r="F18" s="4" t="s">
        <v>222</v>
      </c>
    </row>
    <row r="19" spans="1:9">
      <c r="A19" s="3" t="s">
        <v>223</v>
      </c>
      <c r="B19" s="42">
        <v>12800000</v>
      </c>
      <c r="C19" s="134">
        <v>0.45</v>
      </c>
      <c r="D19" s="17">
        <v>2</v>
      </c>
      <c r="E19" s="4" t="s">
        <v>124</v>
      </c>
      <c r="F19" s="4" t="s">
        <v>224</v>
      </c>
    </row>
    <row r="20" spans="1:9">
      <c r="A20" s="3" t="s">
        <v>225</v>
      </c>
      <c r="B20" s="42">
        <v>21200000</v>
      </c>
      <c r="C20" s="134">
        <v>0.44</v>
      </c>
      <c r="D20" s="17">
        <v>1</v>
      </c>
      <c r="E20" s="4" t="s">
        <v>213</v>
      </c>
      <c r="F20" s="4" t="s">
        <v>222</v>
      </c>
    </row>
    <row r="21" spans="1:9">
      <c r="A21" s="3" t="s">
        <v>226</v>
      </c>
      <c r="B21" s="42">
        <v>2800000</v>
      </c>
      <c r="C21" s="134">
        <v>0.496</v>
      </c>
      <c r="D21" s="17">
        <v>2</v>
      </c>
      <c r="E21" s="4" t="s">
        <v>227</v>
      </c>
      <c r="F21" s="4" t="s">
        <v>224</v>
      </c>
    </row>
    <row r="22" spans="1:9">
      <c r="A22" s="3" t="s">
        <v>228</v>
      </c>
      <c r="B22" s="42">
        <v>3800000</v>
      </c>
      <c r="C22" s="134">
        <v>0.45400000000000001</v>
      </c>
      <c r="D22" s="17">
        <v>2</v>
      </c>
      <c r="E22" s="4" t="s">
        <v>213</v>
      </c>
      <c r="F22" s="4" t="s">
        <v>224</v>
      </c>
    </row>
    <row r="23" spans="1:9">
      <c r="A23" s="3" t="s">
        <v>229</v>
      </c>
      <c r="B23" s="42">
        <v>13200000</v>
      </c>
      <c r="C23" s="134">
        <v>0.48</v>
      </c>
      <c r="D23" s="17">
        <v>2</v>
      </c>
      <c r="E23" s="4" t="s">
        <v>124</v>
      </c>
      <c r="F23" s="4" t="s">
        <v>224</v>
      </c>
      <c r="I23" s="17"/>
    </row>
    <row r="24" spans="1:9">
      <c r="A24" s="3" t="s">
        <v>230</v>
      </c>
      <c r="B24" s="42">
        <v>25200000</v>
      </c>
      <c r="C24" s="134">
        <v>0.433</v>
      </c>
      <c r="D24" s="17">
        <v>2</v>
      </c>
      <c r="E24" s="4" t="s">
        <v>124</v>
      </c>
      <c r="F24" s="4" t="s">
        <v>222</v>
      </c>
      <c r="I24" s="17"/>
    </row>
    <row r="25" spans="1:9">
      <c r="A25" s="3" t="s">
        <v>231</v>
      </c>
      <c r="B25" s="42">
        <v>27800000</v>
      </c>
      <c r="C25" s="134">
        <v>0.41499999999999998</v>
      </c>
      <c r="D25" s="17">
        <v>2</v>
      </c>
      <c r="E25" s="4" t="s">
        <v>124</v>
      </c>
      <c r="F25" s="4" t="s">
        <v>232</v>
      </c>
      <c r="I25" s="17"/>
    </row>
    <row r="26" spans="1:9">
      <c r="A26" s="3" t="s">
        <v>233</v>
      </c>
      <c r="B26" s="42">
        <v>5200000</v>
      </c>
      <c r="C26" s="134">
        <v>0.56100000000000005</v>
      </c>
      <c r="D26" s="17">
        <v>1</v>
      </c>
      <c r="E26" s="4" t="s">
        <v>221</v>
      </c>
      <c r="F26" s="4" t="s">
        <v>224</v>
      </c>
      <c r="I26" s="17"/>
    </row>
    <row r="27" spans="1:9">
      <c r="A27" s="3" t="s">
        <v>234</v>
      </c>
      <c r="B27" s="42">
        <v>3400000</v>
      </c>
      <c r="C27" s="134">
        <v>0.51800000000000002</v>
      </c>
      <c r="D27" s="17">
        <v>2</v>
      </c>
      <c r="E27" s="4" t="s">
        <v>221</v>
      </c>
      <c r="F27" s="4" t="s">
        <v>224</v>
      </c>
      <c r="I27" s="17"/>
    </row>
    <row r="28" spans="1:9">
      <c r="A28" s="3" t="s">
        <v>235</v>
      </c>
      <c r="B28" s="42">
        <v>7000000</v>
      </c>
      <c r="C28" s="134">
        <v>0.52400000000000002</v>
      </c>
      <c r="D28" s="17">
        <v>2</v>
      </c>
      <c r="E28" s="4" t="s">
        <v>213</v>
      </c>
      <c r="F28" s="4" t="s">
        <v>222</v>
      </c>
      <c r="I28" s="17"/>
    </row>
    <row r="29" spans="1:9">
      <c r="A29" s="3" t="s">
        <v>236</v>
      </c>
      <c r="B29" s="42">
        <v>3100000</v>
      </c>
      <c r="C29" s="134">
        <v>0.58499999999999996</v>
      </c>
      <c r="D29" s="17">
        <v>2</v>
      </c>
      <c r="E29" s="4" t="s">
        <v>221</v>
      </c>
      <c r="F29" s="4" t="s">
        <v>224</v>
      </c>
      <c r="I29" s="17"/>
    </row>
    <row r="30" spans="1:9">
      <c r="A30" s="3" t="s">
        <v>237</v>
      </c>
      <c r="B30" s="42">
        <v>9200000</v>
      </c>
      <c r="C30" s="134">
        <v>0.439</v>
      </c>
      <c r="D30" s="17">
        <v>2</v>
      </c>
      <c r="E30" s="4" t="s">
        <v>213</v>
      </c>
      <c r="F30" s="4" t="s">
        <v>222</v>
      </c>
      <c r="I30" s="17"/>
    </row>
    <row r="31" spans="1:9">
      <c r="A31" s="3" t="s">
        <v>238</v>
      </c>
      <c r="B31" s="42">
        <v>4500000</v>
      </c>
      <c r="C31" s="134">
        <v>0.43</v>
      </c>
      <c r="D31" s="17">
        <v>2</v>
      </c>
      <c r="E31" s="4" t="s">
        <v>213</v>
      </c>
      <c r="F31" s="4" t="s">
        <v>125</v>
      </c>
      <c r="I31" s="17"/>
    </row>
    <row r="32" spans="1:9">
      <c r="A32" s="3" t="s">
        <v>239</v>
      </c>
      <c r="B32" s="42">
        <v>27400000</v>
      </c>
      <c r="C32" s="134">
        <v>0.44400000000000001</v>
      </c>
      <c r="D32" s="17">
        <v>1</v>
      </c>
      <c r="E32" s="4" t="s">
        <v>124</v>
      </c>
      <c r="F32" s="4" t="s">
        <v>222</v>
      </c>
      <c r="I32" s="17"/>
    </row>
    <row r="33" spans="1:8" ht="15.3" thickBot="1">
      <c r="A33" s="36"/>
      <c r="B33" s="36"/>
      <c r="C33" s="135"/>
      <c r="D33" s="89"/>
      <c r="E33" s="37"/>
      <c r="F33" s="37"/>
      <c r="G33" s="90"/>
      <c r="H33" s="17"/>
    </row>
    <row r="34" spans="1:8" ht="15.3" thickTop="1">
      <c r="C34" s="6"/>
      <c r="D34" s="43"/>
    </row>
    <row r="35" spans="1:8">
      <c r="A35" s="1" t="s">
        <v>240</v>
      </c>
      <c r="C35" s="6"/>
      <c r="D35" s="43"/>
    </row>
    <row r="36" spans="1:8">
      <c r="B36" s="48"/>
      <c r="C36" s="6"/>
      <c r="D36" s="43"/>
    </row>
    <row r="37" spans="1:8">
      <c r="A37" s="3" t="s">
        <v>241</v>
      </c>
      <c r="B37" s="42">
        <f t="shared" ref="B37:F39" si="0">+B18</f>
        <v>3500000</v>
      </c>
      <c r="C37" s="5">
        <f t="shared" si="0"/>
        <v>0.59599999999999997</v>
      </c>
      <c r="D37" s="96">
        <f t="shared" si="0"/>
        <v>2</v>
      </c>
      <c r="E37" s="4" t="str">
        <f t="shared" si="0"/>
        <v>BBB</v>
      </c>
      <c r="F37" s="4" t="str">
        <f t="shared" si="0"/>
        <v>Baa1</v>
      </c>
    </row>
    <row r="38" spans="1:8">
      <c r="A38" s="3" t="s">
        <v>223</v>
      </c>
      <c r="B38" s="42">
        <f t="shared" si="0"/>
        <v>12800000</v>
      </c>
      <c r="C38" s="134">
        <f t="shared" si="0"/>
        <v>0.45</v>
      </c>
      <c r="D38" s="96">
        <f t="shared" si="0"/>
        <v>2</v>
      </c>
      <c r="E38" s="97" t="str">
        <f t="shared" si="0"/>
        <v>A-</v>
      </c>
      <c r="F38" s="97" t="str">
        <f t="shared" si="0"/>
        <v>Baa2</v>
      </c>
    </row>
    <row r="39" spans="1:8">
      <c r="A39" s="3" t="s">
        <v>225</v>
      </c>
      <c r="B39" s="42">
        <f t="shared" si="0"/>
        <v>21200000</v>
      </c>
      <c r="C39" s="134">
        <f t="shared" si="0"/>
        <v>0.44</v>
      </c>
      <c r="D39" s="96">
        <f t="shared" si="0"/>
        <v>1</v>
      </c>
      <c r="E39" s="97" t="str">
        <f t="shared" si="0"/>
        <v>BBB+</v>
      </c>
      <c r="F39" s="97" t="str">
        <f t="shared" si="0"/>
        <v>Baa1</v>
      </c>
    </row>
    <row r="40" spans="1:8">
      <c r="A40" s="3" t="s">
        <v>242</v>
      </c>
      <c r="B40" s="137">
        <v>42300000</v>
      </c>
      <c r="C40" s="134">
        <v>0.42</v>
      </c>
      <c r="D40" s="96">
        <v>1</v>
      </c>
      <c r="E40" s="97" t="s">
        <v>124</v>
      </c>
      <c r="F40" s="97" t="s">
        <v>224</v>
      </c>
    </row>
    <row r="41" spans="1:8">
      <c r="A41" s="3" t="s">
        <v>226</v>
      </c>
      <c r="B41" s="42">
        <f>+B21</f>
        <v>2800000</v>
      </c>
      <c r="C41" s="134">
        <f>+C21</f>
        <v>0.496</v>
      </c>
      <c r="D41" s="96">
        <f>+D21</f>
        <v>2</v>
      </c>
      <c r="E41" s="97" t="str">
        <f>+E21</f>
        <v xml:space="preserve">BBB </v>
      </c>
      <c r="F41" s="97" t="str">
        <f>+F21</f>
        <v>Baa2</v>
      </c>
    </row>
    <row r="42" spans="1:8">
      <c r="A42" s="3" t="s">
        <v>243</v>
      </c>
      <c r="B42" s="42">
        <v>16700000</v>
      </c>
      <c r="C42" s="13">
        <v>0.33600000000000002</v>
      </c>
      <c r="D42" s="96">
        <v>2</v>
      </c>
      <c r="E42" s="97" t="s">
        <v>213</v>
      </c>
      <c r="F42" s="97" t="s">
        <v>224</v>
      </c>
    </row>
    <row r="43" spans="1:8">
      <c r="A43" s="3" t="s">
        <v>244</v>
      </c>
      <c r="B43" s="137">
        <v>72100000</v>
      </c>
      <c r="C43" s="134">
        <v>0.42</v>
      </c>
      <c r="D43" s="96">
        <f>+D23</f>
        <v>2</v>
      </c>
      <c r="E43" s="97" t="s">
        <v>213</v>
      </c>
      <c r="F43" s="97" t="s">
        <v>224</v>
      </c>
    </row>
    <row r="44" spans="1:8">
      <c r="A44" s="3" t="s">
        <v>245</v>
      </c>
      <c r="B44" s="42">
        <v>20500000</v>
      </c>
      <c r="C44" s="13">
        <v>0.35199999999999998</v>
      </c>
      <c r="D44" s="96">
        <v>2</v>
      </c>
      <c r="E44" s="97" t="s">
        <v>213</v>
      </c>
      <c r="F44" s="97" t="s">
        <v>224</v>
      </c>
    </row>
    <row r="45" spans="1:8">
      <c r="A45" s="3" t="s">
        <v>229</v>
      </c>
      <c r="B45" s="42">
        <f>+B23</f>
        <v>13200000</v>
      </c>
      <c r="C45" s="134">
        <f>+C23</f>
        <v>0.48</v>
      </c>
      <c r="D45" s="96">
        <f>+D23</f>
        <v>2</v>
      </c>
      <c r="E45" s="97" t="str">
        <f>+E23</f>
        <v>A-</v>
      </c>
      <c r="F45" s="97" t="str">
        <f>+F23</f>
        <v>Baa2</v>
      </c>
    </row>
    <row r="46" spans="1:8">
      <c r="A46" s="3" t="s">
        <v>246</v>
      </c>
      <c r="B46" s="42">
        <f>+B26</f>
        <v>5200000</v>
      </c>
      <c r="C46" s="134">
        <f>+C26</f>
        <v>0.56100000000000005</v>
      </c>
      <c r="D46" s="96">
        <f>+D26</f>
        <v>1</v>
      </c>
      <c r="E46" s="97" t="str">
        <f>+E26</f>
        <v>BBB</v>
      </c>
      <c r="F46" s="97" t="str">
        <f>+F26</f>
        <v>Baa2</v>
      </c>
    </row>
    <row r="47" spans="1:8">
      <c r="A47" s="3" t="s">
        <v>247</v>
      </c>
      <c r="B47" s="137">
        <v>148000000</v>
      </c>
      <c r="C47" s="134">
        <v>0.41499999999999998</v>
      </c>
      <c r="D47" s="96">
        <v>1</v>
      </c>
      <c r="E47" s="97" t="s">
        <v>124</v>
      </c>
      <c r="F47" s="97" t="s">
        <v>222</v>
      </c>
    </row>
    <row r="48" spans="1:8">
      <c r="A48" s="3" t="s">
        <v>248</v>
      </c>
      <c r="B48" s="42">
        <f t="shared" ref="B48:F50" si="1">+B27</f>
        <v>3400000</v>
      </c>
      <c r="C48" s="134">
        <f t="shared" si="1"/>
        <v>0.51800000000000002</v>
      </c>
      <c r="D48" s="96">
        <f t="shared" si="1"/>
        <v>2</v>
      </c>
      <c r="E48" s="97" t="str">
        <f t="shared" si="1"/>
        <v>BBB</v>
      </c>
      <c r="F48" s="97" t="str">
        <f t="shared" si="1"/>
        <v>Baa2</v>
      </c>
    </row>
    <row r="49" spans="1:6">
      <c r="A49" s="3" t="s">
        <v>249</v>
      </c>
      <c r="B49" s="42">
        <f t="shared" si="1"/>
        <v>7000000</v>
      </c>
      <c r="C49" s="134">
        <f t="shared" si="1"/>
        <v>0.52400000000000002</v>
      </c>
      <c r="D49" s="96">
        <f t="shared" si="1"/>
        <v>2</v>
      </c>
      <c r="E49" s="97" t="str">
        <f t="shared" si="1"/>
        <v>BBB+</v>
      </c>
      <c r="F49" s="97" t="str">
        <f t="shared" si="1"/>
        <v>Baa1</v>
      </c>
    </row>
    <row r="50" spans="1:6">
      <c r="A50" s="3" t="s">
        <v>250</v>
      </c>
      <c r="B50" s="42">
        <f t="shared" si="1"/>
        <v>3100000</v>
      </c>
      <c r="C50" s="134">
        <f t="shared" si="1"/>
        <v>0.58499999999999996</v>
      </c>
      <c r="D50" s="96">
        <f t="shared" si="1"/>
        <v>2</v>
      </c>
      <c r="E50" s="97" t="str">
        <f t="shared" si="1"/>
        <v>BBB</v>
      </c>
      <c r="F50" s="97" t="str">
        <f t="shared" si="1"/>
        <v>Baa2</v>
      </c>
    </row>
    <row r="51" spans="1:6">
      <c r="A51" s="3" t="s">
        <v>251</v>
      </c>
      <c r="B51" s="136">
        <f>+B31</f>
        <v>4500000</v>
      </c>
      <c r="C51" s="5">
        <f>+C31</f>
        <v>0.43</v>
      </c>
      <c r="D51" s="96">
        <f>+D31</f>
        <v>2</v>
      </c>
      <c r="E51" s="97" t="str">
        <f>+E31</f>
        <v>BBB+</v>
      </c>
      <c r="F51" s="97" t="str">
        <f>+F31</f>
        <v>A3</v>
      </c>
    </row>
    <row r="52" spans="1:6">
      <c r="A52" s="3" t="s">
        <v>252</v>
      </c>
      <c r="B52" s="137">
        <v>78900000</v>
      </c>
      <c r="C52" s="13">
        <v>0.36499999999999999</v>
      </c>
      <c r="D52" s="96">
        <v>2</v>
      </c>
      <c r="E52" s="97" t="s">
        <v>213</v>
      </c>
      <c r="F52" s="97" t="s">
        <v>224</v>
      </c>
    </row>
    <row r="53" spans="1:6">
      <c r="A53" s="3" t="s">
        <v>253</v>
      </c>
      <c r="B53" s="137">
        <v>34500000</v>
      </c>
      <c r="C53" s="134">
        <v>0.42199999999999999</v>
      </c>
      <c r="D53" s="96">
        <v>1</v>
      </c>
      <c r="E53" s="97" t="s">
        <v>124</v>
      </c>
      <c r="F53" s="97" t="s">
        <v>222</v>
      </c>
    </row>
    <row r="54" spans="1:6" ht="15.3" thickBot="1">
      <c r="A54" s="36"/>
      <c r="B54" s="37"/>
      <c r="C54" s="23"/>
      <c r="D54" s="98"/>
      <c r="E54" s="36"/>
      <c r="F54" s="36"/>
    </row>
    <row r="55" spans="1:6" ht="15.3" thickTop="1">
      <c r="C55" s="43"/>
      <c r="D55" s="43"/>
    </row>
    <row r="56" spans="1:6">
      <c r="A56" t="s">
        <v>254</v>
      </c>
      <c r="C56" s="43"/>
      <c r="D56" s="43"/>
    </row>
    <row r="57" spans="1:6">
      <c r="A57" t="s">
        <v>255</v>
      </c>
      <c r="C57" s="43"/>
      <c r="D57" s="43"/>
    </row>
    <row r="58" spans="1:6">
      <c r="A58" t="s">
        <v>256</v>
      </c>
      <c r="C58" s="43"/>
      <c r="D58" s="43"/>
    </row>
    <row r="59" spans="1:6">
      <c r="A59" t="s">
        <v>257</v>
      </c>
      <c r="C59" s="43"/>
      <c r="D59" s="43"/>
    </row>
    <row r="60" spans="1:6">
      <c r="A60" t="s">
        <v>258</v>
      </c>
      <c r="C60" s="43"/>
      <c r="D60" s="43"/>
    </row>
    <row r="61" spans="1:6">
      <c r="C61" s="43"/>
      <c r="D61" s="43"/>
    </row>
    <row r="62" spans="1:6">
      <c r="A62" s="3" t="s">
        <v>259</v>
      </c>
      <c r="C62" s="43"/>
      <c r="D62" s="43"/>
    </row>
  </sheetData>
  <mergeCells count="2">
    <mergeCell ref="A5:F5"/>
    <mergeCell ref="A4:F4"/>
  </mergeCells>
  <phoneticPr fontId="8" type="noConversion"/>
  <printOptions horizontalCentered="1"/>
  <pageMargins left="0.75" right="0.75" top="1" bottom="1" header="0.5" footer="0.5"/>
  <pageSetup scale="6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60"/>
  <sheetViews>
    <sheetView showOutlineSymbols="0" zoomScaleNormal="100" workbookViewId="0">
      <selection activeCell="A23" sqref="A23:I23"/>
    </sheetView>
  </sheetViews>
  <sheetFormatPr defaultColWidth="9.76953125" defaultRowHeight="15"/>
  <cols>
    <col min="1" max="1" width="25.2265625" style="11" customWidth="1"/>
    <col min="2" max="2" width="2.76953125" style="11" customWidth="1"/>
    <col min="3" max="3" width="8.76953125" style="11" customWidth="1"/>
    <col min="4" max="7" width="9.76953125" style="11" customWidth="1"/>
    <col min="8" max="8" width="3.6796875" style="11" customWidth="1"/>
    <col min="9" max="16384" width="9.76953125" style="11"/>
  </cols>
  <sheetData>
    <row r="1" spans="1:9">
      <c r="A1" s="3"/>
      <c r="B1" s="3"/>
      <c r="C1" s="3"/>
      <c r="D1" s="3"/>
      <c r="E1" s="3"/>
      <c r="F1" s="3"/>
      <c r="G1" s="3"/>
      <c r="H1" s="1" t="s">
        <v>260</v>
      </c>
      <c r="I1" s="3"/>
    </row>
    <row r="2" spans="1:9">
      <c r="A2" s="3"/>
      <c r="B2" s="3"/>
      <c r="C2" s="3"/>
      <c r="D2" s="3"/>
      <c r="E2" s="3"/>
      <c r="F2" s="3"/>
      <c r="G2" s="3"/>
      <c r="H2" s="1" t="s">
        <v>261</v>
      </c>
      <c r="I2" s="3"/>
    </row>
    <row r="3" spans="1:9">
      <c r="A3" s="3"/>
      <c r="B3" s="3"/>
      <c r="C3" s="3"/>
      <c r="D3" s="3"/>
      <c r="E3" s="3"/>
      <c r="F3" s="3"/>
      <c r="G3" s="3"/>
      <c r="H3" s="1"/>
      <c r="I3" s="1"/>
    </row>
    <row r="4" spans="1:9">
      <c r="A4" s="3"/>
      <c r="B4" s="3"/>
      <c r="C4" s="3"/>
      <c r="D4" s="3"/>
      <c r="E4" s="3"/>
      <c r="F4" s="3"/>
      <c r="G4" s="3"/>
      <c r="H4" s="3"/>
      <c r="I4" s="1"/>
    </row>
    <row r="5" spans="1:9" ht="20.100000000000001">
      <c r="A5" s="2" t="s">
        <v>193</v>
      </c>
      <c r="B5" s="2"/>
      <c r="C5" s="2"/>
      <c r="D5" s="2"/>
      <c r="E5" s="2"/>
      <c r="F5" s="2"/>
      <c r="G5" s="2"/>
      <c r="H5" s="2"/>
      <c r="I5" s="2"/>
    </row>
    <row r="6" spans="1:9" ht="20.100000000000001">
      <c r="A6" s="2" t="s">
        <v>262</v>
      </c>
      <c r="B6" s="2"/>
      <c r="C6" s="2"/>
      <c r="D6" s="2"/>
      <c r="E6" s="2"/>
      <c r="F6" s="2"/>
      <c r="G6" s="2"/>
      <c r="H6" s="2"/>
      <c r="I6" s="2"/>
    </row>
    <row r="7" spans="1:9" ht="15.3" thickBot="1">
      <c r="A7" s="3"/>
      <c r="B7" s="3"/>
      <c r="C7" s="3"/>
      <c r="D7" s="3"/>
      <c r="E7" s="3"/>
      <c r="F7" s="3"/>
      <c r="G7" s="3"/>
      <c r="H7" s="3"/>
      <c r="I7" s="3"/>
    </row>
    <row r="8" spans="1:9" ht="15.3" thickTop="1">
      <c r="A8" s="12"/>
      <c r="B8" s="12"/>
      <c r="C8" s="12"/>
      <c r="D8" s="12"/>
      <c r="E8" s="12"/>
      <c r="F8" s="12"/>
      <c r="G8" s="12"/>
      <c r="H8" s="12"/>
      <c r="I8" s="12"/>
    </row>
    <row r="9" spans="1:9">
      <c r="A9" s="1"/>
      <c r="B9" s="1"/>
      <c r="C9" s="93" t="s">
        <v>263</v>
      </c>
      <c r="D9" s="3"/>
      <c r="E9" s="201" t="s">
        <v>264</v>
      </c>
      <c r="F9" s="201"/>
      <c r="G9" s="201"/>
      <c r="H9" s="1"/>
      <c r="I9" s="93"/>
    </row>
    <row r="10" spans="1:9">
      <c r="A10" s="93" t="s">
        <v>184</v>
      </c>
      <c r="B10" s="1"/>
      <c r="C10" s="93" t="s">
        <v>265</v>
      </c>
      <c r="D10" s="93" t="s">
        <v>265</v>
      </c>
      <c r="E10" s="93" t="s">
        <v>266</v>
      </c>
      <c r="F10" s="93" t="s">
        <v>267</v>
      </c>
      <c r="G10" s="93" t="s">
        <v>268</v>
      </c>
      <c r="H10" s="93"/>
      <c r="I10" s="93" t="s">
        <v>269</v>
      </c>
    </row>
    <row r="11" spans="1:9" ht="15.3" thickBot="1">
      <c r="A11" s="3"/>
      <c r="B11" s="3"/>
      <c r="C11" s="3"/>
      <c r="D11" s="3"/>
      <c r="E11" s="3"/>
      <c r="F11" s="3"/>
      <c r="G11" s="3"/>
      <c r="H11" s="3"/>
      <c r="I11" s="3"/>
    </row>
    <row r="12" spans="1:9" ht="15.3" thickTop="1">
      <c r="A12" s="12"/>
      <c r="B12" s="12"/>
      <c r="C12" s="12"/>
      <c r="D12" s="12"/>
      <c r="E12" s="12"/>
      <c r="F12" s="12"/>
      <c r="G12" s="12"/>
      <c r="H12" s="12"/>
      <c r="I12" s="12"/>
    </row>
    <row r="13" spans="1:9">
      <c r="A13" s="1" t="s">
        <v>214</v>
      </c>
      <c r="B13" s="3"/>
      <c r="C13" s="3"/>
      <c r="D13" s="3"/>
      <c r="E13" s="3"/>
      <c r="F13" s="3"/>
      <c r="G13" s="3"/>
      <c r="H13" s="3"/>
      <c r="I13" s="3"/>
    </row>
    <row r="15" spans="1:9">
      <c r="A15" s="3" t="str">
        <f>+'DCP-8'!A18</f>
        <v>ALLETE</v>
      </c>
      <c r="B15" s="3"/>
      <c r="C15" s="130">
        <v>0.67800000000000005</v>
      </c>
      <c r="D15" s="10">
        <f>+C15*4</f>
        <v>2.7120000000000002</v>
      </c>
      <c r="E15" s="39">
        <v>63.71</v>
      </c>
      <c r="F15" s="39">
        <v>56.16</v>
      </c>
      <c r="G15" s="10">
        <f>AVERAGE(E15:F15)</f>
        <v>59.935000000000002</v>
      </c>
      <c r="H15" s="3"/>
      <c r="I15" s="7">
        <f>+D15/G15</f>
        <v>4.5249019771419041E-2</v>
      </c>
    </row>
    <row r="16" spans="1:9">
      <c r="A16" s="3" t="str">
        <f>+'DCP-8'!A19</f>
        <v>Alliant Energy Corp</v>
      </c>
      <c r="B16" s="3"/>
      <c r="C16" s="130">
        <v>0.45300000000000001</v>
      </c>
      <c r="D16" s="10">
        <f>+C16*4</f>
        <v>1.8120000000000001</v>
      </c>
      <c r="E16" s="10">
        <v>56.26</v>
      </c>
      <c r="F16" s="10">
        <v>50.28</v>
      </c>
      <c r="G16" s="10">
        <f>AVERAGE(E16:F16)</f>
        <v>53.269999999999996</v>
      </c>
      <c r="H16" s="3"/>
      <c r="I16" s="7">
        <f t="shared" ref="I16:I29" si="0">+D16/G16</f>
        <v>3.4015393279519433E-2</v>
      </c>
    </row>
    <row r="17" spans="1:9">
      <c r="A17" s="3" t="str">
        <f>+'DCP-8'!A20</f>
        <v>Ameren Corp</v>
      </c>
      <c r="B17" s="3"/>
      <c r="C17" s="130">
        <v>0.63</v>
      </c>
      <c r="D17" s="10">
        <f t="shared" ref="D17:D29" si="1">+C17*4</f>
        <v>2.52</v>
      </c>
      <c r="E17" s="10">
        <v>90.72</v>
      </c>
      <c r="F17" s="10">
        <v>79.8</v>
      </c>
      <c r="G17" s="10">
        <f t="shared" ref="G17:G29" si="2">AVERAGE(E17:F17)</f>
        <v>85.259999999999991</v>
      </c>
      <c r="H17" s="3"/>
      <c r="I17" s="7">
        <f t="shared" si="0"/>
        <v>2.9556650246305421E-2</v>
      </c>
    </row>
    <row r="18" spans="1:9">
      <c r="A18" s="3" t="str">
        <f>+'DCP-8'!A21</f>
        <v>Avista Corp</v>
      </c>
      <c r="B18" s="3"/>
      <c r="C18" s="130">
        <v>0.46</v>
      </c>
      <c r="D18" s="10">
        <f t="shared" si="1"/>
        <v>1.84</v>
      </c>
      <c r="E18" s="10">
        <v>44.77</v>
      </c>
      <c r="F18" s="10">
        <v>36.03</v>
      </c>
      <c r="G18" s="10">
        <f t="shared" si="2"/>
        <v>40.400000000000006</v>
      </c>
      <c r="H18" s="3"/>
      <c r="I18" s="7">
        <f t="shared" si="0"/>
        <v>4.5544554455445543E-2</v>
      </c>
    </row>
    <row r="19" spans="1:9">
      <c r="A19" s="3" t="str">
        <f>+'DCP-8'!A22</f>
        <v>Black Hills Corp</v>
      </c>
      <c r="B19" s="3"/>
      <c r="C19" s="130">
        <v>0.625</v>
      </c>
      <c r="D19" s="10">
        <f t="shared" si="1"/>
        <v>2.5</v>
      </c>
      <c r="E19" s="10">
        <v>66.849999999999994</v>
      </c>
      <c r="F19" s="10">
        <v>56.75</v>
      </c>
      <c r="G19" s="10">
        <f t="shared" si="2"/>
        <v>61.8</v>
      </c>
      <c r="H19" s="3"/>
      <c r="I19" s="7">
        <f t="shared" si="0"/>
        <v>4.0453074433656963E-2</v>
      </c>
    </row>
    <row r="20" spans="1:9">
      <c r="A20" s="3" t="str">
        <f>+'DCP-8'!A23</f>
        <v>Evergy, Inc.</v>
      </c>
      <c r="B20" s="3"/>
      <c r="C20" s="130">
        <v>0.61299999999999999</v>
      </c>
      <c r="D20" s="10">
        <f t="shared" si="1"/>
        <v>2.452</v>
      </c>
      <c r="E20" s="10">
        <v>63.39</v>
      </c>
      <c r="F20" s="10">
        <v>56.59</v>
      </c>
      <c r="G20" s="10">
        <f t="shared" si="2"/>
        <v>59.99</v>
      </c>
      <c r="H20" s="3"/>
      <c r="I20" s="7">
        <f t="shared" si="0"/>
        <v>4.0873478913152191E-2</v>
      </c>
    </row>
    <row r="21" spans="1:9">
      <c r="A21" s="3" t="str">
        <f>+'DCP-8'!A24</f>
        <v>Eversource Energy</v>
      </c>
      <c r="B21" s="3"/>
      <c r="C21" s="130">
        <v>0.67500000000000004</v>
      </c>
      <c r="D21" s="10">
        <f t="shared" si="1"/>
        <v>2.7</v>
      </c>
      <c r="E21" s="10">
        <v>78.64</v>
      </c>
      <c r="F21" s="10">
        <v>67.790000000000006</v>
      </c>
      <c r="G21" s="10">
        <f t="shared" si="2"/>
        <v>73.215000000000003</v>
      </c>
      <c r="H21" s="3"/>
      <c r="I21" s="7">
        <f t="shared" si="0"/>
        <v>3.6877688998156119E-2</v>
      </c>
    </row>
    <row r="22" spans="1:9">
      <c r="A22" s="3" t="str">
        <f>+'DCP-8'!A25</f>
        <v>Fortis, Inc.</v>
      </c>
      <c r="B22" s="3"/>
      <c r="C22" s="130">
        <v>0.42</v>
      </c>
      <c r="D22" s="10">
        <f t="shared" si="1"/>
        <v>1.68</v>
      </c>
      <c r="E22" s="10">
        <v>46.28</v>
      </c>
      <c r="F22" s="10">
        <v>41.43</v>
      </c>
      <c r="G22" s="10">
        <f t="shared" ref="G22" si="3">AVERAGE(E22:F22)</f>
        <v>43.855000000000004</v>
      </c>
      <c r="H22" s="3"/>
      <c r="I22" s="7">
        <f t="shared" ref="I22" si="4">+D22/G22</f>
        <v>3.8308060654429363E-2</v>
      </c>
    </row>
    <row r="23" spans="1:9">
      <c r="A23" s="3" t="str">
        <f>+'DCP-8'!A26</f>
        <v>IDACORP</v>
      </c>
      <c r="B23" s="3"/>
      <c r="C23" s="130">
        <v>0.79</v>
      </c>
      <c r="D23" s="10">
        <f t="shared" si="1"/>
        <v>3.16</v>
      </c>
      <c r="E23" s="10">
        <v>112.91</v>
      </c>
      <c r="F23" s="10">
        <v>100.76</v>
      </c>
      <c r="G23" s="10">
        <f t="shared" si="2"/>
        <v>106.83500000000001</v>
      </c>
      <c r="H23" s="3"/>
      <c r="I23" s="7">
        <f t="shared" si="0"/>
        <v>2.9578321711049748E-2</v>
      </c>
    </row>
    <row r="24" spans="1:9">
      <c r="A24" s="3" t="str">
        <f>+'DCP-8'!A27</f>
        <v>Northwestern Corp</v>
      </c>
      <c r="B24" s="3"/>
      <c r="C24" s="130">
        <v>0.64</v>
      </c>
      <c r="D24" s="10">
        <f t="shared" si="1"/>
        <v>2.56</v>
      </c>
      <c r="E24" s="10">
        <v>60.29</v>
      </c>
      <c r="F24" s="10">
        <v>54.79</v>
      </c>
      <c r="G24" s="10">
        <f t="shared" si="2"/>
        <v>57.54</v>
      </c>
      <c r="H24" s="3"/>
      <c r="I24" s="7">
        <f t="shared" si="0"/>
        <v>4.4490789016336463E-2</v>
      </c>
    </row>
    <row r="25" spans="1:9">
      <c r="A25" s="3" t="str">
        <f>+'DCP-8'!A28</f>
        <v>OGE Energy</v>
      </c>
      <c r="B25" s="3"/>
      <c r="C25" s="130">
        <v>0.41399999999999998</v>
      </c>
      <c r="D25" s="10">
        <f t="shared" si="1"/>
        <v>1.6559999999999999</v>
      </c>
      <c r="E25" s="10">
        <v>38.04</v>
      </c>
      <c r="F25" s="10">
        <v>34.58</v>
      </c>
      <c r="G25" s="10">
        <f t="shared" si="2"/>
        <v>36.31</v>
      </c>
      <c r="H25" s="3"/>
      <c r="I25" s="7">
        <f t="shared" si="0"/>
        <v>4.5607270724318368E-2</v>
      </c>
    </row>
    <row r="26" spans="1:9">
      <c r="A26" s="3" t="str">
        <f>+'DCP-8'!A29</f>
        <v>Otter Tail Corp</v>
      </c>
      <c r="B26" s="3"/>
      <c r="C26" s="130">
        <v>0.438</v>
      </c>
      <c r="D26" s="10">
        <f t="shared" si="1"/>
        <v>1.752</v>
      </c>
      <c r="E26" s="10">
        <v>84.97</v>
      </c>
      <c r="F26" s="10">
        <v>71.62</v>
      </c>
      <c r="G26" s="10">
        <f t="shared" si="2"/>
        <v>78.295000000000002</v>
      </c>
      <c r="H26" s="3"/>
      <c r="I26" s="7">
        <f t="shared" si="0"/>
        <v>2.2376907848521616E-2</v>
      </c>
    </row>
    <row r="27" spans="1:9">
      <c r="A27" s="3" t="str">
        <f>+'DCP-8'!A30</f>
        <v>Pinnacle West Capital Corp</v>
      </c>
      <c r="B27" s="3"/>
      <c r="C27" s="130">
        <v>0.86499999999999999</v>
      </c>
      <c r="D27" s="10">
        <f t="shared" si="1"/>
        <v>3.46</v>
      </c>
      <c r="E27" s="10">
        <v>86.03</v>
      </c>
      <c r="F27" s="10">
        <v>75</v>
      </c>
      <c r="G27" s="10">
        <f t="shared" si="2"/>
        <v>80.515000000000001</v>
      </c>
      <c r="H27" s="3"/>
      <c r="I27" s="7">
        <f t="shared" si="0"/>
        <v>4.2973359001428305E-2</v>
      </c>
    </row>
    <row r="28" spans="1:9">
      <c r="A28" s="3" t="str">
        <f>+'DCP-8'!A31</f>
        <v>Portland General Electric</v>
      </c>
      <c r="B28" s="3"/>
      <c r="C28" s="130">
        <v>0.47499999999999998</v>
      </c>
      <c r="D28" s="10">
        <f t="shared" si="1"/>
        <v>1.9</v>
      </c>
      <c r="E28" s="10">
        <v>51.58</v>
      </c>
      <c r="F28" s="10">
        <v>45.84</v>
      </c>
      <c r="G28" s="10">
        <f t="shared" si="2"/>
        <v>48.71</v>
      </c>
      <c r="H28" s="3"/>
      <c r="I28" s="7">
        <f t="shared" si="0"/>
        <v>3.9006364196263597E-2</v>
      </c>
    </row>
    <row r="29" spans="1:9">
      <c r="A29" s="3" t="str">
        <f>+'DCP-8'!A32</f>
        <v>WEC Energy Group</v>
      </c>
      <c r="B29" s="3"/>
      <c r="C29" s="130">
        <v>0.78</v>
      </c>
      <c r="D29" s="10">
        <f t="shared" si="1"/>
        <v>3.12</v>
      </c>
      <c r="E29" s="10">
        <v>97.34</v>
      </c>
      <c r="F29" s="10">
        <v>85.32</v>
      </c>
      <c r="G29" s="10">
        <f t="shared" si="2"/>
        <v>91.33</v>
      </c>
      <c r="H29" s="3"/>
      <c r="I29" s="7">
        <f t="shared" si="0"/>
        <v>3.4161830723749044E-2</v>
      </c>
    </row>
    <row r="30" spans="1:9">
      <c r="A30" s="3"/>
      <c r="B30" s="3"/>
      <c r="C30" s="174"/>
      <c r="D30" s="10"/>
      <c r="E30" s="10"/>
      <c r="F30" s="10"/>
      <c r="G30" s="10"/>
      <c r="H30" s="3"/>
      <c r="I30" s="5"/>
    </row>
    <row r="31" spans="1:9">
      <c r="A31" s="3" t="s">
        <v>196</v>
      </c>
      <c r="B31" s="3"/>
      <c r="C31" s="174"/>
      <c r="D31" s="10"/>
      <c r="E31" s="10"/>
      <c r="F31" s="10"/>
      <c r="G31" s="10"/>
      <c r="H31" s="3"/>
      <c r="I31" s="131">
        <f>+AVERAGE(I15:I29)</f>
        <v>3.7938184264916748E-2</v>
      </c>
    </row>
    <row r="32" spans="1:9" ht="15.3" thickBot="1">
      <c r="A32" s="92"/>
      <c r="B32" s="92"/>
      <c r="C32" s="175"/>
      <c r="D32" s="20"/>
      <c r="E32" s="20"/>
      <c r="F32" s="20"/>
      <c r="G32" s="20"/>
      <c r="H32" s="92"/>
      <c r="I32" s="21"/>
    </row>
    <row r="33" spans="1:9" ht="15.3" thickTop="1">
      <c r="A33" s="3"/>
      <c r="B33" s="3"/>
      <c r="C33" s="3"/>
      <c r="D33" s="10"/>
      <c r="E33" s="10"/>
      <c r="F33" s="10"/>
      <c r="G33" s="10"/>
      <c r="H33" s="3"/>
      <c r="I33" s="5"/>
    </row>
    <row r="34" spans="1:9">
      <c r="A34" s="3" t="s">
        <v>270</v>
      </c>
      <c r="B34"/>
      <c r="C34"/>
      <c r="D34" s="10"/>
      <c r="E34" s="10"/>
      <c r="F34" s="10"/>
      <c r="G34" s="10"/>
      <c r="H34"/>
      <c r="I34" s="5"/>
    </row>
    <row r="35" spans="1:9">
      <c r="A35" s="3"/>
      <c r="B35" s="3"/>
      <c r="C35" s="3"/>
      <c r="D35" s="10"/>
      <c r="E35" s="10"/>
      <c r="F35" s="10"/>
      <c r="G35" s="10"/>
      <c r="H35" s="3"/>
      <c r="I35" s="13"/>
    </row>
    <row r="36" spans="1:9">
      <c r="A36" s="3"/>
      <c r="B36" s="3"/>
      <c r="C36" s="3"/>
      <c r="D36" s="10"/>
      <c r="E36" s="10"/>
      <c r="F36" s="10"/>
      <c r="G36" s="10"/>
      <c r="H36" s="3"/>
      <c r="I36" s="5"/>
    </row>
    <row r="37" spans="1:9">
      <c r="A37"/>
      <c r="B37"/>
      <c r="C37"/>
      <c r="D37" s="10"/>
      <c r="E37" s="10"/>
      <c r="F37" s="10"/>
      <c r="G37" s="10"/>
      <c r="H37"/>
      <c r="I37" s="5"/>
    </row>
    <row r="42" spans="1:9">
      <c r="A42" s="3"/>
      <c r="B42" s="3"/>
      <c r="C42" s="3"/>
      <c r="D42" s="10"/>
      <c r="E42" s="10"/>
      <c r="F42" s="10"/>
      <c r="G42" s="10"/>
      <c r="H42" s="10"/>
      <c r="I42" s="5"/>
    </row>
    <row r="43" spans="1:9">
      <c r="A43" s="3"/>
      <c r="B43" s="3"/>
      <c r="C43" s="3"/>
      <c r="D43" s="10"/>
      <c r="E43" s="10"/>
      <c r="F43" s="10"/>
      <c r="G43" s="10"/>
      <c r="H43" s="3"/>
      <c r="I43" s="5"/>
    </row>
    <row r="44" spans="1:9">
      <c r="A44" s="3"/>
      <c r="B44" s="3"/>
      <c r="C44" s="3"/>
      <c r="D44" s="10"/>
      <c r="E44" s="10"/>
      <c r="F44" s="10"/>
      <c r="G44" s="10"/>
      <c r="H44" s="10"/>
      <c r="I44" s="5"/>
    </row>
    <row r="45" spans="1:9">
      <c r="A45" s="3"/>
      <c r="B45" s="3"/>
      <c r="C45" s="3"/>
      <c r="D45" s="10"/>
      <c r="E45" s="10"/>
      <c r="F45" s="10"/>
      <c r="G45" s="10"/>
      <c r="H45" s="10"/>
      <c r="I45" s="5"/>
    </row>
    <row r="46" spans="1:9">
      <c r="A46" s="3"/>
      <c r="B46" s="3"/>
      <c r="C46" s="3"/>
      <c r="D46" s="10"/>
      <c r="E46" s="10"/>
      <c r="F46" s="10"/>
      <c r="G46" s="10"/>
      <c r="H46" s="10"/>
      <c r="I46" s="5"/>
    </row>
    <row r="47" spans="1:9">
      <c r="A47" s="3"/>
      <c r="B47" s="3"/>
      <c r="C47" s="3"/>
      <c r="D47" s="10"/>
      <c r="E47" s="10"/>
      <c r="F47" s="10"/>
      <c r="G47" s="10"/>
      <c r="H47" s="10"/>
      <c r="I47" s="5"/>
    </row>
    <row r="48" spans="1:9">
      <c r="A48" s="3"/>
      <c r="B48" s="3"/>
      <c r="C48" s="3"/>
      <c r="D48" s="10"/>
      <c r="E48" s="10"/>
      <c r="F48" s="10"/>
      <c r="G48" s="10"/>
      <c r="H48" s="10"/>
      <c r="I48" s="5"/>
    </row>
    <row r="49" spans="1:9">
      <c r="A49" s="3"/>
      <c r="B49" s="3"/>
      <c r="C49" s="3"/>
      <c r="D49" s="10"/>
      <c r="E49" s="10"/>
      <c r="F49" s="10"/>
      <c r="G49" s="10"/>
      <c r="H49" s="10"/>
      <c r="I49" s="5"/>
    </row>
    <row r="50" spans="1:9">
      <c r="A50" s="3"/>
      <c r="B50" s="3"/>
      <c r="C50" s="3"/>
      <c r="D50" s="10"/>
      <c r="E50" s="10"/>
      <c r="F50" s="10"/>
      <c r="G50" s="10"/>
      <c r="H50" s="10"/>
      <c r="I50" s="5"/>
    </row>
    <row r="51" spans="1:9">
      <c r="A51" s="3"/>
      <c r="B51" s="3"/>
      <c r="C51" s="3"/>
      <c r="D51" s="10"/>
      <c r="E51" s="10"/>
      <c r="F51" s="10"/>
      <c r="G51" s="10"/>
      <c r="H51" s="10"/>
      <c r="I51" s="5"/>
    </row>
    <row r="52" spans="1:9">
      <c r="A52" s="3"/>
      <c r="B52" s="3"/>
      <c r="C52" s="3"/>
      <c r="D52" s="10"/>
      <c r="E52" s="10"/>
      <c r="F52" s="10"/>
      <c r="G52" s="10"/>
      <c r="H52" s="10"/>
      <c r="I52" s="5"/>
    </row>
    <row r="53" spans="1:9">
      <c r="A53" s="3"/>
      <c r="B53" s="3"/>
      <c r="C53" s="3"/>
      <c r="D53" s="4"/>
      <c r="E53" s="4"/>
      <c r="F53" s="4"/>
      <c r="G53" s="4"/>
      <c r="H53" s="4"/>
      <c r="I53" s="5"/>
    </row>
    <row r="54" spans="1:9">
      <c r="A54"/>
      <c r="B54"/>
      <c r="C54"/>
      <c r="D54" s="4"/>
      <c r="E54" s="4"/>
      <c r="F54" s="4"/>
      <c r="G54" s="4"/>
      <c r="H54" s="4"/>
      <c r="I54" s="5"/>
    </row>
    <row r="55" spans="1:9">
      <c r="A55" s="3"/>
      <c r="B55" s="3"/>
      <c r="C55" s="3"/>
      <c r="D55" s="4"/>
      <c r="E55" s="4"/>
      <c r="F55" s="4"/>
      <c r="G55" s="4"/>
      <c r="H55" s="4"/>
      <c r="I55" s="13"/>
    </row>
    <row r="57" spans="1:9">
      <c r="A57"/>
      <c r="B57"/>
      <c r="C57"/>
      <c r="D57"/>
      <c r="E57"/>
      <c r="F57"/>
      <c r="G57"/>
      <c r="H57"/>
      <c r="I57"/>
    </row>
    <row r="58" spans="1:9">
      <c r="A58" s="3"/>
      <c r="B58" s="3"/>
      <c r="C58" s="3"/>
      <c r="D58" s="10"/>
      <c r="E58" s="10"/>
      <c r="F58" s="10"/>
      <c r="G58" s="10"/>
      <c r="H58" s="10"/>
      <c r="I58" s="13"/>
    </row>
    <row r="60" spans="1:9">
      <c r="A60"/>
      <c r="B60"/>
      <c r="C60"/>
      <c r="D60"/>
      <c r="E60"/>
      <c r="F60"/>
      <c r="G60"/>
      <c r="H60"/>
      <c r="I60"/>
    </row>
  </sheetData>
  <mergeCells count="1">
    <mergeCell ref="E9:G9"/>
  </mergeCells>
  <phoneticPr fontId="0" type="noConversion"/>
  <printOptions horizontalCentered="1"/>
  <pageMargins left="0.5" right="0.5" top="0.5" bottom="0.55000000000000004" header="0" footer="0"/>
  <pageSetup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47"/>
  <sheetViews>
    <sheetView showOutlineSymbols="0" zoomScaleNormal="100" workbookViewId="0">
      <selection activeCell="A23" sqref="A23:L23"/>
    </sheetView>
  </sheetViews>
  <sheetFormatPr defaultColWidth="9.76953125" defaultRowHeight="15"/>
  <cols>
    <col min="1" max="1" width="26.54296875" style="11" customWidth="1"/>
    <col min="2" max="2" width="1.54296875" style="11" customWidth="1"/>
    <col min="3" max="16384" width="9.76953125" style="11"/>
  </cols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  <c r="K1" s="1" t="str">
        <f>+'DCP-9, P 1'!H1</f>
        <v>Exh. DCP-9</v>
      </c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1" t="s">
        <v>271</v>
      </c>
      <c r="L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1"/>
      <c r="L4" s="3"/>
    </row>
    <row r="5" spans="1:12" ht="20.100000000000001">
      <c r="A5" s="202" t="str">
        <f>'DCP-9, P 1'!A5</f>
        <v>PROXY COMPANIES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ht="20.100000000000001">
      <c r="A6" s="202" t="s">
        <v>272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</row>
    <row r="7" spans="1:12" ht="15.3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.3" thickTop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93" t="str">
        <f>'DCP-9, P 1'!A10</f>
        <v>COMPANY</v>
      </c>
      <c r="B9" s="1"/>
      <c r="C9" s="93">
        <v>2018</v>
      </c>
      <c r="D9" s="93">
        <v>2019</v>
      </c>
      <c r="E9" s="93">
        <v>2020</v>
      </c>
      <c r="F9" s="93">
        <v>2021</v>
      </c>
      <c r="G9" s="93">
        <v>2022</v>
      </c>
      <c r="H9" s="93" t="s">
        <v>196</v>
      </c>
      <c r="I9" s="93">
        <v>2023</v>
      </c>
      <c r="J9" s="93">
        <v>2023</v>
      </c>
      <c r="K9" s="93" t="s">
        <v>273</v>
      </c>
      <c r="L9" s="93" t="s">
        <v>196</v>
      </c>
    </row>
    <row r="11" spans="1:12" ht="15.3" thickTop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3" spans="1:12">
      <c r="A13" s="1" t="str">
        <f>'DCP-9, P 1'!A13</f>
        <v>Parcell Proxy Group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5" spans="1:12">
      <c r="A15" s="6" t="str">
        <f>+'DCP-9, P 1'!A15</f>
        <v>ALLETE</v>
      </c>
      <c r="B15" s="3"/>
      <c r="C15" s="5">
        <v>2.7E-2</v>
      </c>
      <c r="D15" s="5">
        <v>2.3E-2</v>
      </c>
      <c r="E15" s="5">
        <v>0.02</v>
      </c>
      <c r="F15" s="5">
        <v>1.4999999999999999E-2</v>
      </c>
      <c r="G15" s="5">
        <v>2.5000000000000001E-2</v>
      </c>
      <c r="H15" s="5">
        <f>AVERAGE(C15:G15)</f>
        <v>2.2000000000000002E-2</v>
      </c>
      <c r="I15" s="5">
        <v>2.5000000000000001E-2</v>
      </c>
      <c r="J15" s="5">
        <v>2.5000000000000001E-2</v>
      </c>
      <c r="K15" s="5">
        <v>3.5000000000000003E-2</v>
      </c>
      <c r="L15" s="5">
        <f>AVERAGE(I15:K15)</f>
        <v>2.8333333333333335E-2</v>
      </c>
    </row>
    <row r="16" spans="1:12">
      <c r="A16" s="6" t="str">
        <f>+'DCP-9, P 1'!A16</f>
        <v>Alliant Energy Corp</v>
      </c>
      <c r="B16" s="6"/>
      <c r="C16" s="5">
        <v>4.3999999999999997E-2</v>
      </c>
      <c r="D16" s="5">
        <v>4.2000000000000003E-2</v>
      </c>
      <c r="E16" s="5">
        <v>4.2000000000000003E-2</v>
      </c>
      <c r="F16" s="5">
        <v>4.2999999999999997E-2</v>
      </c>
      <c r="G16" s="5">
        <v>4.1000000000000002E-2</v>
      </c>
      <c r="H16" s="5">
        <f t="shared" ref="H16:H29" si="0">AVERAGE(C16:G16)</f>
        <v>4.24E-2</v>
      </c>
      <c r="I16" s="5">
        <v>0.04</v>
      </c>
      <c r="J16" s="5">
        <v>4.4999999999999998E-2</v>
      </c>
      <c r="K16" s="5">
        <v>4.4999999999999998E-2</v>
      </c>
      <c r="L16" s="5">
        <f t="shared" ref="L16:L29" si="1">AVERAGE(I16:K16)</f>
        <v>4.3333333333333335E-2</v>
      </c>
    </row>
    <row r="17" spans="1:12">
      <c r="A17" s="6" t="str">
        <f>+'DCP-9, P 1'!A17</f>
        <v>Ameren Corp</v>
      </c>
      <c r="B17" s="6"/>
      <c r="C17" s="5">
        <v>4.8000000000000001E-2</v>
      </c>
      <c r="D17" s="5">
        <v>4.3999999999999997E-2</v>
      </c>
      <c r="E17" s="5">
        <v>4.2000000000000003E-2</v>
      </c>
      <c r="F17" s="5">
        <v>4.3999999999999997E-2</v>
      </c>
      <c r="G17" s="5">
        <v>4.3999999999999997E-2</v>
      </c>
      <c r="H17" s="5">
        <f t="shared" si="0"/>
        <v>4.4399999999999995E-2</v>
      </c>
      <c r="I17" s="5">
        <v>0.05</v>
      </c>
      <c r="J17" s="5">
        <v>0.05</v>
      </c>
      <c r="K17" s="5">
        <v>0.04</v>
      </c>
      <c r="L17" s="5">
        <f t="shared" si="1"/>
        <v>4.6666666666666669E-2</v>
      </c>
    </row>
    <row r="18" spans="1:12">
      <c r="A18" s="6" t="str">
        <f>+'DCP-9, P 1'!A18</f>
        <v>Avista Corp</v>
      </c>
      <c r="B18" s="6"/>
      <c r="C18" s="5">
        <v>2.1999999999999999E-2</v>
      </c>
      <c r="D18" s="5">
        <v>4.9000000000000002E-2</v>
      </c>
      <c r="E18" s="5">
        <v>8.9999999999999993E-3</v>
      </c>
      <c r="F18" s="5">
        <v>1.4E-2</v>
      </c>
      <c r="G18" s="5">
        <v>1.0999999999999999E-2</v>
      </c>
      <c r="H18" s="5">
        <f t="shared" si="0"/>
        <v>2.0999999999999998E-2</v>
      </c>
      <c r="I18" s="5">
        <v>0.02</v>
      </c>
      <c r="J18" s="5">
        <v>0.02</v>
      </c>
      <c r="K18" s="5">
        <v>0.02</v>
      </c>
      <c r="L18" s="5">
        <f t="shared" si="1"/>
        <v>0.02</v>
      </c>
    </row>
    <row r="19" spans="1:12">
      <c r="A19" s="6" t="str">
        <f>+'DCP-9, P 1'!A19</f>
        <v>Black Hills Corp</v>
      </c>
      <c r="B19" s="6"/>
      <c r="C19" s="5">
        <v>3.9E-2</v>
      </c>
      <c r="D19" s="5">
        <v>3.7999999999999999E-2</v>
      </c>
      <c r="E19" s="5">
        <v>3.7999999999999999E-2</v>
      </c>
      <c r="F19" s="5">
        <v>3.3000000000000002E-2</v>
      </c>
      <c r="G19" s="5">
        <v>3.4000000000000002E-2</v>
      </c>
      <c r="H19" s="5">
        <f t="shared" si="0"/>
        <v>3.6400000000000002E-2</v>
      </c>
      <c r="I19" s="5">
        <v>2.5000000000000001E-2</v>
      </c>
      <c r="J19" s="5">
        <v>2.5000000000000001E-2</v>
      </c>
      <c r="K19" s="5">
        <v>2.5000000000000001E-2</v>
      </c>
      <c r="L19" s="5">
        <f t="shared" si="1"/>
        <v>2.5000000000000005E-2</v>
      </c>
    </row>
    <row r="20" spans="1:12">
      <c r="A20" s="6" t="str">
        <f>+'DCP-9, P 1'!A20</f>
        <v>Evergy, Inc.</v>
      </c>
      <c r="B20" s="6"/>
      <c r="C20" s="5">
        <v>6.0000000000000001E-3</v>
      </c>
      <c r="D20" s="5">
        <v>2.4E-2</v>
      </c>
      <c r="E20" s="5">
        <v>1.7999999999999999E-2</v>
      </c>
      <c r="F20" s="5">
        <v>4.1000000000000002E-2</v>
      </c>
      <c r="G20" s="5">
        <v>3.1E-2</v>
      </c>
      <c r="H20" s="5">
        <f t="shared" si="0"/>
        <v>2.4E-2</v>
      </c>
      <c r="I20" s="5">
        <v>0.03</v>
      </c>
      <c r="J20" s="5">
        <v>0.03</v>
      </c>
      <c r="K20" s="5">
        <v>3.5000000000000003E-2</v>
      </c>
      <c r="L20" s="5">
        <f t="shared" si="1"/>
        <v>3.1666666666666669E-2</v>
      </c>
    </row>
    <row r="21" spans="1:12">
      <c r="A21" s="6" t="str">
        <f>+'DCP-9, P 1'!A21</f>
        <v>Eversource Energy</v>
      </c>
      <c r="B21" s="6"/>
      <c r="C21" s="5">
        <v>3.4000000000000002E-2</v>
      </c>
      <c r="D21" s="5">
        <v>3.5999999999999997E-2</v>
      </c>
      <c r="E21" s="5">
        <v>3.5000000000000003E-2</v>
      </c>
      <c r="F21" s="5">
        <v>3.5999999999999997E-2</v>
      </c>
      <c r="G21" s="5">
        <v>3.5999999999999997E-2</v>
      </c>
      <c r="H21" s="5">
        <f t="shared" si="0"/>
        <v>3.5400000000000001E-2</v>
      </c>
      <c r="I21" s="5">
        <v>3.5000000000000003E-2</v>
      </c>
      <c r="J21" s="5">
        <v>3.5000000000000003E-2</v>
      </c>
      <c r="K21" s="5">
        <v>0.04</v>
      </c>
      <c r="L21" s="5">
        <f t="shared" si="1"/>
        <v>3.6666666666666674E-2</v>
      </c>
    </row>
    <row r="22" spans="1:12">
      <c r="A22" s="6" t="str">
        <f>+'DCP-9, P 1'!A22</f>
        <v>Fortis, Inc.</v>
      </c>
      <c r="B22" s="6"/>
      <c r="C22" s="5">
        <v>4.1000000000000002E-2</v>
      </c>
      <c r="D22" s="5">
        <v>0.04</v>
      </c>
      <c r="E22" s="5">
        <v>2.5000000000000001E-2</v>
      </c>
      <c r="F22" s="5">
        <v>3.5000000000000003E-2</v>
      </c>
      <c r="G22" s="5">
        <v>3.5000000000000003E-2</v>
      </c>
      <c r="H22" s="5">
        <f t="shared" ref="H22" si="2">AVERAGE(C22:G22)</f>
        <v>3.5200000000000002E-2</v>
      </c>
      <c r="I22" s="5">
        <v>3.5000000000000003E-2</v>
      </c>
      <c r="J22" s="5">
        <v>3.5000000000000003E-2</v>
      </c>
      <c r="K22" s="5">
        <v>0.04</v>
      </c>
      <c r="L22" s="5">
        <f t="shared" ref="L22" si="3">AVERAGE(I22:K22)</f>
        <v>3.6666666666666674E-2</v>
      </c>
    </row>
    <row r="23" spans="1:12">
      <c r="A23" s="6" t="str">
        <f>+'DCP-9, P 1'!A23</f>
        <v>IDACORP</v>
      </c>
      <c r="B23" s="6"/>
      <c r="C23" s="5">
        <v>4.3999999999999997E-2</v>
      </c>
      <c r="D23" s="5">
        <v>4.2000000000000003E-2</v>
      </c>
      <c r="E23" s="5">
        <v>3.9E-2</v>
      </c>
      <c r="F23" s="5">
        <v>3.6999999999999998E-2</v>
      </c>
      <c r="G23" s="5">
        <v>3.6999999999999998E-2</v>
      </c>
      <c r="H23" s="5">
        <f t="shared" si="0"/>
        <v>3.9800000000000002E-2</v>
      </c>
      <c r="I23" s="5">
        <v>3.5000000000000003E-2</v>
      </c>
      <c r="J23" s="5">
        <v>3.5000000000000003E-2</v>
      </c>
      <c r="K23" s="5">
        <v>3.5000000000000003E-2</v>
      </c>
      <c r="L23" s="5">
        <f t="shared" si="1"/>
        <v>3.5000000000000003E-2</v>
      </c>
    </row>
    <row r="24" spans="1:12">
      <c r="A24" s="6" t="str">
        <f>+'DCP-9, P 1'!A24</f>
        <v>Northwestern Corp</v>
      </c>
      <c r="B24" s="6"/>
      <c r="C24" s="5">
        <v>3.2000000000000001E-2</v>
      </c>
      <c r="D24" s="5">
        <v>3.1E-2</v>
      </c>
      <c r="E24" s="5">
        <v>0.02</v>
      </c>
      <c r="F24" s="5">
        <v>2.3E-2</v>
      </c>
      <c r="G24" s="5">
        <v>1.7000000000000001E-2</v>
      </c>
      <c r="H24" s="5">
        <f t="shared" si="0"/>
        <v>2.4600000000000004E-2</v>
      </c>
      <c r="I24" s="5">
        <v>0.02</v>
      </c>
      <c r="J24" s="5">
        <v>0.02</v>
      </c>
      <c r="K24" s="5">
        <v>2.5000000000000001E-2</v>
      </c>
      <c r="L24" s="5">
        <f t="shared" si="1"/>
        <v>2.1666666666666667E-2</v>
      </c>
    </row>
    <row r="25" spans="1:12">
      <c r="A25" s="6" t="str">
        <f>+'DCP-9, P 1'!A25</f>
        <v>OGE Energy</v>
      </c>
      <c r="B25" s="6"/>
      <c r="C25" s="5">
        <v>3.7999999999999999E-2</v>
      </c>
      <c r="D25" s="5">
        <v>3.5999999999999997E-2</v>
      </c>
      <c r="E25" s="5">
        <v>2.8000000000000001E-2</v>
      </c>
      <c r="F25" s="5">
        <v>3.5999999999999997E-2</v>
      </c>
      <c r="G25" s="5">
        <v>0.03</v>
      </c>
      <c r="H25" s="5">
        <f t="shared" si="0"/>
        <v>3.3599999999999998E-2</v>
      </c>
      <c r="I25" s="5">
        <v>4.4999999999999998E-2</v>
      </c>
      <c r="J25" s="5">
        <v>4.4999999999999998E-2</v>
      </c>
      <c r="K25" s="5">
        <v>5.5E-2</v>
      </c>
      <c r="L25" s="5">
        <f t="shared" si="1"/>
        <v>4.8333333333333332E-2</v>
      </c>
    </row>
    <row r="26" spans="1:12">
      <c r="A26" s="6" t="str">
        <f>+'DCP-9, P 1'!A26</f>
        <v>Otter Tail Corp</v>
      </c>
      <c r="B26" s="6"/>
      <c r="C26" s="5">
        <v>0.04</v>
      </c>
      <c r="D26" s="5">
        <v>0.04</v>
      </c>
      <c r="E26" s="5">
        <v>4.1000000000000002E-2</v>
      </c>
      <c r="F26" s="5">
        <v>0.113</v>
      </c>
      <c r="G26" s="5">
        <v>0.124</v>
      </c>
      <c r="H26" s="5">
        <f t="shared" si="0"/>
        <v>7.1599999999999997E-2</v>
      </c>
      <c r="I26" s="5">
        <v>7.4999999999999997E-2</v>
      </c>
      <c r="J26" s="5">
        <v>7.0000000000000007E-2</v>
      </c>
      <c r="K26" s="5">
        <v>0.05</v>
      </c>
      <c r="L26" s="5">
        <f t="shared" si="1"/>
        <v>6.5000000000000002E-2</v>
      </c>
    </row>
    <row r="27" spans="1:12">
      <c r="A27" s="6" t="str">
        <f>+'DCP-9, P 1'!A27</f>
        <v>Pinnacle West Capital Corp</v>
      </c>
      <c r="B27" s="6"/>
      <c r="C27" s="5">
        <v>3.9E-2</v>
      </c>
      <c r="D27" s="5">
        <v>3.7999999999999999E-2</v>
      </c>
      <c r="E27" s="5">
        <v>3.5000000000000003E-2</v>
      </c>
      <c r="F27" s="5">
        <v>4.2000000000000003E-2</v>
      </c>
      <c r="G27" s="5">
        <v>1.7000000000000001E-2</v>
      </c>
      <c r="H27" s="5">
        <f t="shared" si="0"/>
        <v>3.4199999999999994E-2</v>
      </c>
      <c r="I27" s="5">
        <v>1.4999999999999999E-2</v>
      </c>
      <c r="J27" s="5">
        <v>1.4999999999999999E-2</v>
      </c>
      <c r="K27" s="5">
        <v>0.03</v>
      </c>
      <c r="L27" s="5">
        <f t="shared" si="1"/>
        <v>0.02</v>
      </c>
    </row>
    <row r="28" spans="1:12">
      <c r="A28" s="6" t="str">
        <f>+'DCP-9, P 1'!A28</f>
        <v>Portland General Electric</v>
      </c>
      <c r="B28" s="6"/>
      <c r="C28" s="5">
        <v>3.5000000000000003E-2</v>
      </c>
      <c r="D28" s="5">
        <v>3.1E-2</v>
      </c>
      <c r="E28" s="5">
        <v>4.1000000000000002E-2</v>
      </c>
      <c r="F28" s="5">
        <v>3.5000000000000003E-2</v>
      </c>
      <c r="G28" s="5">
        <v>3.1E-2</v>
      </c>
      <c r="H28" s="5">
        <f t="shared" si="0"/>
        <v>3.4600000000000006E-2</v>
      </c>
      <c r="I28" s="5">
        <v>2.5000000000000001E-2</v>
      </c>
      <c r="J28" s="5">
        <v>0.03</v>
      </c>
      <c r="K28" s="5">
        <v>3.5000000000000003E-2</v>
      </c>
      <c r="L28" s="5">
        <f t="shared" si="1"/>
        <v>0.03</v>
      </c>
    </row>
    <row r="29" spans="1:12">
      <c r="A29" s="6" t="str">
        <f>+'DCP-9, P 1'!A29</f>
        <v>WEC Energy Group</v>
      </c>
      <c r="B29" s="6"/>
      <c r="C29" s="5">
        <v>3.6999999999999998E-2</v>
      </c>
      <c r="D29" s="5">
        <v>3.7999999999999999E-2</v>
      </c>
      <c r="E29" s="5">
        <v>3.7999999999999999E-2</v>
      </c>
      <c r="F29" s="5">
        <v>4.1000000000000002E-2</v>
      </c>
      <c r="G29" s="5">
        <v>0.04</v>
      </c>
      <c r="H29" s="5">
        <f t="shared" si="0"/>
        <v>3.8800000000000001E-2</v>
      </c>
      <c r="I29" s="5">
        <v>4.4999999999999998E-2</v>
      </c>
      <c r="J29" s="5">
        <v>0.04</v>
      </c>
      <c r="K29" s="5">
        <v>0.04</v>
      </c>
      <c r="L29" s="5">
        <f t="shared" si="1"/>
        <v>4.1666666666666664E-2</v>
      </c>
    </row>
    <row r="30" spans="1:12">
      <c r="A30" s="6"/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46" t="s">
        <v>196</v>
      </c>
      <c r="B31" s="6"/>
      <c r="C31" s="5"/>
      <c r="D31" s="5"/>
      <c r="E31" s="5"/>
      <c r="F31" s="5"/>
      <c r="G31" s="5"/>
      <c r="H31" s="13">
        <f>+AVERAGE(H15:H29)</f>
        <v>3.5866666666666672E-2</v>
      </c>
      <c r="I31" s="13"/>
      <c r="J31" s="13"/>
      <c r="K31" s="13"/>
      <c r="L31" s="13">
        <f>+AVERAGE(L15:L29)</f>
        <v>3.5333333333333335E-2</v>
      </c>
    </row>
    <row r="32" spans="1:12">
      <c r="A32" s="22"/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15.3" thickBot="1">
      <c r="A33" s="23"/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ht="15.3" thickTop="1">
      <c r="A34" s="6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>
      <c r="A35" s="46" t="s">
        <v>274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41" spans="1:12">
      <c r="A41" s="3"/>
      <c r="B41" s="3"/>
      <c r="C41" s="3"/>
      <c r="D41" s="3"/>
      <c r="E41" s="3"/>
      <c r="F41" s="3"/>
      <c r="G41" s="3"/>
      <c r="H41" s="4"/>
      <c r="I41" s="3"/>
      <c r="J41" s="3"/>
      <c r="K41" s="3"/>
      <c r="L41" s="3"/>
    </row>
    <row r="42" spans="1:12">
      <c r="A42" s="3"/>
      <c r="B42" s="3"/>
      <c r="C42" s="7"/>
      <c r="D42" s="7"/>
      <c r="E42" s="7"/>
      <c r="F42" s="7"/>
      <c r="G42" s="7"/>
      <c r="H42" s="4"/>
      <c r="I42" s="3"/>
      <c r="J42" s="3"/>
      <c r="K42" s="3"/>
      <c r="L42" s="3"/>
    </row>
    <row r="43" spans="1:12">
      <c r="A43" s="3"/>
      <c r="B43" s="3"/>
      <c r="C43" s="7"/>
      <c r="D43" s="7"/>
      <c r="E43" s="7"/>
      <c r="F43" s="7"/>
      <c r="G43" s="7"/>
      <c r="H43" s="7"/>
      <c r="I43" s="3"/>
      <c r="J43" s="3"/>
      <c r="K43" s="3"/>
      <c r="L43" s="3"/>
    </row>
    <row r="44" spans="1:12">
      <c r="A44" s="3"/>
      <c r="B44" s="3"/>
      <c r="C44" s="7"/>
      <c r="D44" s="7"/>
      <c r="E44" s="7"/>
      <c r="F44" s="7"/>
      <c r="G44" s="7"/>
      <c r="H44" s="7"/>
      <c r="I44" s="3"/>
      <c r="J44" s="3"/>
      <c r="K44" s="3"/>
      <c r="L44" s="3"/>
    </row>
    <row r="45" spans="1:12">
      <c r="A45" s="3"/>
      <c r="B45" s="3"/>
      <c r="C45" s="7"/>
      <c r="D45" s="7"/>
      <c r="E45" s="7"/>
      <c r="F45" s="7"/>
      <c r="G45" s="7"/>
      <c r="H45" s="7"/>
      <c r="I45" s="3"/>
      <c r="J45" s="3"/>
      <c r="K45" s="3"/>
      <c r="L45" s="3"/>
    </row>
    <row r="46" spans="1:12">
      <c r="A46" s="3"/>
      <c r="B46" s="3"/>
      <c r="C46" s="7"/>
      <c r="D46" s="7"/>
      <c r="E46" s="7"/>
      <c r="F46" s="7"/>
      <c r="G46" s="7"/>
      <c r="H46" s="7"/>
      <c r="I46" s="3"/>
      <c r="J46" s="3"/>
      <c r="K46" s="3"/>
      <c r="L46" s="3"/>
    </row>
    <row r="47" spans="1:12">
      <c r="A47" s="3"/>
      <c r="B47" s="3"/>
      <c r="C47" s="7"/>
      <c r="D47" s="7"/>
      <c r="E47" s="7"/>
      <c r="F47" s="7"/>
      <c r="G47" s="7"/>
      <c r="H47" s="7"/>
      <c r="I47" s="3"/>
      <c r="J47" s="3"/>
      <c r="K47" s="3"/>
      <c r="L47" s="3"/>
    </row>
  </sheetData>
  <mergeCells count="2">
    <mergeCell ref="A5:L5"/>
    <mergeCell ref="A6:L6"/>
  </mergeCells>
  <phoneticPr fontId="0" type="noConversion"/>
  <printOptions horizontalCentered="1"/>
  <pageMargins left="0.5" right="0.5" top="0.5" bottom="0.55000000000000004" header="0" footer="0"/>
  <pageSetup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47"/>
  <sheetViews>
    <sheetView showOutlineSymbols="0" zoomScaleNormal="87" workbookViewId="0">
      <selection activeCell="A22" sqref="A22:K22"/>
    </sheetView>
  </sheetViews>
  <sheetFormatPr defaultColWidth="9.76953125" defaultRowHeight="15"/>
  <cols>
    <col min="1" max="1" width="26.6796875" style="11" customWidth="1"/>
    <col min="2" max="2" width="1.453125" style="11" customWidth="1"/>
    <col min="3" max="6" width="9.76953125" style="11" customWidth="1"/>
    <col min="7" max="7" width="2.76953125" style="11" customWidth="1"/>
    <col min="8" max="16384" width="9.76953125" style="1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1" t="str">
        <f>+'DCP-9, P 2'!K1</f>
        <v>Exh. DCP-9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1" t="s">
        <v>275</v>
      </c>
      <c r="K2" s="3"/>
    </row>
    <row r="3" spans="1:11">
      <c r="A3" s="46"/>
      <c r="B3" s="3"/>
      <c r="C3" s="3"/>
      <c r="D3" s="3"/>
      <c r="E3" s="3"/>
      <c r="F3" s="3"/>
      <c r="G3" s="3"/>
      <c r="H3" s="3"/>
      <c r="I3" s="3"/>
      <c r="J3" s="1"/>
      <c r="K3" s="1"/>
    </row>
    <row r="4" spans="1:11" ht="20.100000000000001">
      <c r="A4" s="2" t="str">
        <f>'DCP-9, P 2'!A5</f>
        <v>PROXY COMPANIES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100000000000001">
      <c r="A5" s="2" t="s">
        <v>276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3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1"/>
      <c r="B8" s="1"/>
      <c r="C8" s="94" t="s">
        <v>277</v>
      </c>
      <c r="D8" s="94"/>
      <c r="E8" s="94"/>
      <c r="F8" s="94"/>
      <c r="G8" s="1"/>
      <c r="H8" s="94" t="s">
        <v>278</v>
      </c>
      <c r="I8" s="94"/>
      <c r="J8" s="94"/>
      <c r="K8" s="94"/>
    </row>
    <row r="9" spans="1:11">
      <c r="A9" s="93" t="str">
        <f>'DCP-9, P 2'!A9</f>
        <v>COMPANY</v>
      </c>
      <c r="B9" s="1"/>
      <c r="C9" s="95" t="s">
        <v>279</v>
      </c>
      <c r="D9" s="95" t="s">
        <v>265</v>
      </c>
      <c r="E9" s="95" t="s">
        <v>280</v>
      </c>
      <c r="F9" s="95" t="s">
        <v>196</v>
      </c>
      <c r="G9" s="1"/>
      <c r="H9" s="95" t="s">
        <v>279</v>
      </c>
      <c r="I9" s="95" t="s">
        <v>265</v>
      </c>
      <c r="J9" s="95" t="s">
        <v>280</v>
      </c>
      <c r="K9" s="95" t="s">
        <v>196</v>
      </c>
    </row>
    <row r="11" spans="1:11" ht="15.3" thickTop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>
      <c r="A12" s="1" t="str">
        <f>'DCP-9, P 2'!A13</f>
        <v>Parcell Proxy Group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4" spans="1:11">
      <c r="A14" s="3" t="str">
        <f>+'DCP-9, P 2'!A15</f>
        <v>ALLETE</v>
      </c>
      <c r="B14" s="3"/>
      <c r="C14" s="5">
        <v>5.0000000000000001E-3</v>
      </c>
      <c r="D14" s="5">
        <v>3.5000000000000003E-2</v>
      </c>
      <c r="E14" s="5">
        <v>0.03</v>
      </c>
      <c r="F14" s="5">
        <f>AVERAGE(C14:E14)</f>
        <v>2.3333333333333334E-2</v>
      </c>
      <c r="G14" s="5"/>
      <c r="H14" s="5">
        <v>0.06</v>
      </c>
      <c r="I14" s="5">
        <v>3.5000000000000003E-2</v>
      </c>
      <c r="J14" s="5">
        <v>3.5000000000000003E-2</v>
      </c>
      <c r="K14" s="5">
        <f>AVERAGE(H14:J14)</f>
        <v>4.3333333333333335E-2</v>
      </c>
    </row>
    <row r="15" spans="1:11">
      <c r="A15" s="3" t="str">
        <f>+'DCP-9, P 2'!A16</f>
        <v>Alliant Energy Corp</v>
      </c>
      <c r="B15" s="3"/>
      <c r="C15" s="5">
        <v>0.08</v>
      </c>
      <c r="D15" s="5">
        <v>6.5000000000000002E-2</v>
      </c>
      <c r="E15" s="5">
        <v>7.0000000000000007E-2</v>
      </c>
      <c r="F15" s="5">
        <f>AVERAGE(C15:E15)</f>
        <v>7.166666666666667E-2</v>
      </c>
      <c r="G15" s="5"/>
      <c r="H15" s="5">
        <v>6.5000000000000002E-2</v>
      </c>
      <c r="I15" s="5">
        <v>0.06</v>
      </c>
      <c r="J15" s="5">
        <v>0.05</v>
      </c>
      <c r="K15" s="5">
        <f>AVERAGE(H15:J15)</f>
        <v>5.8333333333333327E-2</v>
      </c>
    </row>
    <row r="16" spans="1:11">
      <c r="A16" s="3" t="str">
        <f>+'DCP-9, P 2'!A17</f>
        <v>Ameren Corp</v>
      </c>
      <c r="B16" s="3"/>
      <c r="C16" s="5">
        <v>7.0000000000000007E-2</v>
      </c>
      <c r="D16" s="5">
        <v>0.04</v>
      </c>
      <c r="E16" s="5">
        <v>4.4999999999999998E-2</v>
      </c>
      <c r="F16" s="5">
        <f t="shared" ref="F16:F28" si="0">AVERAGE(C16:E16)</f>
        <v>5.1666666666666673E-2</v>
      </c>
      <c r="G16" s="5"/>
      <c r="H16" s="5">
        <v>6.5000000000000002E-2</v>
      </c>
      <c r="I16" s="5">
        <v>6.5000000000000002E-2</v>
      </c>
      <c r="J16" s="5">
        <v>6.5000000000000002E-2</v>
      </c>
      <c r="K16" s="5">
        <f t="shared" ref="K16:K28" si="1">AVERAGE(H16:J16)</f>
        <v>6.5000000000000002E-2</v>
      </c>
    </row>
    <row r="17" spans="1:11">
      <c r="A17" s="3" t="str">
        <f>+'DCP-9, P 2'!A18</f>
        <v>Avista Corp</v>
      </c>
      <c r="B17" s="3"/>
      <c r="C17" s="5">
        <v>5.0000000000000001E-3</v>
      </c>
      <c r="D17" s="5">
        <v>0.04</v>
      </c>
      <c r="E17" s="5">
        <v>3.5000000000000003E-2</v>
      </c>
      <c r="F17" s="5">
        <f t="shared" si="0"/>
        <v>2.6666666666666668E-2</v>
      </c>
      <c r="G17" s="5"/>
      <c r="H17" s="5">
        <v>6.5000000000000002E-2</v>
      </c>
      <c r="I17" s="5">
        <v>0.04</v>
      </c>
      <c r="J17" s="5">
        <v>3.5000000000000003E-2</v>
      </c>
      <c r="K17" s="5">
        <f t="shared" si="1"/>
        <v>4.6666666666666669E-2</v>
      </c>
    </row>
    <row r="18" spans="1:11">
      <c r="A18" s="3" t="str">
        <f>+'DCP-9, P 2'!A19</f>
        <v>Black Hills Corp</v>
      </c>
      <c r="B18" s="3"/>
      <c r="C18" s="5">
        <v>5.5E-2</v>
      </c>
      <c r="D18" s="5">
        <v>0.06</v>
      </c>
      <c r="E18" s="5">
        <v>7.4999999999999997E-2</v>
      </c>
      <c r="F18" s="5">
        <f t="shared" si="0"/>
        <v>6.3333333333333339E-2</v>
      </c>
      <c r="G18" s="5"/>
      <c r="H18" s="5">
        <v>0.03</v>
      </c>
      <c r="I18" s="5">
        <v>4.4999999999999998E-2</v>
      </c>
      <c r="J18" s="5">
        <v>0.04</v>
      </c>
      <c r="K18" s="5">
        <f t="shared" si="1"/>
        <v>3.833333333333333E-2</v>
      </c>
    </row>
    <row r="19" spans="1:11">
      <c r="A19" s="3" t="str">
        <f>+'DCP-9, P 2'!A20</f>
        <v>Evergy, Inc.</v>
      </c>
      <c r="B19" s="3"/>
      <c r="C19" s="5"/>
      <c r="D19" s="5"/>
      <c r="E19" s="5"/>
      <c r="F19" s="138" t="s">
        <v>9</v>
      </c>
      <c r="G19" s="5"/>
      <c r="H19" s="5">
        <v>7.4999999999999997E-2</v>
      </c>
      <c r="I19" s="5">
        <v>7.0000000000000007E-2</v>
      </c>
      <c r="J19" s="5">
        <v>3.5000000000000003E-2</v>
      </c>
      <c r="K19" s="5">
        <f t="shared" si="1"/>
        <v>6.0000000000000005E-2</v>
      </c>
    </row>
    <row r="20" spans="1:11">
      <c r="A20" s="3" t="str">
        <f>+'DCP-9, P 2'!A21</f>
        <v>Eversource Energy</v>
      </c>
      <c r="B20" s="3"/>
      <c r="C20" s="5">
        <v>5.5E-2</v>
      </c>
      <c r="D20" s="5">
        <v>0.06</v>
      </c>
      <c r="E20" s="5">
        <v>4.4999999999999998E-2</v>
      </c>
      <c r="F20" s="5">
        <f t="shared" si="0"/>
        <v>5.3333333333333323E-2</v>
      </c>
      <c r="G20" s="5"/>
      <c r="H20" s="5">
        <v>6.5000000000000002E-2</v>
      </c>
      <c r="I20" s="5">
        <v>6.5000000000000002E-2</v>
      </c>
      <c r="J20" s="5">
        <v>4.4999999999999998E-2</v>
      </c>
      <c r="K20" s="5">
        <f t="shared" si="1"/>
        <v>5.8333333333333327E-2</v>
      </c>
    </row>
    <row r="21" spans="1:11">
      <c r="A21" s="3" t="str">
        <f>+'DCP-9, P 2'!A22</f>
        <v>Fortis, Inc.</v>
      </c>
      <c r="B21" s="3"/>
      <c r="C21" s="5">
        <v>3.5000000000000003E-2</v>
      </c>
      <c r="D21" s="5">
        <v>5.5E-2</v>
      </c>
      <c r="E21" s="5">
        <v>3.5000000000000003E-2</v>
      </c>
      <c r="F21" s="5">
        <f t="shared" ref="F21" si="2">AVERAGE(C21:E21)</f>
        <v>4.1666666666666664E-2</v>
      </c>
      <c r="G21" s="5"/>
      <c r="H21" s="5">
        <v>0.05</v>
      </c>
      <c r="I21" s="5">
        <v>0.06</v>
      </c>
      <c r="J21" s="5">
        <v>0.04</v>
      </c>
      <c r="K21" s="5">
        <f t="shared" ref="K21" si="3">AVERAGE(H21:J21)</f>
        <v>4.9999999999999996E-2</v>
      </c>
    </row>
    <row r="22" spans="1:11">
      <c r="A22" s="3" t="str">
        <f>+'DCP-9, P 2'!A23</f>
        <v>IDACORP</v>
      </c>
      <c r="B22" s="3"/>
      <c r="C22" s="5">
        <v>0.04</v>
      </c>
      <c r="D22" s="5">
        <v>6.5000000000000002E-2</v>
      </c>
      <c r="E22" s="5">
        <v>4.4999999999999998E-2</v>
      </c>
      <c r="F22" s="5">
        <f t="shared" si="0"/>
        <v>5.000000000000001E-2</v>
      </c>
      <c r="G22" s="5"/>
      <c r="H22" s="5">
        <v>0.05</v>
      </c>
      <c r="I22" s="5">
        <v>0.06</v>
      </c>
      <c r="J22" s="5">
        <v>0.04</v>
      </c>
      <c r="K22" s="5">
        <f t="shared" si="1"/>
        <v>4.9999999999999996E-2</v>
      </c>
    </row>
    <row r="23" spans="1:11">
      <c r="A23" s="3" t="str">
        <f>+'DCP-9, P 2'!A24</f>
        <v>Northwestern Corp</v>
      </c>
      <c r="B23" s="3"/>
      <c r="C23" s="5">
        <v>0.01</v>
      </c>
      <c r="D23" s="5">
        <v>0.04</v>
      </c>
      <c r="E23" s="5">
        <v>4.4999999999999998E-2</v>
      </c>
      <c r="F23" s="5">
        <f t="shared" si="0"/>
        <v>3.1666666666666669E-2</v>
      </c>
      <c r="G23" s="5"/>
      <c r="H23" s="5">
        <v>3.5000000000000003E-2</v>
      </c>
      <c r="I23" s="5">
        <v>0.02</v>
      </c>
      <c r="J23" s="5">
        <v>3.5000000000000003E-2</v>
      </c>
      <c r="K23" s="5">
        <f t="shared" si="1"/>
        <v>3.0000000000000002E-2</v>
      </c>
    </row>
    <row r="24" spans="1:11">
      <c r="A24" s="3" t="str">
        <f>+'DCP-9, P 2'!A25</f>
        <v>OGE Energy</v>
      </c>
      <c r="B24" s="3"/>
      <c r="C24" s="5">
        <v>4.4999999999999998E-2</v>
      </c>
      <c r="D24" s="5">
        <v>6.5000000000000002E-2</v>
      </c>
      <c r="E24" s="5">
        <v>1.4999999999999999E-2</v>
      </c>
      <c r="F24" s="5">
        <f t="shared" si="0"/>
        <v>4.1666666666666664E-2</v>
      </c>
      <c r="G24" s="5"/>
      <c r="H24" s="5">
        <v>6.5000000000000002E-2</v>
      </c>
      <c r="I24" s="5">
        <v>0.03</v>
      </c>
      <c r="J24" s="5">
        <v>5.5E-2</v>
      </c>
      <c r="K24" s="5">
        <f t="shared" si="1"/>
        <v>4.9999999999999996E-2</v>
      </c>
    </row>
    <row r="25" spans="1:11">
      <c r="A25" s="3" t="str">
        <f>+'DCP-9, P 2'!A26</f>
        <v>Otter Tail Corp</v>
      </c>
      <c r="B25" s="3"/>
      <c r="C25" s="5">
        <v>0.14499999999999999</v>
      </c>
      <c r="D25" s="5">
        <v>0.04</v>
      </c>
      <c r="E25" s="5">
        <v>0.06</v>
      </c>
      <c r="F25" s="5">
        <f t="shared" si="0"/>
        <v>8.1666666666666665E-2</v>
      </c>
      <c r="G25" s="5"/>
      <c r="H25" s="5">
        <v>4.4999999999999998E-2</v>
      </c>
      <c r="I25" s="5">
        <v>7.0000000000000007E-2</v>
      </c>
      <c r="J25" s="5">
        <v>0.08</v>
      </c>
      <c r="K25" s="5">
        <f t="shared" si="1"/>
        <v>6.5000000000000002E-2</v>
      </c>
    </row>
    <row r="26" spans="1:11">
      <c r="A26" s="3" t="str">
        <f>+'DCP-9, P 2'!A27</f>
        <v>Pinnacle West Capital Corp</v>
      </c>
      <c r="B26" s="3"/>
      <c r="C26" s="5">
        <v>3.5000000000000003E-2</v>
      </c>
      <c r="D26" s="5">
        <v>5.5E-2</v>
      </c>
      <c r="E26" s="5">
        <v>0.04</v>
      </c>
      <c r="F26" s="5">
        <f t="shared" si="0"/>
        <v>4.3333333333333335E-2</v>
      </c>
      <c r="G26" s="5"/>
      <c r="H26" s="5">
        <v>2.5000000000000001E-2</v>
      </c>
      <c r="I26" s="5">
        <v>0.02</v>
      </c>
      <c r="J26" s="5">
        <v>0.03</v>
      </c>
      <c r="K26" s="5">
        <f t="shared" si="1"/>
        <v>2.4999999999999998E-2</v>
      </c>
    </row>
    <row r="27" spans="1:11">
      <c r="A27" s="3" t="str">
        <f>+'DCP-9, P 2'!A28</f>
        <v>Portland General Electric</v>
      </c>
      <c r="B27" s="3"/>
      <c r="C27" s="5">
        <v>0.05</v>
      </c>
      <c r="D27" s="5">
        <v>0.06</v>
      </c>
      <c r="E27" s="5">
        <v>0.03</v>
      </c>
      <c r="F27" s="5">
        <f t="shared" si="0"/>
        <v>4.6666666666666669E-2</v>
      </c>
      <c r="G27" s="5"/>
      <c r="H27" s="5">
        <v>0.05</v>
      </c>
      <c r="I27" s="5">
        <v>5.5E-2</v>
      </c>
      <c r="J27" s="5">
        <v>0.04</v>
      </c>
      <c r="K27" s="5">
        <f t="shared" si="1"/>
        <v>4.8333333333333339E-2</v>
      </c>
    </row>
    <row r="28" spans="1:11">
      <c r="A28" s="3" t="str">
        <f>+'DCP-9, P 2'!A29</f>
        <v>WEC Energy Group</v>
      </c>
      <c r="B28" s="3"/>
      <c r="C28" s="5">
        <v>7.0000000000000007E-2</v>
      </c>
      <c r="D28" s="5">
        <v>6.5000000000000002E-2</v>
      </c>
      <c r="E28" s="5">
        <v>3.5000000000000003E-2</v>
      </c>
      <c r="F28" s="5">
        <f t="shared" si="0"/>
        <v>5.6666666666666671E-2</v>
      </c>
      <c r="G28" s="5"/>
      <c r="H28" s="5">
        <v>0.06</v>
      </c>
      <c r="I28" s="5">
        <v>7.0000000000000007E-2</v>
      </c>
      <c r="J28" s="5">
        <v>0.04</v>
      </c>
      <c r="K28" s="5">
        <f t="shared" si="1"/>
        <v>5.6666666666666671E-2</v>
      </c>
    </row>
    <row r="29" spans="1:11">
      <c r="A29" s="3"/>
      <c r="B29" s="3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3" t="s">
        <v>196</v>
      </c>
      <c r="B30" s="3"/>
      <c r="C30" s="5"/>
      <c r="D30" s="5"/>
      <c r="E30" s="5"/>
      <c r="F30" s="13">
        <f>AVERAGE(F14:F29)</f>
        <v>4.880952380952381E-2</v>
      </c>
      <c r="G30" s="5"/>
      <c r="H30" s="5"/>
      <c r="I30" s="5"/>
      <c r="J30" s="5"/>
      <c r="K30" s="13">
        <f>AVERAGE(K14:K29)</f>
        <v>4.9666666666666665E-2</v>
      </c>
    </row>
    <row r="31" spans="1:11">
      <c r="A31" s="38"/>
      <c r="B31" s="38"/>
      <c r="C31" s="19"/>
      <c r="D31" s="19"/>
      <c r="E31" s="19"/>
      <c r="F31" s="19"/>
      <c r="G31" s="19"/>
      <c r="H31" s="19"/>
      <c r="I31" s="19"/>
      <c r="J31" s="19"/>
      <c r="K31" s="19"/>
    </row>
    <row r="32" spans="1:11">
      <c r="A32" s="3"/>
      <c r="B32" s="3"/>
      <c r="C32" s="5"/>
      <c r="D32" s="5"/>
      <c r="E32" s="5"/>
      <c r="F32" s="5"/>
      <c r="G32" s="5"/>
      <c r="H32" s="5"/>
      <c r="I32" s="5"/>
      <c r="J32" s="5"/>
      <c r="K32" s="5"/>
    </row>
    <row r="33" spans="1:11">
      <c r="A33" s="3" t="s">
        <v>281</v>
      </c>
      <c r="B33" s="3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3" t="s">
        <v>282</v>
      </c>
      <c r="B34" s="3"/>
      <c r="C34" s="5"/>
      <c r="D34" s="5"/>
      <c r="E34" s="5"/>
      <c r="F34" s="5"/>
      <c r="G34" s="5"/>
      <c r="H34" s="5"/>
      <c r="I34" s="5"/>
      <c r="J34" s="5"/>
      <c r="K34" s="5"/>
    </row>
    <row r="35" spans="1:11">
      <c r="A35" s="3"/>
      <c r="B35" s="3"/>
      <c r="C35" s="5"/>
      <c r="D35" s="5"/>
      <c r="E35" s="5"/>
      <c r="F35" s="5"/>
      <c r="G35" s="5"/>
      <c r="H35" s="5"/>
      <c r="I35" s="5"/>
      <c r="J35" s="5"/>
      <c r="K35" s="5"/>
    </row>
    <row r="36" spans="1:11">
      <c r="A36" s="3" t="str">
        <f>+'DCP-9, P 2'!A35</f>
        <v>Source:  Value Line Investment Survey, June 9, 2023, July 21, 2023, August 11, 2023.</v>
      </c>
      <c r="B36" s="3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/>
      <c r="B37"/>
      <c r="C37"/>
      <c r="D37"/>
      <c r="E37"/>
      <c r="F37"/>
      <c r="G37"/>
      <c r="H37"/>
      <c r="I37"/>
      <c r="J37"/>
      <c r="K37"/>
    </row>
    <row r="41" spans="1:11">
      <c r="A41" s="3"/>
      <c r="B41" s="3"/>
      <c r="C41" s="3"/>
      <c r="D41" s="5"/>
      <c r="E41" s="5"/>
      <c r="F41" s="5"/>
      <c r="G41" s="3"/>
      <c r="H41" s="3"/>
      <c r="I41" s="3"/>
      <c r="J41" s="3"/>
      <c r="K41" s="3"/>
    </row>
    <row r="42" spans="1:11">
      <c r="A42" s="3"/>
      <c r="B42" s="3"/>
      <c r="C42" s="3"/>
      <c r="D42" s="39"/>
      <c r="E42" s="39"/>
      <c r="F42" s="39"/>
      <c r="G42" s="3"/>
      <c r="H42" s="3"/>
      <c r="I42" s="3"/>
      <c r="J42" s="3"/>
      <c r="K42" s="3"/>
    </row>
    <row r="43" spans="1:11">
      <c r="A43" s="3"/>
      <c r="B43" s="3"/>
      <c r="C43" s="3"/>
      <c r="D43" s="39"/>
      <c r="E43" s="39"/>
      <c r="F43" s="39"/>
      <c r="G43" s="3"/>
      <c r="H43" s="3"/>
      <c r="I43" s="3"/>
      <c r="J43" s="3"/>
      <c r="K43" s="3"/>
    </row>
    <row r="44" spans="1:11">
      <c r="A44" s="3"/>
      <c r="B44" s="3"/>
      <c r="C44" s="3"/>
      <c r="D44" s="39"/>
      <c r="E44" s="39"/>
      <c r="F44" s="39"/>
      <c r="G44" s="3"/>
      <c r="H44" s="3"/>
      <c r="I44" s="3"/>
      <c r="J44" s="3"/>
      <c r="K44" s="3"/>
    </row>
    <row r="45" spans="1:11">
      <c r="A45" s="3"/>
      <c r="B45" s="3"/>
      <c r="C45" s="3"/>
      <c r="D45" s="5"/>
      <c r="E45" s="5"/>
      <c r="F45" s="5"/>
      <c r="G45" s="3"/>
      <c r="H45" s="3"/>
      <c r="I45" s="3"/>
      <c r="J45" s="3"/>
      <c r="K45" s="3"/>
    </row>
    <row r="46" spans="1:11">
      <c r="A46" s="3"/>
      <c r="B46" s="3"/>
      <c r="C46" s="3"/>
      <c r="D46" s="5"/>
      <c r="E46" s="5"/>
      <c r="F46" s="5"/>
      <c r="G46" s="3"/>
      <c r="H46" s="3"/>
      <c r="I46" s="3"/>
      <c r="J46" s="3"/>
      <c r="K46" s="3"/>
    </row>
    <row r="47" spans="1:11">
      <c r="A47" s="3"/>
      <c r="B47" s="3"/>
      <c r="C47" s="3"/>
      <c r="D47" s="5"/>
      <c r="E47" s="5"/>
      <c r="F47" s="5"/>
      <c r="G47" s="3"/>
      <c r="H47" s="3"/>
      <c r="I47" s="3"/>
      <c r="J47" s="3"/>
      <c r="K47" s="3"/>
    </row>
  </sheetData>
  <phoneticPr fontId="0" type="noConversion"/>
  <printOptions horizontalCentered="1"/>
  <pageMargins left="0.5" right="0.5" top="0.5" bottom="0.55000000000000004" header="0" footer="0"/>
  <pageSetup scale="7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9094-0B23-44E4-BF7C-3F533C130724}">
  <dimension ref="A1:G36"/>
  <sheetViews>
    <sheetView workbookViewId="0">
      <selection activeCell="A22" sqref="A22:G22"/>
    </sheetView>
  </sheetViews>
  <sheetFormatPr defaultRowHeight="15"/>
  <cols>
    <col min="1" max="1" width="23.08984375" customWidth="1"/>
    <col min="2" max="2" width="2.76953125" customWidth="1"/>
  </cols>
  <sheetData>
    <row r="1" spans="1:7">
      <c r="F1" s="1" t="str">
        <f>+'DCP-9, P 3'!J1</f>
        <v>Exh. DCP-9</v>
      </c>
    </row>
    <row r="2" spans="1:7">
      <c r="F2" s="1" t="s">
        <v>283</v>
      </c>
    </row>
    <row r="4" spans="1:7" ht="17.7">
      <c r="A4" s="200" t="s">
        <v>193</v>
      </c>
      <c r="B4" s="200"/>
      <c r="C4" s="200"/>
      <c r="D4" s="200"/>
      <c r="E4" s="200"/>
      <c r="F4" s="200"/>
      <c r="G4" s="200"/>
    </row>
    <row r="5" spans="1:7" ht="17.7">
      <c r="A5" s="200" t="s">
        <v>284</v>
      </c>
      <c r="B5" s="200"/>
      <c r="C5" s="200"/>
      <c r="D5" s="200"/>
      <c r="E5" s="200"/>
      <c r="F5" s="200"/>
      <c r="G5" s="200"/>
    </row>
    <row r="7" spans="1:7" ht="15.3" thickBot="1">
      <c r="A7" s="36"/>
      <c r="B7" s="36"/>
      <c r="C7" s="36"/>
      <c r="D7" s="36"/>
      <c r="E7" s="36"/>
      <c r="F7" s="36"/>
      <c r="G7" s="36"/>
    </row>
    <row r="8" spans="1:7" ht="15.3" thickTop="1"/>
    <row r="9" spans="1:7">
      <c r="A9" s="1" t="s">
        <v>143</v>
      </c>
      <c r="C9" s="1" t="s">
        <v>285</v>
      </c>
      <c r="E9" s="93" t="s">
        <v>286</v>
      </c>
      <c r="G9" s="93" t="s">
        <v>196</v>
      </c>
    </row>
    <row r="10" spans="1:7">
      <c r="A10" s="18"/>
      <c r="B10" s="18"/>
      <c r="C10" s="18"/>
      <c r="D10" s="18"/>
      <c r="E10" s="18"/>
      <c r="F10" s="18"/>
      <c r="G10" s="18"/>
    </row>
    <row r="12" spans="1:7">
      <c r="A12" s="1" t="str">
        <f>+'DCP-9, P 3'!A12</f>
        <v>Parcell Proxy Group</v>
      </c>
    </row>
    <row r="14" spans="1:7">
      <c r="A14" t="str">
        <f>+'DCP-9, P 3'!A14</f>
        <v>ALLETE</v>
      </c>
      <c r="C14" s="25">
        <v>8.1000000000000003E-2</v>
      </c>
      <c r="D14" s="25"/>
      <c r="E14" s="25">
        <v>8.1000000000000003E-2</v>
      </c>
      <c r="F14" s="25"/>
      <c r="G14" s="25">
        <f>AVERAGE(C14:E14)</f>
        <v>8.1000000000000003E-2</v>
      </c>
    </row>
    <row r="15" spans="1:7">
      <c r="A15" t="str">
        <f>+'DCP-9, P 3'!A15</f>
        <v>Alliant Energy Corp</v>
      </c>
      <c r="C15" s="25">
        <v>7.0000000000000007E-2</v>
      </c>
      <c r="D15" s="25"/>
      <c r="E15" s="25">
        <v>6.4699999999999994E-2</v>
      </c>
      <c r="F15" s="25"/>
      <c r="G15" s="25">
        <f t="shared" ref="G15:G28" si="0">AVERAGE(C15:E15)</f>
        <v>6.7349999999999993E-2</v>
      </c>
    </row>
    <row r="16" spans="1:7">
      <c r="A16" t="str">
        <f>+'DCP-9, P 3'!A16</f>
        <v>Ameren Corp</v>
      </c>
      <c r="C16" s="25">
        <v>5.8999999999999997E-2</v>
      </c>
      <c r="D16" s="25"/>
      <c r="E16" s="25">
        <v>6.4299999999999996E-2</v>
      </c>
      <c r="F16" s="25"/>
      <c r="G16" s="25">
        <f t="shared" si="0"/>
        <v>6.1649999999999996E-2</v>
      </c>
    </row>
    <row r="17" spans="1:7">
      <c r="A17" t="str">
        <f>+'DCP-9, P 3'!A17</f>
        <v>Avista Corp</v>
      </c>
      <c r="C17" s="25">
        <v>6.3E-2</v>
      </c>
      <c r="D17" s="25"/>
      <c r="E17" s="25">
        <v>6.3500000000000001E-2</v>
      </c>
      <c r="F17" s="25"/>
      <c r="G17" s="25">
        <f t="shared" si="0"/>
        <v>6.3250000000000001E-2</v>
      </c>
    </row>
    <row r="18" spans="1:7">
      <c r="A18" t="str">
        <f>+'DCP-9, P 3'!A18</f>
        <v>Black Hills Corp</v>
      </c>
      <c r="C18" s="25">
        <v>5.3999999999999999E-2</v>
      </c>
      <c r="D18" s="25"/>
      <c r="E18" s="25">
        <v>2.1999999999999999E-2</v>
      </c>
      <c r="F18" s="25"/>
      <c r="G18" s="25">
        <f t="shared" si="0"/>
        <v>3.7999999999999999E-2</v>
      </c>
    </row>
    <row r="19" spans="1:7">
      <c r="A19" t="str">
        <f>+'DCP-9, P 3'!A19</f>
        <v>Evergy, Inc.</v>
      </c>
      <c r="C19" s="25">
        <v>2.6700000000000002E-2</v>
      </c>
      <c r="D19" s="25"/>
      <c r="E19" s="25">
        <v>5.2200000000000003E-2</v>
      </c>
      <c r="F19" s="25"/>
      <c r="G19" s="25">
        <f t="shared" si="0"/>
        <v>3.9449999999999999E-2</v>
      </c>
    </row>
    <row r="20" spans="1:7">
      <c r="A20" t="str">
        <f>+'DCP-9, P 3'!A20</f>
        <v>Eversource Energy</v>
      </c>
      <c r="C20" s="25">
        <v>6.7000000000000004E-2</v>
      </c>
      <c r="D20" s="25"/>
      <c r="E20" s="25">
        <v>6.3399999999999998E-2</v>
      </c>
      <c r="F20" s="25"/>
      <c r="G20" s="25">
        <f t="shared" si="0"/>
        <v>6.5200000000000008E-2</v>
      </c>
    </row>
    <row r="21" spans="1:7">
      <c r="A21" t="str">
        <f>+'DCP-9, P 3'!A21</f>
        <v>Fortis, Inc.</v>
      </c>
      <c r="C21" s="25">
        <v>4.2200000000000001E-2</v>
      </c>
      <c r="D21" s="25"/>
      <c r="E21" s="25">
        <v>5.45E-2</v>
      </c>
      <c r="F21" s="25"/>
      <c r="G21" s="25">
        <f t="shared" ref="G21:G24" si="1">AVERAGE(C21:E21)</f>
        <v>4.8350000000000004E-2</v>
      </c>
    </row>
    <row r="22" spans="1:7">
      <c r="A22" t="str">
        <f>+'DCP-9, P 3'!A22</f>
        <v>IDACORP</v>
      </c>
      <c r="C22" s="25">
        <v>3.6999999999999998E-2</v>
      </c>
      <c r="D22" s="25"/>
      <c r="E22" s="25">
        <v>3.6799999999999999E-2</v>
      </c>
      <c r="F22" s="25"/>
      <c r="G22" s="25">
        <f t="shared" si="1"/>
        <v>3.6900000000000002E-2</v>
      </c>
    </row>
    <row r="23" spans="1:7">
      <c r="A23" t="str">
        <f>+'DCP-9, P 3'!A23</f>
        <v>Northwestern Corp</v>
      </c>
      <c r="C23" s="25">
        <v>4.4999999999999998E-2</v>
      </c>
      <c r="D23" s="25"/>
      <c r="E23" s="25">
        <v>5.4899999999999997E-2</v>
      </c>
      <c r="F23" s="25"/>
      <c r="G23" s="25">
        <f t="shared" si="1"/>
        <v>4.9949999999999994E-2</v>
      </c>
    </row>
    <row r="24" spans="1:7">
      <c r="A24" t="str">
        <f>+'DCP-9, P 3'!A24</f>
        <v>OGE Energy</v>
      </c>
      <c r="C24" s="25" t="s">
        <v>287</v>
      </c>
      <c r="D24" s="25"/>
      <c r="E24" s="25">
        <v>3.6499999999999998E-2</v>
      </c>
      <c r="F24" s="25"/>
      <c r="G24" s="25">
        <f t="shared" si="1"/>
        <v>3.6499999999999998E-2</v>
      </c>
    </row>
    <row r="25" spans="1:7">
      <c r="A25" t="str">
        <f>+'DCP-9, P 3'!A25</f>
        <v>Otter Tail Corp</v>
      </c>
      <c r="C25" s="25">
        <v>0.09</v>
      </c>
      <c r="D25" s="25"/>
      <c r="E25" s="25" t="s">
        <v>288</v>
      </c>
      <c r="F25" s="25"/>
      <c r="G25" s="25">
        <f t="shared" si="0"/>
        <v>0.09</v>
      </c>
    </row>
    <row r="26" spans="1:7">
      <c r="A26" t="str">
        <f>+'DCP-9, P 3'!A26</f>
        <v>Pinnacle West Capital Corp</v>
      </c>
      <c r="C26" s="25">
        <v>6.0999999999999999E-2</v>
      </c>
      <c r="D26" s="25"/>
      <c r="E26" s="25">
        <v>6.3200000000000006E-2</v>
      </c>
      <c r="F26" s="25"/>
      <c r="G26" s="25">
        <f t="shared" si="0"/>
        <v>6.2100000000000002E-2</v>
      </c>
    </row>
    <row r="27" spans="1:7">
      <c r="A27" t="str">
        <f>+'DCP-9, P 3'!A27</f>
        <v>Portland General Electric</v>
      </c>
      <c r="C27" s="25">
        <v>5.8999999999999997E-2</v>
      </c>
      <c r="D27" s="25"/>
      <c r="E27" s="25">
        <v>6.0199999999999997E-2</v>
      </c>
      <c r="F27" s="25"/>
      <c r="G27" s="25">
        <f t="shared" si="0"/>
        <v>5.96E-2</v>
      </c>
    </row>
    <row r="28" spans="1:7">
      <c r="A28" t="str">
        <f>+'DCP-9, P 3'!A28</f>
        <v>WEC Energy Group</v>
      </c>
      <c r="C28" s="25">
        <v>5.5E-2</v>
      </c>
      <c r="D28" s="25"/>
      <c r="E28" s="25">
        <v>5.7599999999999998E-2</v>
      </c>
      <c r="F28" s="25"/>
      <c r="G28" s="25">
        <f t="shared" si="0"/>
        <v>5.6300000000000003E-2</v>
      </c>
    </row>
    <row r="29" spans="1:7">
      <c r="A29" s="18"/>
      <c r="B29" s="18"/>
      <c r="C29" s="45"/>
      <c r="D29" s="45"/>
      <c r="E29" s="45"/>
      <c r="F29" s="45"/>
      <c r="G29" s="45"/>
    </row>
    <row r="30" spans="1:7">
      <c r="C30" s="25"/>
      <c r="D30" s="25"/>
      <c r="E30" s="25"/>
      <c r="F30" s="25"/>
      <c r="G30" s="25"/>
    </row>
    <row r="31" spans="1:7">
      <c r="A31" t="s">
        <v>196</v>
      </c>
      <c r="G31" s="25">
        <f>AVERAGE(G14:G28)</f>
        <v>5.7039999999999993E-2</v>
      </c>
    </row>
    <row r="32" spans="1:7">
      <c r="G32" s="17"/>
    </row>
    <row r="33" spans="1:7">
      <c r="A33" t="s">
        <v>198</v>
      </c>
      <c r="G33" s="25">
        <f>MEDIAN(G14:G28)</f>
        <v>5.96E-2</v>
      </c>
    </row>
    <row r="34" spans="1:7" ht="15.3" thickBot="1">
      <c r="A34" s="36"/>
      <c r="B34" s="36"/>
      <c r="C34" s="36"/>
      <c r="D34" s="36"/>
      <c r="E34" s="36"/>
      <c r="F34" s="36"/>
      <c r="G34" s="36"/>
    </row>
    <row r="35" spans="1:7" ht="15.3" thickTop="1"/>
    <row r="36" spans="1:7">
      <c r="A36" s="3" t="s">
        <v>289</v>
      </c>
    </row>
  </sheetData>
  <mergeCells count="2">
    <mergeCell ref="A5:G5"/>
    <mergeCell ref="A4:G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68"/>
  <sheetViews>
    <sheetView showOutlineSymbols="0" zoomScaleNormal="100" workbookViewId="0">
      <selection activeCell="A27" sqref="A27:J27"/>
    </sheetView>
  </sheetViews>
  <sheetFormatPr defaultColWidth="9.76953125" defaultRowHeight="15"/>
  <cols>
    <col min="1" max="1" width="27.54296875" style="11" customWidth="1"/>
    <col min="2" max="2" width="1.76953125" style="11" customWidth="1"/>
    <col min="3" max="4" width="12.76953125" style="11" customWidth="1"/>
    <col min="5" max="5" width="13.6796875" style="11" customWidth="1"/>
    <col min="6" max="6" width="12.76953125" style="11" customWidth="1"/>
    <col min="7" max="7" width="13.6796875" style="11" customWidth="1"/>
    <col min="8" max="8" width="11.86328125" style="11" customWidth="1"/>
    <col min="9" max="10" width="10.76953125" style="11" customWidth="1"/>
    <col min="11" max="16384" width="9.76953125" style="11"/>
  </cols>
  <sheetData>
    <row r="1" spans="1:10">
      <c r="A1" s="3"/>
      <c r="B1" s="3"/>
      <c r="C1" s="3"/>
      <c r="D1" s="3"/>
      <c r="E1" s="3"/>
      <c r="F1" s="3"/>
      <c r="G1" s="3"/>
      <c r="H1" s="3"/>
      <c r="I1" s="1" t="str">
        <f>+'DCP-9, P 3'!J1</f>
        <v>Exh. DCP-9</v>
      </c>
      <c r="J1" s="3"/>
    </row>
    <row r="2" spans="1:10">
      <c r="A2" s="3"/>
      <c r="B2" s="3"/>
      <c r="C2" s="3"/>
      <c r="D2" s="3"/>
      <c r="E2" s="3"/>
      <c r="F2" s="3"/>
      <c r="G2" s="3"/>
      <c r="H2" s="3"/>
      <c r="I2" s="1" t="s">
        <v>290</v>
      </c>
      <c r="J2" s="3"/>
    </row>
    <row r="3" spans="1:10">
      <c r="A3" s="3"/>
      <c r="B3" s="3"/>
      <c r="C3" s="3"/>
      <c r="D3" s="3"/>
      <c r="E3" s="3"/>
      <c r="F3" s="3"/>
      <c r="G3" s="3"/>
      <c r="H3" s="3"/>
      <c r="I3" s="1"/>
      <c r="J3" s="1"/>
    </row>
    <row r="4" spans="1:10">
      <c r="A4" s="3"/>
      <c r="B4" s="3"/>
      <c r="C4" s="3"/>
      <c r="D4" s="3"/>
      <c r="E4" s="3"/>
      <c r="F4" s="3"/>
      <c r="G4" s="3"/>
      <c r="H4" s="3"/>
      <c r="I4" s="3"/>
      <c r="J4" s="1"/>
    </row>
    <row r="5" spans="1:10" ht="20.100000000000001">
      <c r="A5" s="2" t="str">
        <f>'DCP-9, P 3'!A4</f>
        <v>PROXY COMPANIES</v>
      </c>
      <c r="B5" s="2"/>
      <c r="C5" s="2"/>
      <c r="D5" s="2"/>
      <c r="E5" s="2"/>
      <c r="F5" s="2"/>
      <c r="G5" s="2"/>
      <c r="H5" s="2"/>
      <c r="I5" s="2"/>
      <c r="J5" s="2"/>
    </row>
    <row r="6" spans="1:10" ht="20.100000000000001">
      <c r="A6" s="2" t="s">
        <v>291</v>
      </c>
      <c r="B6" s="2"/>
      <c r="C6" s="2"/>
      <c r="D6" s="2"/>
      <c r="E6" s="2"/>
      <c r="F6" s="2"/>
      <c r="G6" s="2"/>
      <c r="H6" s="2"/>
      <c r="I6" s="2"/>
      <c r="J6" s="2"/>
    </row>
    <row r="10" spans="1:10" ht="15.3" thickTop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>
      <c r="A11" s="1"/>
      <c r="B11" s="1"/>
      <c r="C11" s="1"/>
      <c r="D11" s="93" t="s">
        <v>292</v>
      </c>
      <c r="E11" s="93" t="s">
        <v>293</v>
      </c>
      <c r="F11" s="93" t="s">
        <v>292</v>
      </c>
      <c r="G11" s="93" t="s">
        <v>293</v>
      </c>
      <c r="H11" s="93" t="s">
        <v>294</v>
      </c>
      <c r="I11" s="1"/>
      <c r="J11" s="1"/>
    </row>
    <row r="12" spans="1:10">
      <c r="A12" s="1"/>
      <c r="B12" s="1"/>
      <c r="C12" s="93" t="s">
        <v>295</v>
      </c>
      <c r="D12" s="93" t="s">
        <v>296</v>
      </c>
      <c r="E12" s="93" t="s">
        <v>296</v>
      </c>
      <c r="F12" s="93" t="s">
        <v>297</v>
      </c>
      <c r="G12" s="93" t="s">
        <v>297</v>
      </c>
      <c r="H12" s="93" t="s">
        <v>279</v>
      </c>
      <c r="I12" s="93" t="s">
        <v>298</v>
      </c>
      <c r="J12" s="93" t="s">
        <v>299</v>
      </c>
    </row>
    <row r="13" spans="1:10">
      <c r="A13" s="93" t="str">
        <f>+'DCP-9, P 3'!A9</f>
        <v>COMPANY</v>
      </c>
      <c r="B13" s="1"/>
      <c r="C13" s="93" t="s">
        <v>269</v>
      </c>
      <c r="D13" s="93" t="s">
        <v>300</v>
      </c>
      <c r="E13" s="93" t="s">
        <v>300</v>
      </c>
      <c r="F13" s="93" t="s">
        <v>300</v>
      </c>
      <c r="G13" s="93" t="s">
        <v>300</v>
      </c>
      <c r="H13" s="93" t="s">
        <v>300</v>
      </c>
      <c r="I13" s="93" t="s">
        <v>300</v>
      </c>
      <c r="J13" s="93" t="s">
        <v>301</v>
      </c>
    </row>
    <row r="14" spans="1:10" ht="15.3" thickBot="1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3" thickTop="1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>
      <c r="A16" s="41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176" t="str">
        <f>+'DCP-9, P 3'!A12</f>
        <v>Parcell Proxy Group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41"/>
      <c r="B18" s="3"/>
      <c r="C18" s="5"/>
      <c r="D18" s="5"/>
      <c r="E18" s="5"/>
      <c r="F18" s="5"/>
      <c r="G18" s="5"/>
      <c r="H18" s="5"/>
      <c r="I18" s="5"/>
      <c r="J18" s="5"/>
    </row>
    <row r="19" spans="1:10">
      <c r="A19" s="41" t="str">
        <f>+'DCP-9, P 3'!A14</f>
        <v>ALLETE</v>
      </c>
      <c r="B19" s="3"/>
      <c r="C19" s="7">
        <f>+'DCP-9, P 1'!I15*(1+0.5*I19)</f>
        <v>4.6144950362893143E-2</v>
      </c>
      <c r="D19" s="5">
        <f>+'DCP-9, P 2'!H15</f>
        <v>2.2000000000000002E-2</v>
      </c>
      <c r="E19" s="5">
        <f>+'DCP-9, P 2'!L15</f>
        <v>2.8333333333333335E-2</v>
      </c>
      <c r="F19" s="5">
        <f>+'DCP-9, P 3'!F14</f>
        <v>2.3333333333333334E-2</v>
      </c>
      <c r="G19" s="5">
        <f>+'DCP-9, P 3'!K14</f>
        <v>4.3333333333333335E-2</v>
      </c>
      <c r="H19" s="7">
        <f>+'DCP-9, P 4'!G14</f>
        <v>8.1000000000000003E-2</v>
      </c>
      <c r="I19" s="5">
        <f>AVERAGE(D19:H19)</f>
        <v>3.9600000000000003E-2</v>
      </c>
      <c r="J19" s="5">
        <f>C19+I19</f>
        <v>8.5744950362893146E-2</v>
      </c>
    </row>
    <row r="20" spans="1:10">
      <c r="A20" s="41" t="str">
        <f>+'DCP-9, P 3'!A15</f>
        <v>Alliant Energy Corp</v>
      </c>
      <c r="B20" s="3"/>
      <c r="C20" s="7">
        <f>+'DCP-9, P 1'!I16*(1+0.5*I20)</f>
        <v>3.4978312370940498E-2</v>
      </c>
      <c r="D20" s="5">
        <f>+'DCP-9, P 2'!H16</f>
        <v>4.24E-2</v>
      </c>
      <c r="E20" s="5">
        <f>+'DCP-9, P 2'!L16</f>
        <v>4.3333333333333335E-2</v>
      </c>
      <c r="F20" s="5">
        <f>+'DCP-9, P 3'!F15</f>
        <v>7.166666666666667E-2</v>
      </c>
      <c r="G20" s="5">
        <f>+'DCP-9, P 3'!K15</f>
        <v>5.8333333333333327E-2</v>
      </c>
      <c r="H20" s="7">
        <f>+'DCP-9, P 4'!G15</f>
        <v>6.7349999999999993E-2</v>
      </c>
      <c r="I20" s="5">
        <f>AVERAGE(D20:H20)</f>
        <v>5.6616666666666662E-2</v>
      </c>
      <c r="J20" s="5">
        <f>C20+I20</f>
        <v>9.159497903760716E-2</v>
      </c>
    </row>
    <row r="21" spans="1:10">
      <c r="A21" s="41" t="str">
        <f>+'DCP-9, P 3'!A16</f>
        <v>Ameren Corp</v>
      </c>
      <c r="B21" s="3"/>
      <c r="C21" s="7">
        <f>+'DCP-9, P 1'!I17*(1+0.5*I21)</f>
        <v>3.0352857142857143E-2</v>
      </c>
      <c r="D21" s="5">
        <f>+'DCP-9, P 2'!H17</f>
        <v>4.4399999999999995E-2</v>
      </c>
      <c r="E21" s="5">
        <f>+'DCP-9, P 2'!L17</f>
        <v>4.6666666666666669E-2</v>
      </c>
      <c r="F21" s="5">
        <f>+'DCP-9, P 3'!F16</f>
        <v>5.1666666666666673E-2</v>
      </c>
      <c r="G21" s="5">
        <f>+'DCP-9, P 3'!K16</f>
        <v>6.5000000000000002E-2</v>
      </c>
      <c r="H21" s="7">
        <f>+'DCP-9, P 4'!G16</f>
        <v>6.1649999999999996E-2</v>
      </c>
      <c r="I21" s="5">
        <f t="shared" ref="I21:I33" si="0">AVERAGE(D21:H21)</f>
        <v>5.3876666666666663E-2</v>
      </c>
      <c r="J21" s="5">
        <f t="shared" ref="J21:J33" si="1">C21+I21</f>
        <v>8.422952380952381E-2</v>
      </c>
    </row>
    <row r="22" spans="1:10">
      <c r="A22" s="41" t="str">
        <f>+'DCP-9, P 3'!A17</f>
        <v>Avista Corp</v>
      </c>
      <c r="B22" s="3"/>
      <c r="C22" s="7">
        <f>+'DCP-9, P 1'!I18*(1+0.5*I22)</f>
        <v>4.6353349834983494E-2</v>
      </c>
      <c r="D22" s="5">
        <f>+'DCP-9, P 2'!H18</f>
        <v>2.0999999999999998E-2</v>
      </c>
      <c r="E22" s="5">
        <f>+'DCP-9, P 2'!L18</f>
        <v>0.02</v>
      </c>
      <c r="F22" s="5">
        <f>+'DCP-9, P 3'!F17</f>
        <v>2.6666666666666668E-2</v>
      </c>
      <c r="G22" s="5">
        <f>+'DCP-9, P 3'!K17</f>
        <v>4.6666666666666669E-2</v>
      </c>
      <c r="H22" s="7">
        <f>+'DCP-9, P 4'!G17</f>
        <v>6.3250000000000001E-2</v>
      </c>
      <c r="I22" s="5">
        <f t="shared" si="0"/>
        <v>3.5516666666666669E-2</v>
      </c>
      <c r="J22" s="5">
        <f t="shared" si="1"/>
        <v>8.1870016501650156E-2</v>
      </c>
    </row>
    <row r="23" spans="1:10">
      <c r="A23" s="41" t="str">
        <f>+'DCP-9, P 3'!A18</f>
        <v>Black Hills Corp</v>
      </c>
      <c r="B23" s="3"/>
      <c r="C23" s="7">
        <f>+'DCP-9, P 1'!I19*(1+0.5*I23)</f>
        <v>4.1266450916936363E-2</v>
      </c>
      <c r="D23" s="5">
        <f>+'DCP-9, P 2'!H19</f>
        <v>3.6400000000000002E-2</v>
      </c>
      <c r="E23" s="5">
        <f>+'DCP-9, P 2'!L19</f>
        <v>2.5000000000000005E-2</v>
      </c>
      <c r="F23" s="5">
        <f>+'DCP-9, P 3'!F18</f>
        <v>6.3333333333333339E-2</v>
      </c>
      <c r="G23" s="5">
        <f>+'DCP-9, P 3'!K18</f>
        <v>3.833333333333333E-2</v>
      </c>
      <c r="H23" s="7">
        <f>+'DCP-9, P 4'!G18</f>
        <v>3.7999999999999999E-2</v>
      </c>
      <c r="I23" s="5">
        <f t="shared" si="0"/>
        <v>4.0213333333333337E-2</v>
      </c>
      <c r="J23" s="5">
        <f t="shared" si="1"/>
        <v>8.1479784250269693E-2</v>
      </c>
    </row>
    <row r="24" spans="1:10">
      <c r="A24" s="41" t="str">
        <f>+'DCP-9, P 3'!A19</f>
        <v>Evergy, Inc.</v>
      </c>
      <c r="B24" s="3"/>
      <c r="C24" s="7">
        <f>+'DCP-9, P 1'!I20*(1+0.5*I24)</f>
        <v>4.1665998638661994E-2</v>
      </c>
      <c r="D24" s="5">
        <f>+'DCP-9, P 2'!H20</f>
        <v>2.4E-2</v>
      </c>
      <c r="E24" s="5">
        <f>+'DCP-9, P 2'!L20</f>
        <v>3.1666666666666669E-2</v>
      </c>
      <c r="F24" s="5"/>
      <c r="G24" s="5">
        <f>+'DCP-9, P 3'!K19</f>
        <v>6.0000000000000005E-2</v>
      </c>
      <c r="H24" s="7">
        <f>+'DCP-9, P 4'!G19</f>
        <v>3.9449999999999999E-2</v>
      </c>
      <c r="I24" s="5">
        <f t="shared" si="0"/>
        <v>3.877916666666667E-2</v>
      </c>
      <c r="J24" s="5">
        <f t="shared" si="1"/>
        <v>8.0445165305328664E-2</v>
      </c>
    </row>
    <row r="25" spans="1:10">
      <c r="A25" s="41" t="str">
        <f>+'DCP-9, P 3'!A20</f>
        <v>Eversource Energy</v>
      </c>
      <c r="B25" s="3"/>
      <c r="C25" s="7">
        <f>+'DCP-9, P 1'!I21*(1+0.5*I25)</f>
        <v>3.7795697602950221E-2</v>
      </c>
      <c r="D25" s="5">
        <f>+'DCP-9, P 2'!H21</f>
        <v>3.5400000000000001E-2</v>
      </c>
      <c r="E25" s="5">
        <f>+'DCP-9, P 2'!L21</f>
        <v>3.6666666666666674E-2</v>
      </c>
      <c r="F25" s="5">
        <f>+'DCP-9, P 3'!F20</f>
        <v>5.3333333333333323E-2</v>
      </c>
      <c r="G25" s="5">
        <f>+'DCP-9, P 3'!K20</f>
        <v>5.8333333333333327E-2</v>
      </c>
      <c r="H25" s="7">
        <f>+'DCP-9, P 4'!G20</f>
        <v>6.5200000000000008E-2</v>
      </c>
      <c r="I25" s="5">
        <f t="shared" si="0"/>
        <v>4.978666666666666E-2</v>
      </c>
      <c r="J25" s="5">
        <f t="shared" si="1"/>
        <v>8.758236426961688E-2</v>
      </c>
    </row>
    <row r="26" spans="1:10">
      <c r="A26" s="41" t="str">
        <f>+'DCP-9, P 3'!A21</f>
        <v>Fortis, Inc.</v>
      </c>
      <c r="B26" s="3"/>
      <c r="C26" s="7">
        <f>+'DCP-9, P 1'!I22*(1+0.5*I26)</f>
        <v>3.9119744612928962E-2</v>
      </c>
      <c r="D26" s="5">
        <f>+'DCP-9, P 2'!H22</f>
        <v>3.5200000000000002E-2</v>
      </c>
      <c r="E26" s="5">
        <f>+'DCP-9, P 2'!L22</f>
        <v>3.6666666666666674E-2</v>
      </c>
      <c r="F26" s="5">
        <f>+'DCP-9, P 3'!F21</f>
        <v>4.1666666666666664E-2</v>
      </c>
      <c r="G26" s="5">
        <f>+'DCP-9, P 3'!K21</f>
        <v>4.9999999999999996E-2</v>
      </c>
      <c r="H26" s="7">
        <f>+'DCP-9, P 4'!G21</f>
        <v>4.8350000000000004E-2</v>
      </c>
      <c r="I26" s="5">
        <f t="shared" ref="I26" si="2">AVERAGE(D26:H26)</f>
        <v>4.2376666666666667E-2</v>
      </c>
      <c r="J26" s="5">
        <f t="shared" ref="J26" si="3">C26+I26</f>
        <v>8.1496411279595629E-2</v>
      </c>
    </row>
    <row r="27" spans="1:10">
      <c r="A27" s="41" t="str">
        <f>+'DCP-9, P 3'!A22</f>
        <v>IDACORP</v>
      </c>
      <c r="B27" s="3"/>
      <c r="C27" s="7">
        <f>+'DCP-9, P 1'!I23*(1+0.5*I27)</f>
        <v>3.0204494781672669E-2</v>
      </c>
      <c r="D27" s="5">
        <f>+'DCP-9, P 2'!H23</f>
        <v>3.9800000000000002E-2</v>
      </c>
      <c r="E27" s="5">
        <f>+'DCP-9, P 2'!L23</f>
        <v>3.5000000000000003E-2</v>
      </c>
      <c r="F27" s="5">
        <f>+'DCP-9, P 3'!F22</f>
        <v>5.000000000000001E-2</v>
      </c>
      <c r="G27" s="5">
        <f>+'DCP-9, P 3'!K22</f>
        <v>4.9999999999999996E-2</v>
      </c>
      <c r="H27" s="7">
        <f>+'DCP-9, P 4'!G22</f>
        <v>3.6900000000000002E-2</v>
      </c>
      <c r="I27" s="5">
        <f t="shared" si="0"/>
        <v>4.2340000000000003E-2</v>
      </c>
      <c r="J27" s="5">
        <f t="shared" si="1"/>
        <v>7.2544494781672672E-2</v>
      </c>
    </row>
    <row r="28" spans="1:10">
      <c r="A28" s="41" t="str">
        <f>+'DCP-9, P 3'!A23</f>
        <v>Northwestern Corp</v>
      </c>
      <c r="B28" s="3"/>
      <c r="C28" s="7">
        <f>+'DCP-9, P 1'!I24*(1+0.5*I28)</f>
        <v>4.519322442358939E-2</v>
      </c>
      <c r="D28" s="5">
        <f>+'DCP-9, P 2'!H24</f>
        <v>2.4600000000000004E-2</v>
      </c>
      <c r="E28" s="5">
        <f>+'DCP-9, P 2'!L24</f>
        <v>2.1666666666666667E-2</v>
      </c>
      <c r="F28" s="5">
        <f>+'DCP-9, P 3'!F23</f>
        <v>3.1666666666666669E-2</v>
      </c>
      <c r="G28" s="5">
        <f>+'DCP-9, P 3'!K23</f>
        <v>3.0000000000000002E-2</v>
      </c>
      <c r="H28" s="7">
        <f>+'DCP-9, P 4'!G23</f>
        <v>4.9949999999999994E-2</v>
      </c>
      <c r="I28" s="5">
        <f t="shared" si="0"/>
        <v>3.1576666666666663E-2</v>
      </c>
      <c r="J28" s="5">
        <f t="shared" si="1"/>
        <v>7.6769891090256059E-2</v>
      </c>
    </row>
    <row r="29" spans="1:10">
      <c r="A29" s="41" t="str">
        <f>+'DCP-9, P 3'!A24</f>
        <v>OGE Energy</v>
      </c>
      <c r="B29" s="3"/>
      <c r="C29" s="7">
        <f>+'DCP-9, P 1'!I25*(1+0.5*I29)</f>
        <v>4.6565479482236292E-2</v>
      </c>
      <c r="D29" s="5">
        <f>+'DCP-9, P 2'!H25</f>
        <v>3.3599999999999998E-2</v>
      </c>
      <c r="E29" s="5">
        <f>+'DCP-9, P 2'!L25</f>
        <v>4.8333333333333332E-2</v>
      </c>
      <c r="F29" s="5">
        <f>+'DCP-9, P 3'!F24</f>
        <v>4.1666666666666664E-2</v>
      </c>
      <c r="G29" s="5">
        <f>+'DCP-9, P 3'!K24</f>
        <v>4.9999999999999996E-2</v>
      </c>
      <c r="H29" s="7">
        <f>+'DCP-9, P 4'!G24</f>
        <v>3.6499999999999998E-2</v>
      </c>
      <c r="I29" s="5">
        <f t="shared" si="0"/>
        <v>4.2019999999999995E-2</v>
      </c>
      <c r="J29" s="5">
        <f t="shared" si="1"/>
        <v>8.8585479482236287E-2</v>
      </c>
    </row>
    <row r="30" spans="1:10">
      <c r="A30" s="41" t="str">
        <f>+'DCP-9, P 3'!A25</f>
        <v>Otter Tail Corp</v>
      </c>
      <c r="B30" s="3"/>
      <c r="C30" s="7">
        <f>+'DCP-9, P 1'!I26*(1+0.5*I30)</f>
        <v>2.3212163228814101E-2</v>
      </c>
      <c r="D30" s="5">
        <f>+'DCP-9, P 2'!H26</f>
        <v>7.1599999999999997E-2</v>
      </c>
      <c r="E30" s="5">
        <f>+'DCP-9, P 2'!L26</f>
        <v>6.5000000000000002E-2</v>
      </c>
      <c r="F30" s="5">
        <f>+'DCP-9, P 3'!F25</f>
        <v>8.1666666666666665E-2</v>
      </c>
      <c r="G30" s="5">
        <f>+'DCP-9, P 3'!K25</f>
        <v>6.5000000000000002E-2</v>
      </c>
      <c r="H30" s="7">
        <f>+'DCP-9, P 4'!G25</f>
        <v>0.09</v>
      </c>
      <c r="I30" s="5">
        <f t="shared" si="0"/>
        <v>7.4653333333333322E-2</v>
      </c>
      <c r="J30" s="5">
        <f t="shared" si="1"/>
        <v>9.7865496562147422E-2</v>
      </c>
    </row>
    <row r="31" spans="1:10">
      <c r="A31" s="41" t="str">
        <f>+'DCP-9, P 3'!A26</f>
        <v>Pinnacle West Capital Corp</v>
      </c>
      <c r="B31" s="3"/>
      <c r="C31" s="7">
        <f>+'DCP-9, P 1'!I27*(1+0.5*I31)</f>
        <v>4.3766790453124677E-2</v>
      </c>
      <c r="D31" s="5">
        <f>+'DCP-9, P 2'!H27</f>
        <v>3.4199999999999994E-2</v>
      </c>
      <c r="E31" s="5">
        <f>+'DCP-9, P 2'!L27</f>
        <v>0.02</v>
      </c>
      <c r="F31" s="5">
        <f>+'DCP-9, P 3'!F26</f>
        <v>4.3333333333333335E-2</v>
      </c>
      <c r="G31" s="5">
        <f>+'DCP-9, P 3'!K26</f>
        <v>2.4999999999999998E-2</v>
      </c>
      <c r="H31" s="7">
        <f>+'DCP-9, P 4'!G26</f>
        <v>6.2100000000000002E-2</v>
      </c>
      <c r="I31" s="5">
        <f t="shared" si="0"/>
        <v>3.6926666666666663E-2</v>
      </c>
      <c r="J31" s="5">
        <f t="shared" si="1"/>
        <v>8.069345711979134E-2</v>
      </c>
    </row>
    <row r="32" spans="1:10">
      <c r="A32" s="41" t="str">
        <f>+'DCP-9, P 3'!A27</f>
        <v>Portland General Electric</v>
      </c>
      <c r="B32" s="3"/>
      <c r="C32" s="7">
        <f>+'DCP-9, P 1'!I28*(1+0.5*I32)</f>
        <v>3.9861383699445696E-2</v>
      </c>
      <c r="D32" s="5">
        <f>+'DCP-9, P 2'!H28</f>
        <v>3.4600000000000006E-2</v>
      </c>
      <c r="E32" s="5">
        <f>+'DCP-9, P 2'!L28</f>
        <v>0.03</v>
      </c>
      <c r="F32" s="5">
        <f>+'DCP-9, P 3'!F27</f>
        <v>4.6666666666666669E-2</v>
      </c>
      <c r="G32" s="5">
        <f>+'DCP-9, P 3'!K27</f>
        <v>4.8333333333333339E-2</v>
      </c>
      <c r="H32" s="7">
        <f>+'DCP-9, P 4'!G27</f>
        <v>5.96E-2</v>
      </c>
      <c r="I32" s="5">
        <f t="shared" si="0"/>
        <v>4.3840000000000004E-2</v>
      </c>
      <c r="J32" s="5">
        <f t="shared" si="1"/>
        <v>8.37013836994457E-2</v>
      </c>
    </row>
    <row r="33" spans="1:10">
      <c r="A33" s="41" t="str">
        <f>+'DCP-9, P 3'!A28</f>
        <v>WEC Energy Group</v>
      </c>
      <c r="B33" s="3"/>
      <c r="C33" s="7">
        <f>+'DCP-9, P 1'!I29*(1+0.5*I33)</f>
        <v>3.5016218110150009E-2</v>
      </c>
      <c r="D33" s="5">
        <f>+'DCP-9, P 2'!H29</f>
        <v>3.8800000000000001E-2</v>
      </c>
      <c r="E33" s="5">
        <f>+'DCP-9, P 2'!L29</f>
        <v>4.1666666666666664E-2</v>
      </c>
      <c r="F33" s="5">
        <f>+'DCP-9, P 3'!F28</f>
        <v>5.6666666666666671E-2</v>
      </c>
      <c r="G33" s="5">
        <f>+'DCP-9, P 3'!K28</f>
        <v>5.6666666666666671E-2</v>
      </c>
      <c r="H33" s="7">
        <f>+'DCP-9, P 4'!G28</f>
        <v>5.6300000000000003E-2</v>
      </c>
      <c r="I33" s="5">
        <f t="shared" si="0"/>
        <v>5.0019999999999995E-2</v>
      </c>
      <c r="J33" s="5">
        <f t="shared" si="1"/>
        <v>8.5036218110149997E-2</v>
      </c>
    </row>
    <row r="34" spans="1:10">
      <c r="A34" s="177"/>
      <c r="B34" s="38"/>
      <c r="C34" s="19"/>
      <c r="D34" s="19"/>
      <c r="E34" s="19"/>
      <c r="F34" s="19"/>
      <c r="G34" s="19"/>
      <c r="H34" s="26"/>
      <c r="I34" s="19"/>
      <c r="J34" s="19"/>
    </row>
    <row r="35" spans="1:10">
      <c r="A35" s="41"/>
      <c r="B35" s="3"/>
      <c r="C35" s="5"/>
      <c r="D35" s="5"/>
      <c r="E35" s="5"/>
      <c r="F35" s="5"/>
      <c r="G35" s="5"/>
      <c r="H35" s="7"/>
      <c r="I35" s="5"/>
      <c r="J35" s="5"/>
    </row>
    <row r="36" spans="1:10">
      <c r="A36" s="41" t="s">
        <v>302</v>
      </c>
      <c r="B36" s="3"/>
      <c r="C36" s="5">
        <f t="shared" ref="C36:J36" si="4">AVERAGE(C19:C33)</f>
        <v>3.8766474377478974E-2</v>
      </c>
      <c r="D36" s="5">
        <f t="shared" si="4"/>
        <v>3.5866666666666672E-2</v>
      </c>
      <c r="E36" s="5">
        <f t="shared" si="4"/>
        <v>3.5333333333333335E-2</v>
      </c>
      <c r="F36" s="5">
        <f t="shared" si="4"/>
        <v>4.880952380952381E-2</v>
      </c>
      <c r="G36" s="5">
        <f t="shared" si="4"/>
        <v>4.9666666666666665E-2</v>
      </c>
      <c r="H36" s="5">
        <f t="shared" si="4"/>
        <v>5.7039999999999993E-2</v>
      </c>
      <c r="I36" s="5">
        <f t="shared" si="4"/>
        <v>4.5209499999999993E-2</v>
      </c>
      <c r="J36" s="13">
        <f t="shared" si="4"/>
        <v>8.3975974377478987E-2</v>
      </c>
    </row>
    <row r="37" spans="1:10">
      <c r="A37" s="177"/>
      <c r="B37" s="38"/>
      <c r="C37" s="19"/>
      <c r="D37" s="19"/>
      <c r="E37" s="19"/>
      <c r="F37" s="19"/>
      <c r="G37" s="19"/>
      <c r="H37" s="19"/>
      <c r="I37" s="19"/>
      <c r="J37" s="56"/>
    </row>
    <row r="38" spans="1:10">
      <c r="A38" s="41"/>
      <c r="B38" s="3"/>
      <c r="C38" s="5"/>
      <c r="D38" s="5"/>
      <c r="E38" s="5"/>
      <c r="F38" s="5"/>
      <c r="G38" s="5"/>
      <c r="H38" s="5"/>
      <c r="I38" s="5"/>
      <c r="J38" s="13"/>
    </row>
    <row r="39" spans="1:10">
      <c r="A39" s="41" t="s">
        <v>198</v>
      </c>
      <c r="B39" s="3"/>
      <c r="C39" s="5">
        <f t="shared" ref="C39:J39" si="5">MEDIAN(C19:C33)</f>
        <v>3.9861383699445696E-2</v>
      </c>
      <c r="D39" s="5">
        <f t="shared" si="5"/>
        <v>3.5200000000000002E-2</v>
      </c>
      <c r="E39" s="5">
        <f t="shared" si="5"/>
        <v>3.5000000000000003E-2</v>
      </c>
      <c r="F39" s="5">
        <f t="shared" si="5"/>
        <v>4.8333333333333339E-2</v>
      </c>
      <c r="G39" s="5">
        <f t="shared" si="5"/>
        <v>4.9999999999999996E-2</v>
      </c>
      <c r="H39" s="5">
        <f t="shared" si="5"/>
        <v>5.96E-2</v>
      </c>
      <c r="I39" s="5">
        <f t="shared" si="5"/>
        <v>4.2340000000000003E-2</v>
      </c>
      <c r="J39" s="13">
        <f t="shared" si="5"/>
        <v>8.37013836994457E-2</v>
      </c>
    </row>
    <row r="40" spans="1:10">
      <c r="A40" s="177"/>
      <c r="B40" s="38"/>
      <c r="C40" s="19"/>
      <c r="D40" s="19"/>
      <c r="E40" s="19"/>
      <c r="F40" s="19"/>
      <c r="G40" s="19"/>
      <c r="H40" s="26"/>
      <c r="I40" s="19"/>
      <c r="J40" s="19"/>
    </row>
    <row r="41" spans="1:10">
      <c r="A41" s="41"/>
      <c r="B41" s="3"/>
      <c r="C41" s="5"/>
      <c r="D41" s="5"/>
      <c r="E41" s="5"/>
      <c r="F41" s="5"/>
      <c r="G41" s="5"/>
      <c r="H41" s="7"/>
      <c r="I41" s="5"/>
      <c r="J41" s="5"/>
    </row>
    <row r="42" spans="1:10">
      <c r="A42" s="41" t="s">
        <v>303</v>
      </c>
      <c r="B42" s="3"/>
      <c r="C42" s="5"/>
      <c r="D42" s="5">
        <f>+C36+D36</f>
        <v>7.4633141044145646E-2</v>
      </c>
      <c r="E42" s="13">
        <f>+C36+E36</f>
        <v>7.4099807710812315E-2</v>
      </c>
      <c r="F42" s="5">
        <f>+C36+F36</f>
        <v>8.757599818700279E-2</v>
      </c>
      <c r="G42" s="5">
        <f>+C36+G36</f>
        <v>8.8433141044145638E-2</v>
      </c>
      <c r="H42" s="13">
        <f>+C36+H36</f>
        <v>9.5806474377478967E-2</v>
      </c>
      <c r="I42" s="5">
        <f>+C36+I36</f>
        <v>8.3975974377478974E-2</v>
      </c>
      <c r="J42" s="5"/>
    </row>
    <row r="43" spans="1:10">
      <c r="A43" s="177"/>
      <c r="B43" s="38"/>
      <c r="C43" s="19"/>
      <c r="D43" s="19"/>
      <c r="E43" s="19"/>
      <c r="F43" s="56"/>
      <c r="G43" s="19"/>
      <c r="H43" s="19"/>
      <c r="I43" s="19"/>
      <c r="J43" s="19"/>
    </row>
    <row r="44" spans="1:10">
      <c r="A44" s="41"/>
      <c r="B44" s="3"/>
      <c r="C44" s="5"/>
      <c r="D44" s="5"/>
      <c r="E44" s="5"/>
      <c r="F44" s="13"/>
      <c r="G44" s="5"/>
      <c r="H44" s="5"/>
      <c r="I44" s="5"/>
      <c r="J44" s="5"/>
    </row>
    <row r="45" spans="1:10">
      <c r="A45" s="41" t="s">
        <v>304</v>
      </c>
      <c r="B45" s="3"/>
      <c r="C45" s="5"/>
      <c r="D45" s="13">
        <f>+C39+D39</f>
        <v>7.5061383699445705E-2</v>
      </c>
      <c r="E45" s="5">
        <f>+C39+E39</f>
        <v>7.4861383699445699E-2</v>
      </c>
      <c r="F45" s="5">
        <f>+C39+F39</f>
        <v>8.8194717032779035E-2</v>
      </c>
      <c r="G45" s="5">
        <f>+C39+G39</f>
        <v>8.9861383699445685E-2</v>
      </c>
      <c r="H45" s="13">
        <f>+C39+H39</f>
        <v>9.9461383699445696E-2</v>
      </c>
      <c r="I45" s="5">
        <f>+C39+I39</f>
        <v>8.2201383699445699E-2</v>
      </c>
      <c r="J45" s="5"/>
    </row>
    <row r="46" spans="1:10" ht="15.3" thickBot="1">
      <c r="A46" s="178"/>
      <c r="B46" s="92"/>
      <c r="C46" s="21"/>
      <c r="D46" s="21"/>
      <c r="E46" s="21"/>
      <c r="F46" s="21"/>
      <c r="G46" s="21"/>
      <c r="H46" s="28"/>
      <c r="I46" s="21"/>
      <c r="J46" s="21"/>
    </row>
    <row r="47" spans="1:10" ht="15.3" thickTop="1">
      <c r="A47" s="41"/>
      <c r="B47" s="3"/>
      <c r="C47" s="5"/>
      <c r="D47" s="5"/>
      <c r="E47" s="5"/>
      <c r="F47" s="5"/>
      <c r="G47" s="5"/>
      <c r="H47" s="7"/>
      <c r="I47" s="5"/>
      <c r="J47" s="5"/>
    </row>
    <row r="48" spans="1:10">
      <c r="A48" s="41"/>
      <c r="B48" s="3"/>
      <c r="C48" s="5"/>
      <c r="D48" s="5"/>
      <c r="E48" s="5"/>
      <c r="F48" s="5"/>
      <c r="G48" s="5"/>
      <c r="H48" s="5"/>
      <c r="I48" s="5"/>
      <c r="J48" s="5"/>
    </row>
    <row r="49" spans="1:10">
      <c r="A49" s="41" t="s">
        <v>305</v>
      </c>
      <c r="B49" s="3"/>
      <c r="C49" s="5"/>
      <c r="D49" s="5"/>
      <c r="E49" s="5"/>
      <c r="F49" s="5"/>
      <c r="G49" s="5"/>
      <c r="H49" s="5"/>
      <c r="I49" s="5"/>
      <c r="J49" s="5"/>
    </row>
    <row r="50" spans="1:10">
      <c r="A50" s="41"/>
      <c r="B50" s="3"/>
      <c r="C50" s="5"/>
      <c r="D50" s="5"/>
      <c r="E50" s="5"/>
      <c r="F50" s="5"/>
      <c r="G50" s="5"/>
      <c r="H50" s="5"/>
      <c r="I50" s="5"/>
      <c r="J50" s="5"/>
    </row>
    <row r="51" spans="1:10">
      <c r="A51" s="3" t="s">
        <v>306</v>
      </c>
      <c r="B51" s="3"/>
      <c r="C51" s="5"/>
      <c r="D51" s="5"/>
      <c r="E51" s="5"/>
      <c r="F51" s="5"/>
      <c r="G51" s="5"/>
      <c r="H51" s="5"/>
      <c r="I51" s="5"/>
      <c r="J51" s="5"/>
    </row>
    <row r="52" spans="1:10">
      <c r="A52" s="3"/>
      <c r="B52" s="3"/>
      <c r="C52" s="5"/>
      <c r="D52" s="5"/>
      <c r="E52" s="5"/>
      <c r="F52" s="5"/>
      <c r="G52" s="5"/>
      <c r="H52" s="5"/>
      <c r="I52" s="5"/>
      <c r="J52" s="5"/>
    </row>
    <row r="53" spans="1:10">
      <c r="A53" s="3"/>
      <c r="B53" s="3"/>
      <c r="C53" s="5"/>
      <c r="D53" s="5"/>
      <c r="E53" s="5"/>
      <c r="F53" s="5"/>
      <c r="G53" s="5"/>
      <c r="H53" s="5"/>
      <c r="I53" s="5"/>
      <c r="J53" s="5"/>
    </row>
    <row r="54" spans="1:10">
      <c r="A54" s="3"/>
      <c r="B54" s="3"/>
      <c r="C54" s="5"/>
      <c r="D54" s="5"/>
      <c r="E54" s="5"/>
      <c r="F54" s="5"/>
      <c r="G54" s="5"/>
      <c r="H54" s="5"/>
      <c r="I54" s="5"/>
      <c r="J54" s="5"/>
    </row>
    <row r="55" spans="1:10">
      <c r="A55" s="3"/>
      <c r="B55" s="3"/>
      <c r="C55" s="5"/>
      <c r="D55" s="5"/>
      <c r="E55" s="5"/>
      <c r="F55" s="5"/>
      <c r="G55" s="5"/>
      <c r="H55" s="5"/>
      <c r="I55" s="5"/>
      <c r="J55" s="5"/>
    </row>
    <row r="56" spans="1:10">
      <c r="A56" s="3"/>
      <c r="B56" s="3"/>
      <c r="C56" s="5"/>
      <c r="D56" s="5"/>
      <c r="E56" s="5"/>
      <c r="F56" s="5"/>
      <c r="G56" s="5"/>
      <c r="H56" s="5"/>
      <c r="I56" s="5"/>
      <c r="J56" s="5"/>
    </row>
    <row r="57" spans="1:10">
      <c r="A57" s="3"/>
      <c r="B57" s="3"/>
      <c r="C57" s="5"/>
      <c r="D57" s="5"/>
      <c r="E57" s="5"/>
      <c r="F57" s="5"/>
      <c r="G57" s="5"/>
      <c r="H57" s="5"/>
      <c r="I57" s="5"/>
      <c r="J57" s="5"/>
    </row>
    <row r="58" spans="1:10">
      <c r="A58" s="3"/>
      <c r="B58" s="3"/>
      <c r="C58" s="5"/>
      <c r="D58" s="5"/>
      <c r="E58" s="5"/>
      <c r="F58" s="5"/>
      <c r="G58" s="5"/>
      <c r="H58" s="5"/>
      <c r="I58" s="5"/>
      <c r="J58" s="5"/>
    </row>
    <row r="59" spans="1:10">
      <c r="A59" s="3"/>
      <c r="B59" s="3"/>
      <c r="C59" s="5"/>
      <c r="D59" s="5"/>
      <c r="E59" s="5"/>
      <c r="F59" s="5"/>
      <c r="G59" s="5"/>
      <c r="H59" s="5"/>
      <c r="I59" s="5"/>
      <c r="J59" s="5"/>
    </row>
    <row r="60" spans="1:10">
      <c r="A60" s="3"/>
      <c r="B60" s="3"/>
      <c r="C60" s="5"/>
      <c r="D60" s="5"/>
      <c r="E60" s="5"/>
      <c r="F60" s="5"/>
      <c r="G60" s="5"/>
      <c r="H60" s="5"/>
      <c r="I60" s="5"/>
      <c r="J60" s="5"/>
    </row>
    <row r="61" spans="1:10">
      <c r="A61" s="3"/>
      <c r="B61" s="3"/>
      <c r="C61" s="5"/>
      <c r="D61" s="5"/>
      <c r="E61" s="5"/>
      <c r="F61" s="5"/>
      <c r="G61" s="5"/>
      <c r="H61" s="5"/>
      <c r="I61" s="5"/>
      <c r="J61" s="5"/>
    </row>
    <row r="62" spans="1:10">
      <c r="A62" s="3"/>
      <c r="B62" s="3"/>
      <c r="C62" s="5"/>
      <c r="D62" s="5"/>
      <c r="E62" s="5"/>
      <c r="F62" s="5"/>
      <c r="G62" s="5"/>
      <c r="H62" s="5"/>
      <c r="I62" s="5"/>
      <c r="J62" s="5"/>
    </row>
    <row r="63" spans="1:10">
      <c r="A63" s="3"/>
      <c r="B63" s="3"/>
      <c r="C63" s="5"/>
      <c r="D63" s="5"/>
      <c r="E63" s="5"/>
      <c r="F63" s="5"/>
      <c r="G63" s="5"/>
      <c r="H63" s="5"/>
      <c r="I63" s="5"/>
      <c r="J63" s="5"/>
    </row>
    <row r="64" spans="1:10">
      <c r="A64" s="3"/>
      <c r="B64" s="3"/>
      <c r="C64" s="5"/>
      <c r="D64" s="5"/>
      <c r="E64" s="5"/>
      <c r="F64" s="5"/>
      <c r="G64" s="5"/>
      <c r="H64" s="5"/>
      <c r="I64" s="5"/>
      <c r="J64" s="5"/>
    </row>
    <row r="65" spans="3:10">
      <c r="C65" s="5"/>
      <c r="D65" s="5"/>
      <c r="E65" s="5"/>
      <c r="F65" s="5"/>
      <c r="G65" s="5"/>
      <c r="H65" s="5"/>
      <c r="I65" s="5"/>
      <c r="J65" s="5"/>
    </row>
    <row r="66" spans="3:10">
      <c r="C66" s="5"/>
      <c r="D66" s="5"/>
      <c r="E66" s="5"/>
      <c r="F66" s="5"/>
      <c r="G66" s="5"/>
      <c r="H66" s="5"/>
      <c r="I66" s="5"/>
      <c r="J66" s="5"/>
    </row>
    <row r="67" spans="3:10">
      <c r="C67" s="5"/>
      <c r="D67" s="5"/>
      <c r="E67" s="5"/>
      <c r="F67" s="5"/>
      <c r="G67" s="5"/>
      <c r="H67" s="5"/>
      <c r="I67" s="5"/>
      <c r="J67" s="5"/>
    </row>
    <row r="68" spans="3:10">
      <c r="C68" s="5"/>
      <c r="D68" s="5"/>
      <c r="E68" s="5"/>
      <c r="F68" s="5"/>
      <c r="G68" s="5"/>
      <c r="H68" s="5"/>
      <c r="I68" s="5"/>
      <c r="J68" s="5"/>
    </row>
  </sheetData>
  <phoneticPr fontId="0" type="noConversion"/>
  <printOptions horizontalCentered="1"/>
  <pageMargins left="0.5" right="0.5" top="0.5" bottom="0.55000000000000004" header="0" footer="0"/>
  <pageSetup scale="6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65"/>
  <sheetViews>
    <sheetView showOutlineSymbols="0" zoomScaleNormal="87" workbookViewId="0">
      <selection activeCell="H1" sqref="H1"/>
    </sheetView>
  </sheetViews>
  <sheetFormatPr defaultColWidth="9.76953125" defaultRowHeight="15"/>
  <cols>
    <col min="1" max="1" width="9.76953125" style="3" customWidth="1"/>
    <col min="2" max="2" width="5.76953125" style="3" customWidth="1"/>
    <col min="3" max="3" width="9.76953125" style="3" customWidth="1"/>
    <col min="4" max="4" width="5.76953125" style="3" customWidth="1"/>
    <col min="5" max="5" width="9.76953125" style="3" customWidth="1"/>
    <col min="6" max="6" width="5.76953125" style="3" customWidth="1"/>
    <col min="7" max="7" width="12.76953125" style="3" customWidth="1"/>
    <col min="8" max="16384" width="9.76953125" style="3"/>
  </cols>
  <sheetData>
    <row r="1" spans="1:9">
      <c r="F1" s="1"/>
      <c r="H1" s="1" t="s">
        <v>307</v>
      </c>
    </row>
    <row r="2" spans="1:9">
      <c r="G2" s="1"/>
      <c r="H2" s="1"/>
    </row>
    <row r="4" spans="1:9" ht="20.100000000000001">
      <c r="A4" s="202" t="s">
        <v>308</v>
      </c>
      <c r="B4" s="202"/>
      <c r="C4" s="202"/>
      <c r="D4" s="202"/>
      <c r="E4" s="202"/>
      <c r="F4" s="202"/>
      <c r="G4" s="202"/>
      <c r="H4" s="202"/>
      <c r="I4" s="202"/>
    </row>
    <row r="5" spans="1:9" ht="20.100000000000001">
      <c r="A5" s="202" t="s">
        <v>309</v>
      </c>
      <c r="B5" s="202"/>
      <c r="C5" s="202"/>
      <c r="D5" s="202"/>
      <c r="E5" s="202"/>
      <c r="F5" s="202"/>
      <c r="G5" s="202"/>
      <c r="H5" s="202"/>
      <c r="I5" s="202"/>
    </row>
    <row r="6" spans="1:9" ht="20.100000000000001">
      <c r="A6" s="202" t="s">
        <v>310</v>
      </c>
      <c r="B6" s="202"/>
      <c r="C6" s="202"/>
      <c r="D6" s="202"/>
      <c r="E6" s="202"/>
      <c r="F6" s="202"/>
      <c r="G6" s="202"/>
      <c r="H6" s="202"/>
      <c r="I6" s="202"/>
    </row>
    <row r="7" spans="1:9" ht="15.3" thickBot="1">
      <c r="A7" s="92"/>
      <c r="B7" s="92"/>
      <c r="C7" s="92"/>
      <c r="D7" s="92"/>
      <c r="E7" s="92"/>
      <c r="F7" s="92"/>
      <c r="G7" s="92"/>
      <c r="H7" s="92"/>
      <c r="I7" s="92"/>
    </row>
    <row r="8" spans="1:9" ht="15.3" thickTop="1"/>
    <row r="9" spans="1:9">
      <c r="A9" s="1"/>
      <c r="B9" s="1"/>
      <c r="C9" s="1"/>
      <c r="D9" s="1"/>
      <c r="E9" s="1"/>
      <c r="F9" s="1"/>
      <c r="G9" s="1"/>
      <c r="H9" s="93" t="s">
        <v>311</v>
      </c>
      <c r="I9" s="1"/>
    </row>
    <row r="10" spans="1:9">
      <c r="A10" s="1"/>
      <c r="B10" s="1"/>
      <c r="C10" s="1"/>
      <c r="D10" s="1"/>
      <c r="E10" s="1"/>
      <c r="F10" s="1"/>
      <c r="G10" s="1"/>
      <c r="H10" s="93" t="s">
        <v>312</v>
      </c>
      <c r="I10" s="93" t="s">
        <v>313</v>
      </c>
    </row>
    <row r="11" spans="1:9">
      <c r="A11" s="93" t="s">
        <v>38</v>
      </c>
      <c r="B11" s="93"/>
      <c r="C11" s="93" t="s">
        <v>279</v>
      </c>
      <c r="D11" s="93"/>
      <c r="E11" s="93" t="s">
        <v>280</v>
      </c>
      <c r="F11" s="93"/>
      <c r="G11" s="93" t="s">
        <v>314</v>
      </c>
      <c r="H11" s="93" t="s">
        <v>269</v>
      </c>
      <c r="I11" s="93" t="s">
        <v>315</v>
      </c>
    </row>
    <row r="12" spans="1:9">
      <c r="A12" s="30"/>
      <c r="B12" s="30"/>
      <c r="C12" s="30"/>
      <c r="D12" s="30"/>
      <c r="E12" s="30"/>
      <c r="F12" s="30"/>
      <c r="G12" s="30"/>
      <c r="H12" s="38"/>
      <c r="I12" s="38"/>
    </row>
    <row r="13" spans="1:9">
      <c r="A13" s="17"/>
      <c r="B13" s="17"/>
      <c r="C13" s="17"/>
      <c r="D13" s="17"/>
      <c r="E13" s="17"/>
      <c r="F13" s="17"/>
      <c r="G13" s="17"/>
    </row>
    <row r="14" spans="1:9">
      <c r="A14" s="17">
        <v>1977</v>
      </c>
      <c r="B14" s="17"/>
      <c r="C14" s="34"/>
      <c r="D14" s="34"/>
      <c r="E14" s="34">
        <v>79.069999999999993</v>
      </c>
      <c r="F14" s="17"/>
      <c r="G14" s="17"/>
    </row>
    <row r="15" spans="1:9">
      <c r="A15" s="4">
        <f>+A14+1</f>
        <v>1978</v>
      </c>
      <c r="B15" s="4"/>
      <c r="C15" s="24">
        <v>12.33</v>
      </c>
      <c r="D15" s="24"/>
      <c r="E15" s="24">
        <v>85.35</v>
      </c>
      <c r="F15" s="24"/>
      <c r="G15" s="25">
        <f>C15/(AVERAGE(E14:E15))</f>
        <v>0.14998175404452013</v>
      </c>
      <c r="H15" s="7">
        <v>7.9000000000000001E-2</v>
      </c>
      <c r="I15" s="7">
        <f>+G15-H15</f>
        <v>7.0981754044520132E-2</v>
      </c>
    </row>
    <row r="16" spans="1:9">
      <c r="A16" s="4">
        <f t="shared" ref="A16:A33" si="0">A15+1</f>
        <v>1979</v>
      </c>
      <c r="B16" s="4"/>
      <c r="C16" s="24">
        <v>14.86</v>
      </c>
      <c r="D16" s="24"/>
      <c r="E16" s="24">
        <v>94.27</v>
      </c>
      <c r="F16" s="24"/>
      <c r="G16" s="25">
        <f t="shared" ref="G16:G59" si="1">C16/(AVERAGE(E15:E16))</f>
        <v>0.16546041643469545</v>
      </c>
      <c r="H16" s="7">
        <v>8.8599999999999998E-2</v>
      </c>
      <c r="I16" s="7">
        <f t="shared" ref="I16:I59" si="2">+G16-H16</f>
        <v>7.6860416434695447E-2</v>
      </c>
    </row>
    <row r="17" spans="1:9">
      <c r="A17" s="4">
        <f t="shared" si="0"/>
        <v>1980</v>
      </c>
      <c r="B17" s="4"/>
      <c r="C17" s="24">
        <v>14.82</v>
      </c>
      <c r="D17" s="24"/>
      <c r="E17" s="24">
        <v>102.48</v>
      </c>
      <c r="F17" s="24"/>
      <c r="G17" s="25">
        <f t="shared" si="1"/>
        <v>0.15064803049555273</v>
      </c>
      <c r="H17" s="7">
        <v>9.9699999999999997E-2</v>
      </c>
      <c r="I17" s="7">
        <f t="shared" si="2"/>
        <v>5.0948030495552729E-2</v>
      </c>
    </row>
    <row r="18" spans="1:9">
      <c r="A18" s="4">
        <f t="shared" si="0"/>
        <v>1981</v>
      </c>
      <c r="B18" s="4"/>
      <c r="C18" s="24">
        <v>15.36</v>
      </c>
      <c r="D18" s="24"/>
      <c r="E18" s="24">
        <v>109.43</v>
      </c>
      <c r="F18" s="24"/>
      <c r="G18" s="25">
        <f t="shared" si="1"/>
        <v>0.14496720305790192</v>
      </c>
      <c r="H18" s="7">
        <v>0.11550000000000001</v>
      </c>
      <c r="I18" s="7">
        <f t="shared" si="2"/>
        <v>2.9467203057901917E-2</v>
      </c>
    </row>
    <row r="19" spans="1:9">
      <c r="A19" s="4">
        <f t="shared" si="0"/>
        <v>1982</v>
      </c>
      <c r="B19" s="4"/>
      <c r="C19" s="24">
        <v>12.64</v>
      </c>
      <c r="D19" s="24"/>
      <c r="E19" s="24">
        <v>112.46</v>
      </c>
      <c r="F19" s="24"/>
      <c r="G19" s="25">
        <f t="shared" si="1"/>
        <v>0.11393032583712652</v>
      </c>
      <c r="H19" s="7">
        <v>0.13500000000000001</v>
      </c>
      <c r="I19" s="7">
        <f t="shared" si="2"/>
        <v>-2.1069674162873489E-2</v>
      </c>
    </row>
    <row r="20" spans="1:9">
      <c r="A20" s="4">
        <f t="shared" si="0"/>
        <v>1983</v>
      </c>
      <c r="B20" s="4"/>
      <c r="C20" s="24">
        <v>14.03</v>
      </c>
      <c r="D20" s="24"/>
      <c r="E20" s="24">
        <v>116.93</v>
      </c>
      <c r="F20" s="24"/>
      <c r="G20" s="25">
        <f t="shared" si="1"/>
        <v>0.12232442565063865</v>
      </c>
      <c r="H20" s="7">
        <v>0.1038</v>
      </c>
      <c r="I20" s="7">
        <f t="shared" si="2"/>
        <v>1.8524425650638651E-2</v>
      </c>
    </row>
    <row r="21" spans="1:9">
      <c r="A21" s="4">
        <f t="shared" si="0"/>
        <v>1984</v>
      </c>
      <c r="B21" s="4"/>
      <c r="C21" s="24">
        <v>16.64</v>
      </c>
      <c r="D21" s="24"/>
      <c r="E21" s="24">
        <v>122.47</v>
      </c>
      <c r="F21" s="24"/>
      <c r="G21" s="25">
        <f t="shared" si="1"/>
        <v>0.13901420217209692</v>
      </c>
      <c r="H21" s="7">
        <v>0.1174</v>
      </c>
      <c r="I21" s="7">
        <f t="shared" si="2"/>
        <v>2.1614202172096919E-2</v>
      </c>
    </row>
    <row r="22" spans="1:9">
      <c r="A22" s="4">
        <f t="shared" si="0"/>
        <v>1985</v>
      </c>
      <c r="B22" s="4"/>
      <c r="C22" s="24">
        <v>14.61</v>
      </c>
      <c r="D22" s="24"/>
      <c r="E22" s="24">
        <v>125.2</v>
      </c>
      <c r="F22" s="24"/>
      <c r="G22" s="25">
        <f t="shared" si="1"/>
        <v>0.11797956958856541</v>
      </c>
      <c r="H22" s="7">
        <v>0.1125</v>
      </c>
      <c r="I22" s="7">
        <f t="shared" si="2"/>
        <v>5.4795695885654083E-3</v>
      </c>
    </row>
    <row r="23" spans="1:9">
      <c r="A23" s="4">
        <f t="shared" si="0"/>
        <v>1986</v>
      </c>
      <c r="B23" s="4"/>
      <c r="C23" s="24">
        <v>14.48</v>
      </c>
      <c r="D23" s="24"/>
      <c r="E23" s="24">
        <v>126.82</v>
      </c>
      <c r="F23" s="24"/>
      <c r="G23" s="25">
        <f t="shared" si="1"/>
        <v>0.11491151495913024</v>
      </c>
      <c r="H23" s="7">
        <v>8.9800000000000005E-2</v>
      </c>
      <c r="I23" s="7">
        <f t="shared" si="2"/>
        <v>2.5111514959130235E-2</v>
      </c>
    </row>
    <row r="24" spans="1:9">
      <c r="A24" s="4">
        <f t="shared" si="0"/>
        <v>1987</v>
      </c>
      <c r="B24" s="4"/>
      <c r="C24" s="24">
        <v>17.5</v>
      </c>
      <c r="D24" s="24"/>
      <c r="E24" s="24">
        <v>134.07</v>
      </c>
      <c r="F24" s="24"/>
      <c r="G24" s="25">
        <f t="shared" si="1"/>
        <v>0.13415615776764153</v>
      </c>
      <c r="H24" s="7">
        <v>7.9200000000000007E-2</v>
      </c>
      <c r="I24" s="7">
        <f t="shared" si="2"/>
        <v>5.4956157767641525E-2</v>
      </c>
    </row>
    <row r="25" spans="1:9">
      <c r="A25" s="4">
        <f t="shared" si="0"/>
        <v>1988</v>
      </c>
      <c r="B25" s="4"/>
      <c r="C25" s="24">
        <v>23.75</v>
      </c>
      <c r="D25" s="24"/>
      <c r="E25" s="24">
        <v>141.32</v>
      </c>
      <c r="F25" s="24"/>
      <c r="G25" s="25">
        <f t="shared" si="1"/>
        <v>0.17248266095355677</v>
      </c>
      <c r="H25" s="7">
        <v>8.9700000000000002E-2</v>
      </c>
      <c r="I25" s="7">
        <f t="shared" si="2"/>
        <v>8.2782660953556769E-2</v>
      </c>
    </row>
    <row r="26" spans="1:9">
      <c r="A26" s="4">
        <f t="shared" si="0"/>
        <v>1989</v>
      </c>
      <c r="B26" s="4"/>
      <c r="C26" s="24">
        <v>22.87</v>
      </c>
      <c r="D26" s="24"/>
      <c r="E26" s="24">
        <v>147.26</v>
      </c>
      <c r="F26" s="24"/>
      <c r="G26" s="25">
        <f t="shared" si="1"/>
        <v>0.15850024256705247</v>
      </c>
      <c r="H26" s="7">
        <v>8.8099999999999998E-2</v>
      </c>
      <c r="I26" s="7">
        <f t="shared" si="2"/>
        <v>7.0400242567052476E-2</v>
      </c>
    </row>
    <row r="27" spans="1:9">
      <c r="A27" s="4">
        <f t="shared" si="0"/>
        <v>1990</v>
      </c>
      <c r="B27" s="4"/>
      <c r="C27" s="24">
        <v>21.73</v>
      </c>
      <c r="D27" s="24"/>
      <c r="E27" s="24">
        <v>153.01</v>
      </c>
      <c r="F27" s="24"/>
      <c r="G27" s="25">
        <f t="shared" si="1"/>
        <v>0.14473640390315384</v>
      </c>
      <c r="H27" s="7">
        <v>8.1900000000000001E-2</v>
      </c>
      <c r="I27" s="7">
        <f t="shared" si="2"/>
        <v>6.2836403903153842E-2</v>
      </c>
    </row>
    <row r="28" spans="1:9">
      <c r="A28" s="4">
        <f t="shared" si="0"/>
        <v>1991</v>
      </c>
      <c r="B28" s="4"/>
      <c r="C28" s="24">
        <v>15.97</v>
      </c>
      <c r="D28" s="24"/>
      <c r="E28" s="24">
        <v>158.85</v>
      </c>
      <c r="F28" s="24"/>
      <c r="G28" s="25">
        <f t="shared" si="1"/>
        <v>0.10241775155518502</v>
      </c>
      <c r="H28" s="7">
        <v>8.2199999999999995E-2</v>
      </c>
      <c r="I28" s="7">
        <f t="shared" si="2"/>
        <v>2.0217751555185029E-2</v>
      </c>
    </row>
    <row r="29" spans="1:9">
      <c r="A29" s="4">
        <f t="shared" si="0"/>
        <v>1992</v>
      </c>
      <c r="B29" s="4"/>
      <c r="C29" s="24">
        <v>19.09</v>
      </c>
      <c r="D29" s="24"/>
      <c r="E29" s="24">
        <v>149.74</v>
      </c>
      <c r="F29" s="24"/>
      <c r="G29" s="25">
        <f t="shared" si="1"/>
        <v>0.12372403512751547</v>
      </c>
      <c r="H29" s="7">
        <v>7.2599999999999998E-2</v>
      </c>
      <c r="I29" s="7">
        <f t="shared" si="2"/>
        <v>5.1124035127515469E-2</v>
      </c>
    </row>
    <row r="30" spans="1:9">
      <c r="A30" s="4">
        <f t="shared" si="0"/>
        <v>1993</v>
      </c>
      <c r="B30" s="4"/>
      <c r="C30" s="24">
        <v>21.89</v>
      </c>
      <c r="D30" s="24"/>
      <c r="E30" s="24">
        <v>180.88</v>
      </c>
      <c r="F30" s="24"/>
      <c r="G30" s="25">
        <f t="shared" si="1"/>
        <v>0.13241788155586473</v>
      </c>
      <c r="H30" s="7">
        <v>7.17E-2</v>
      </c>
      <c r="I30" s="7">
        <f t="shared" si="2"/>
        <v>6.0717881555864731E-2</v>
      </c>
    </row>
    <row r="31" spans="1:9">
      <c r="A31" s="4">
        <f t="shared" si="0"/>
        <v>1994</v>
      </c>
      <c r="B31" s="4"/>
      <c r="C31" s="24">
        <v>30.6</v>
      </c>
      <c r="D31" s="24"/>
      <c r="E31" s="24">
        <v>193.06</v>
      </c>
      <c r="F31" s="24"/>
      <c r="G31" s="25">
        <f t="shared" si="1"/>
        <v>0.16366261967160509</v>
      </c>
      <c r="H31" s="7">
        <v>6.59E-2</v>
      </c>
      <c r="I31" s="7">
        <f t="shared" si="2"/>
        <v>9.7762619671605086E-2</v>
      </c>
    </row>
    <row r="32" spans="1:9">
      <c r="A32" s="4">
        <f t="shared" si="0"/>
        <v>1995</v>
      </c>
      <c r="B32" s="4"/>
      <c r="C32" s="24">
        <v>33.96</v>
      </c>
      <c r="D32" s="24"/>
      <c r="E32" s="24">
        <v>216.51</v>
      </c>
      <c r="F32" s="24"/>
      <c r="G32" s="25">
        <f t="shared" si="1"/>
        <v>0.16583245843201408</v>
      </c>
      <c r="H32" s="7">
        <v>7.5999999999999998E-2</v>
      </c>
      <c r="I32" s="7">
        <f t="shared" si="2"/>
        <v>8.9832458432014081E-2</v>
      </c>
    </row>
    <row r="33" spans="1:9">
      <c r="A33" s="4">
        <f t="shared" si="0"/>
        <v>1996</v>
      </c>
      <c r="B33" s="4"/>
      <c r="C33" s="24">
        <v>38.729999999999997</v>
      </c>
      <c r="D33" s="24"/>
      <c r="E33" s="24">
        <v>237.08</v>
      </c>
      <c r="F33" s="24"/>
      <c r="G33" s="25">
        <f t="shared" si="1"/>
        <v>0.17077096055909519</v>
      </c>
      <c r="H33" s="7">
        <v>6.1800000000000001E-2</v>
      </c>
      <c r="I33" s="7">
        <f t="shared" si="2"/>
        <v>0.10897096055909519</v>
      </c>
    </row>
    <row r="34" spans="1:9">
      <c r="A34" s="4">
        <v>1997</v>
      </c>
      <c r="B34" s="4"/>
      <c r="C34" s="24">
        <v>39.72</v>
      </c>
      <c r="D34" s="24"/>
      <c r="E34" s="24">
        <v>249.52</v>
      </c>
      <c r="F34" s="24"/>
      <c r="G34" s="25">
        <f t="shared" si="1"/>
        <v>0.16325524044389642</v>
      </c>
      <c r="H34" s="7">
        <v>6.6400000000000001E-2</v>
      </c>
      <c r="I34" s="7">
        <f t="shared" si="2"/>
        <v>9.6855240443896415E-2</v>
      </c>
    </row>
    <row r="35" spans="1:9">
      <c r="A35" s="4">
        <v>1998</v>
      </c>
      <c r="B35" s="4"/>
      <c r="C35" s="24">
        <v>37.71</v>
      </c>
      <c r="D35" s="24"/>
      <c r="E35" s="24">
        <v>266.39999999999998</v>
      </c>
      <c r="F35" s="24"/>
      <c r="G35" s="25">
        <f t="shared" si="1"/>
        <v>0.1461854551093193</v>
      </c>
      <c r="H35" s="7">
        <v>5.8299999999999998E-2</v>
      </c>
      <c r="I35" s="7">
        <f t="shared" si="2"/>
        <v>8.7885455109319305E-2</v>
      </c>
    </row>
    <row r="36" spans="1:9">
      <c r="A36" s="4">
        <v>1999</v>
      </c>
      <c r="B36" s="4"/>
      <c r="C36" s="24">
        <v>48.17</v>
      </c>
      <c r="D36" s="24"/>
      <c r="E36" s="24">
        <v>290.68</v>
      </c>
      <c r="F36" s="24"/>
      <c r="G36" s="25">
        <f t="shared" si="1"/>
        <v>0.1729374596108279</v>
      </c>
      <c r="H36" s="7">
        <v>5.57E-2</v>
      </c>
      <c r="I36" s="7">
        <f t="shared" si="2"/>
        <v>0.1172374596108279</v>
      </c>
    </row>
    <row r="37" spans="1:9">
      <c r="A37" s="4">
        <v>2000</v>
      </c>
      <c r="B37" s="4"/>
      <c r="C37" s="24">
        <v>50</v>
      </c>
      <c r="D37" s="24"/>
      <c r="E37" s="24">
        <v>325.8</v>
      </c>
      <c r="F37" s="24"/>
      <c r="G37" s="25">
        <f t="shared" si="1"/>
        <v>0.16221126395016869</v>
      </c>
      <c r="H37" s="7">
        <v>6.5000000000000002E-2</v>
      </c>
      <c r="I37" s="7">
        <f t="shared" si="2"/>
        <v>9.7211263950168686E-2</v>
      </c>
    </row>
    <row r="38" spans="1:9">
      <c r="A38" s="4">
        <f>+A37+1</f>
        <v>2001</v>
      </c>
      <c r="B38" s="4"/>
      <c r="C38" s="39">
        <v>24.69</v>
      </c>
      <c r="D38" s="39"/>
      <c r="E38" s="39">
        <v>338.37</v>
      </c>
      <c r="F38" s="4"/>
      <c r="G38" s="25">
        <f t="shared" si="1"/>
        <v>7.4348434888658013E-2</v>
      </c>
      <c r="H38" s="7">
        <v>5.5300000000000002E-2</v>
      </c>
      <c r="I38" s="7">
        <f t="shared" si="2"/>
        <v>1.9048434888658011E-2</v>
      </c>
    </row>
    <row r="39" spans="1:9">
      <c r="A39" s="4">
        <f>+A38+1</f>
        <v>2002</v>
      </c>
      <c r="B39" s="4"/>
      <c r="C39" s="39">
        <v>27.59</v>
      </c>
      <c r="D39" s="39"/>
      <c r="E39" s="39">
        <v>321.72000000000003</v>
      </c>
      <c r="F39" s="4"/>
      <c r="G39" s="25">
        <f t="shared" si="1"/>
        <v>8.3594661334060502E-2</v>
      </c>
      <c r="H39" s="7">
        <v>5.5899999999999998E-2</v>
      </c>
      <c r="I39" s="7">
        <f t="shared" si="2"/>
        <v>2.7694661334060504E-2</v>
      </c>
    </row>
    <row r="40" spans="1:9">
      <c r="A40" s="4">
        <f>+A39+1</f>
        <v>2003</v>
      </c>
      <c r="B40" s="4"/>
      <c r="C40" s="39">
        <v>48.74</v>
      </c>
      <c r="D40" s="39"/>
      <c r="E40" s="39">
        <v>367.17</v>
      </c>
      <c r="F40" s="4"/>
      <c r="G40" s="25">
        <f t="shared" si="1"/>
        <v>0.14150299757581034</v>
      </c>
      <c r="H40" s="7">
        <v>4.8000000000000001E-2</v>
      </c>
      <c r="I40" s="7">
        <f t="shared" si="2"/>
        <v>9.3502997575810334E-2</v>
      </c>
    </row>
    <row r="41" spans="1:9">
      <c r="A41" s="4">
        <f>+A40+1</f>
        <v>2004</v>
      </c>
      <c r="B41" s="4"/>
      <c r="C41" s="39">
        <v>58.55</v>
      </c>
      <c r="D41" s="39"/>
      <c r="E41" s="39">
        <v>414.75</v>
      </c>
      <c r="F41" s="4"/>
      <c r="G41" s="25">
        <f t="shared" si="1"/>
        <v>0.14975956619603026</v>
      </c>
      <c r="H41" s="7">
        <v>5.0199999999999995E-2</v>
      </c>
      <c r="I41" s="7">
        <f t="shared" si="2"/>
        <v>9.9559566196030264E-2</v>
      </c>
    </row>
    <row r="42" spans="1:9">
      <c r="A42" s="4">
        <v>2005</v>
      </c>
      <c r="B42" s="4"/>
      <c r="C42" s="39">
        <v>69.930000000000007</v>
      </c>
      <c r="D42" s="39"/>
      <c r="E42" s="39">
        <v>453.06</v>
      </c>
      <c r="F42" s="4"/>
      <c r="G42" s="25">
        <f t="shared" si="1"/>
        <v>0.16116431016005811</v>
      </c>
      <c r="H42" s="7">
        <v>4.6899999999999997E-2</v>
      </c>
      <c r="I42" s="7">
        <f t="shared" si="2"/>
        <v>0.11426431016005811</v>
      </c>
    </row>
    <row r="43" spans="1:9">
      <c r="A43" s="4">
        <v>2006</v>
      </c>
      <c r="B43" s="4"/>
      <c r="C43" s="39">
        <v>81.510000000000005</v>
      </c>
      <c r="D43" s="39"/>
      <c r="E43" s="39">
        <v>504.39</v>
      </c>
      <c r="F43" s="4"/>
      <c r="G43" s="25">
        <f t="shared" si="1"/>
        <v>0.17026476578411406</v>
      </c>
      <c r="H43" s="7">
        <v>4.6800000000000001E-2</v>
      </c>
      <c r="I43" s="7">
        <f t="shared" si="2"/>
        <v>0.12346476578411406</v>
      </c>
    </row>
    <row r="44" spans="1:9">
      <c r="A44" s="4">
        <v>2007</v>
      </c>
      <c r="B44" s="4"/>
      <c r="C44" s="39">
        <v>66.180000000000007</v>
      </c>
      <c r="D44" s="39"/>
      <c r="E44" s="39">
        <v>529.59</v>
      </c>
      <c r="F44" s="4"/>
      <c r="G44" s="25">
        <f t="shared" si="1"/>
        <v>0.12801021296350026</v>
      </c>
      <c r="H44" s="7">
        <v>4.8599999999999997E-2</v>
      </c>
      <c r="I44" s="7">
        <f t="shared" si="2"/>
        <v>7.941021296350026E-2</v>
      </c>
    </row>
    <row r="45" spans="1:9">
      <c r="A45" s="4">
        <v>2008</v>
      </c>
      <c r="B45" s="4"/>
      <c r="C45" s="39">
        <v>14.88</v>
      </c>
      <c r="D45" s="39"/>
      <c r="E45" s="39">
        <v>451.37</v>
      </c>
      <c r="F45" s="4"/>
      <c r="G45" s="25">
        <f t="shared" si="1"/>
        <v>3.0337628445604305E-2</v>
      </c>
      <c r="H45" s="7">
        <v>4.4499999999999998E-2</v>
      </c>
      <c r="I45" s="7">
        <f t="shared" si="2"/>
        <v>-1.4162371554395693E-2</v>
      </c>
    </row>
    <row r="46" spans="1:9">
      <c r="A46" s="4">
        <v>2009</v>
      </c>
      <c r="B46" s="4"/>
      <c r="C46" s="39">
        <v>50.97</v>
      </c>
      <c r="D46" s="39"/>
      <c r="E46" s="39">
        <v>513.58000000000004</v>
      </c>
      <c r="F46" s="4"/>
      <c r="G46" s="25">
        <f t="shared" si="1"/>
        <v>0.10564277941862273</v>
      </c>
      <c r="H46" s="7">
        <v>3.4700000000000002E-2</v>
      </c>
      <c r="I46" s="7">
        <f t="shared" si="2"/>
        <v>7.0942779418622731E-2</v>
      </c>
    </row>
    <row r="47" spans="1:9">
      <c r="A47" s="4">
        <v>2010</v>
      </c>
      <c r="B47" s="4"/>
      <c r="C47" s="39">
        <v>77.349999999999994</v>
      </c>
      <c r="D47" s="39"/>
      <c r="E47" s="39">
        <v>579.14</v>
      </c>
      <c r="F47" s="4"/>
      <c r="G47" s="25">
        <f t="shared" si="1"/>
        <v>0.14157332161944505</v>
      </c>
      <c r="H47" s="7">
        <v>4.2500000000000003E-2</v>
      </c>
      <c r="I47" s="7">
        <f t="shared" si="2"/>
        <v>9.9073321619445043E-2</v>
      </c>
    </row>
    <row r="48" spans="1:9">
      <c r="A48" s="4">
        <v>2011</v>
      </c>
      <c r="B48" s="4"/>
      <c r="C48" s="39">
        <v>86.95</v>
      </c>
      <c r="D48" s="39"/>
      <c r="E48" s="39">
        <v>613.14</v>
      </c>
      <c r="F48" s="4"/>
      <c r="G48" s="25">
        <f t="shared" si="1"/>
        <v>0.14585500050323749</v>
      </c>
      <c r="H48" s="7">
        <v>3.8199999999999998E-2</v>
      </c>
      <c r="I48" s="7">
        <f t="shared" si="2"/>
        <v>0.10765500050323749</v>
      </c>
    </row>
    <row r="49" spans="1:9">
      <c r="A49" s="4">
        <v>2012</v>
      </c>
      <c r="B49" s="4"/>
      <c r="C49" s="39">
        <v>86.51</v>
      </c>
      <c r="D49" s="39"/>
      <c r="E49" s="39">
        <v>666.97</v>
      </c>
      <c r="F49" s="4"/>
      <c r="G49" s="25">
        <f t="shared" si="1"/>
        <v>0.13516025966518502</v>
      </c>
      <c r="H49" s="7">
        <v>2.46E-2</v>
      </c>
      <c r="I49" s="7">
        <f t="shared" si="2"/>
        <v>0.11056025966518503</v>
      </c>
    </row>
    <row r="50" spans="1:9">
      <c r="A50" s="4">
        <v>2013</v>
      </c>
      <c r="B50" s="4"/>
      <c r="C50" s="39">
        <v>100.2</v>
      </c>
      <c r="D50" s="39"/>
      <c r="E50" s="39">
        <v>715.84</v>
      </c>
      <c r="F50" s="4"/>
      <c r="G50" s="25">
        <f t="shared" si="1"/>
        <v>0.14492229590471578</v>
      </c>
      <c r="H50" s="7">
        <v>2.8799999999999999E-2</v>
      </c>
      <c r="I50" s="7">
        <f t="shared" si="2"/>
        <v>0.11612229590471579</v>
      </c>
    </row>
    <row r="51" spans="1:9">
      <c r="A51" s="4">
        <v>2014</v>
      </c>
      <c r="B51" s="4"/>
      <c r="C51" s="39">
        <v>102.31</v>
      </c>
      <c r="D51" s="39"/>
      <c r="E51" s="39">
        <v>726.96</v>
      </c>
      <c r="F51" s="4"/>
      <c r="G51" s="25">
        <f t="shared" si="1"/>
        <v>0.14182145827557527</v>
      </c>
      <c r="H51" s="7">
        <v>3.4099999999999998E-2</v>
      </c>
      <c r="I51" s="7">
        <f t="shared" si="2"/>
        <v>0.10772145827557528</v>
      </c>
    </row>
    <row r="52" spans="1:9">
      <c r="A52" s="4">
        <v>2015</v>
      </c>
      <c r="B52" s="4"/>
      <c r="C52" s="39">
        <v>88.53</v>
      </c>
      <c r="D52" s="39"/>
      <c r="E52" s="39">
        <v>740.29</v>
      </c>
      <c r="F52" s="4"/>
      <c r="G52" s="25">
        <f t="shared" si="1"/>
        <v>0.12067473164082468</v>
      </c>
      <c r="H52" s="7">
        <v>2.47E-2</v>
      </c>
      <c r="I52" s="7">
        <f t="shared" si="2"/>
        <v>9.5974731640824679E-2</v>
      </c>
    </row>
    <row r="53" spans="1:9">
      <c r="A53" s="4">
        <v>2016</v>
      </c>
      <c r="B53" s="4"/>
      <c r="C53" s="39">
        <v>94.55</v>
      </c>
      <c r="D53" s="39"/>
      <c r="E53" s="39">
        <v>768.98</v>
      </c>
      <c r="F53" s="4"/>
      <c r="G53" s="25">
        <f t="shared" si="1"/>
        <v>0.12529235988259224</v>
      </c>
      <c r="H53" s="7">
        <v>2.3E-2</v>
      </c>
      <c r="I53" s="7">
        <f t="shared" si="2"/>
        <v>0.10229235988259225</v>
      </c>
    </row>
    <row r="54" spans="1:9">
      <c r="A54" s="4">
        <v>2017</v>
      </c>
      <c r="B54" s="4"/>
      <c r="C54" s="39">
        <v>109.88</v>
      </c>
      <c r="D54" s="39"/>
      <c r="E54" s="39">
        <v>826.52</v>
      </c>
      <c r="F54" s="4"/>
      <c r="G54" s="25">
        <f t="shared" si="1"/>
        <v>0.13773738639924787</v>
      </c>
      <c r="H54" s="7">
        <v>2.6700000000000002E-2</v>
      </c>
      <c r="I54" s="7">
        <f t="shared" si="2"/>
        <v>0.11103738639924787</v>
      </c>
    </row>
    <row r="55" spans="1:9">
      <c r="A55" s="4">
        <v>2018</v>
      </c>
      <c r="B55" s="4"/>
      <c r="C55" s="39">
        <v>132.38999999999999</v>
      </c>
      <c r="D55" s="39"/>
      <c r="E55" s="39">
        <v>851.62</v>
      </c>
      <c r="F55" s="4"/>
      <c r="G55" s="25">
        <f t="shared" si="1"/>
        <v>0.15778182988308484</v>
      </c>
      <c r="H55" s="7">
        <v>2.8199999999999999E-2</v>
      </c>
      <c r="I55" s="7">
        <f t="shared" si="2"/>
        <v>0.12958182988308484</v>
      </c>
    </row>
    <row r="56" spans="1:9">
      <c r="A56" s="4">
        <v>2019</v>
      </c>
      <c r="B56" s="4"/>
      <c r="C56" s="39">
        <v>139.69999999999999</v>
      </c>
      <c r="D56" s="39"/>
      <c r="E56" s="39">
        <v>914.49</v>
      </c>
      <c r="F56" s="4"/>
      <c r="G56" s="25">
        <f t="shared" si="1"/>
        <v>0.15820079157017397</v>
      </c>
      <c r="H56" s="7">
        <v>2.5499999999999998E-2</v>
      </c>
      <c r="I56" s="7">
        <f t="shared" si="2"/>
        <v>0.13270079157017398</v>
      </c>
    </row>
    <row r="57" spans="1:9">
      <c r="A57" s="4">
        <v>2020</v>
      </c>
      <c r="B57" s="4"/>
      <c r="C57" s="39">
        <v>94.13</v>
      </c>
      <c r="D57" s="39"/>
      <c r="E57" s="39">
        <v>927.52</v>
      </c>
      <c r="F57" s="4"/>
      <c r="G57" s="25">
        <f t="shared" si="1"/>
        <v>0.10220357109896254</v>
      </c>
      <c r="H57" s="7">
        <v>1.5299999999999999E-2</v>
      </c>
      <c r="I57" s="7">
        <f t="shared" si="2"/>
        <v>8.6903571098962545E-2</v>
      </c>
    </row>
    <row r="58" spans="1:9">
      <c r="A58" s="4">
        <v>2021</v>
      </c>
      <c r="B58" s="4"/>
      <c r="C58" s="39">
        <v>197.9</v>
      </c>
      <c r="D58" s="39"/>
      <c r="E58" s="39">
        <v>1008.02</v>
      </c>
      <c r="F58" s="4"/>
      <c r="G58" s="25">
        <f t="shared" si="1"/>
        <v>0.20449073643531004</v>
      </c>
      <c r="H58" s="7">
        <v>1.7299999999999999E-2</v>
      </c>
      <c r="I58" s="7">
        <f t="shared" si="2"/>
        <v>0.18719073643531003</v>
      </c>
    </row>
    <row r="59" spans="1:9">
      <c r="A59" s="4">
        <v>2022</v>
      </c>
      <c r="B59" s="4"/>
      <c r="C59" s="39">
        <v>172.78</v>
      </c>
      <c r="D59" s="39"/>
      <c r="E59" s="39">
        <v>1024.56</v>
      </c>
      <c r="F59" s="4"/>
      <c r="G59" s="25">
        <f t="shared" si="1"/>
        <v>0.17001052849088352</v>
      </c>
      <c r="H59" s="7">
        <v>2.6100000000000002E-2</v>
      </c>
      <c r="I59" s="7">
        <f t="shared" si="2"/>
        <v>0.14391052849088351</v>
      </c>
    </row>
    <row r="60" spans="1:9">
      <c r="A60" s="30"/>
      <c r="B60" s="30"/>
      <c r="C60" s="44"/>
      <c r="D60" s="44"/>
      <c r="E60" s="44"/>
      <c r="F60" s="30"/>
      <c r="G60" s="45"/>
      <c r="H60" s="26"/>
      <c r="I60" s="26"/>
    </row>
    <row r="61" spans="1:9">
      <c r="A61" s="4"/>
      <c r="B61" s="4"/>
      <c r="C61" s="4"/>
      <c r="D61" s="4"/>
      <c r="E61" s="4"/>
      <c r="F61" s="4"/>
      <c r="G61" s="131"/>
      <c r="H61" s="40"/>
    </row>
    <row r="62" spans="1:9">
      <c r="A62" s="4" t="s">
        <v>196</v>
      </c>
      <c r="B62" s="4"/>
      <c r="C62" s="4"/>
      <c r="D62" s="4"/>
      <c r="E62" s="4"/>
      <c r="F62" s="4"/>
      <c r="G62" s="131"/>
      <c r="I62" s="131">
        <f>AVERAGE(I15:I59)</f>
        <v>7.8247948035173806E-2</v>
      </c>
    </row>
    <row r="63" spans="1:9" ht="15.3" thickBot="1">
      <c r="A63" s="92"/>
      <c r="B63" s="92"/>
      <c r="C63" s="92"/>
      <c r="D63" s="92"/>
      <c r="E63" s="92"/>
      <c r="F63" s="92"/>
      <c r="G63" s="92"/>
      <c r="H63" s="92"/>
      <c r="I63" s="92"/>
    </row>
    <row r="64" spans="1:9" ht="15.3" thickTop="1"/>
    <row r="65" spans="1:9">
      <c r="A65" s="3" t="s">
        <v>316</v>
      </c>
      <c r="I65" s="40"/>
    </row>
  </sheetData>
  <mergeCells count="3">
    <mergeCell ref="A4:I4"/>
    <mergeCell ref="A6:I6"/>
    <mergeCell ref="A5:I5"/>
  </mergeCells>
  <phoneticPr fontId="0" type="noConversion"/>
  <printOptions horizontalCentered="1"/>
  <pageMargins left="0.5" right="0.5" top="0.5" bottom="0.55000000000000004" header="0" footer="0"/>
  <pageSetup scale="7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1"/>
  <sheetViews>
    <sheetView zoomScaleNormal="100" workbookViewId="0">
      <selection activeCell="A26" sqref="A26"/>
    </sheetView>
  </sheetViews>
  <sheetFormatPr defaultRowHeight="15"/>
  <cols>
    <col min="1" max="1" width="22.453125" bestFit="1" customWidth="1"/>
    <col min="2" max="2" width="5.2265625" customWidth="1"/>
    <col min="3" max="3" width="10.31640625" bestFit="1" customWidth="1"/>
    <col min="4" max="4" width="3.76953125" customWidth="1"/>
    <col min="6" max="6" width="3.76953125" customWidth="1"/>
    <col min="8" max="8" width="3.76953125" customWidth="1"/>
  </cols>
  <sheetData>
    <row r="1" spans="1:9">
      <c r="A1" s="3"/>
      <c r="B1" s="3"/>
      <c r="C1" s="3"/>
      <c r="D1" s="3"/>
      <c r="E1" s="3"/>
      <c r="F1" s="3"/>
      <c r="H1" s="1" t="s">
        <v>317</v>
      </c>
      <c r="I1" s="3"/>
    </row>
    <row r="2" spans="1:9">
      <c r="A2" s="3"/>
      <c r="B2" s="3"/>
      <c r="C2" s="3"/>
      <c r="D2" s="3"/>
      <c r="E2" s="3"/>
      <c r="F2" s="3"/>
      <c r="G2" s="1"/>
      <c r="I2" s="3"/>
    </row>
    <row r="3" spans="1:9">
      <c r="A3" s="3"/>
      <c r="B3" s="3"/>
      <c r="C3" s="3"/>
      <c r="D3" s="3"/>
      <c r="E3" s="3"/>
      <c r="F3" s="3"/>
      <c r="G3" s="1"/>
      <c r="H3" s="1"/>
      <c r="I3" s="3"/>
    </row>
    <row r="4" spans="1:9">
      <c r="A4" s="3"/>
      <c r="B4" s="3"/>
      <c r="C4" s="3"/>
      <c r="D4" s="3"/>
      <c r="E4" s="3"/>
      <c r="F4" s="3"/>
      <c r="G4" s="3"/>
      <c r="H4" s="3"/>
      <c r="I4" s="1"/>
    </row>
    <row r="5" spans="1:9">
      <c r="A5" s="3"/>
      <c r="B5" s="3"/>
      <c r="C5" s="3"/>
      <c r="D5" s="3"/>
      <c r="E5" s="3"/>
      <c r="F5" s="3"/>
      <c r="G5" s="3"/>
      <c r="H5" s="3"/>
      <c r="I5" s="1"/>
    </row>
    <row r="6" spans="1:9" ht="20.100000000000001">
      <c r="A6" s="2" t="str">
        <f>'DCP-9, P 5'!A5</f>
        <v>PROXY COMPANIES</v>
      </c>
      <c r="B6" s="2"/>
      <c r="C6" s="2"/>
      <c r="D6" s="2"/>
      <c r="E6" s="2"/>
      <c r="F6" s="2"/>
      <c r="G6" s="2"/>
      <c r="H6" s="2"/>
      <c r="I6" s="2"/>
    </row>
    <row r="7" spans="1:9" ht="20.100000000000001">
      <c r="A7" s="2" t="s">
        <v>318</v>
      </c>
      <c r="B7" s="2"/>
      <c r="C7" s="2"/>
      <c r="D7" s="2"/>
      <c r="E7" s="2"/>
      <c r="F7" s="2"/>
      <c r="G7" s="2"/>
      <c r="H7" s="2"/>
      <c r="I7" s="2"/>
    </row>
    <row r="8" spans="1:9">
      <c r="A8" s="3"/>
      <c r="B8" s="3"/>
      <c r="C8" s="3"/>
      <c r="D8" s="3"/>
      <c r="E8" s="3"/>
      <c r="F8" s="3"/>
      <c r="G8" s="3"/>
      <c r="H8" s="3"/>
      <c r="I8" s="3"/>
    </row>
    <row r="9" spans="1:9" ht="15.3" thickBot="1">
      <c r="A9" s="3"/>
      <c r="B9" s="3"/>
      <c r="C9" s="3"/>
      <c r="D9" s="3"/>
      <c r="E9" s="3"/>
      <c r="F9" s="3"/>
      <c r="G9" s="3"/>
      <c r="H9" s="3"/>
      <c r="I9" s="3"/>
    </row>
    <row r="10" spans="1:9" ht="15.3" thickTop="1">
      <c r="A10" s="12"/>
      <c r="B10" s="12"/>
      <c r="C10" s="12"/>
      <c r="D10" s="12"/>
      <c r="E10" s="12"/>
      <c r="F10" s="12"/>
      <c r="G10" s="12"/>
      <c r="H10" s="12"/>
      <c r="I10" s="12"/>
    </row>
    <row r="11" spans="1:9">
      <c r="A11" s="1"/>
      <c r="B11" s="1"/>
      <c r="C11" s="93" t="s">
        <v>319</v>
      </c>
      <c r="D11" s="93"/>
      <c r="E11" s="93"/>
      <c r="F11" s="93"/>
      <c r="G11" s="93" t="s">
        <v>313</v>
      </c>
      <c r="H11" s="93"/>
      <c r="I11" s="93" t="s">
        <v>320</v>
      </c>
    </row>
    <row r="12" spans="1:9">
      <c r="A12" s="93" t="str">
        <f>'DCP-9, P 5'!A13</f>
        <v>COMPANY</v>
      </c>
      <c r="B12" s="1"/>
      <c r="C12" s="93" t="s">
        <v>321</v>
      </c>
      <c r="D12" s="93"/>
      <c r="E12" s="93" t="s">
        <v>322</v>
      </c>
      <c r="F12" s="93"/>
      <c r="G12" s="93" t="s">
        <v>315</v>
      </c>
      <c r="H12" s="93"/>
      <c r="I12" s="93" t="s">
        <v>301</v>
      </c>
    </row>
    <row r="13" spans="1:9">
      <c r="A13" s="38"/>
      <c r="B13" s="38"/>
      <c r="C13" s="38"/>
      <c r="D13" s="38"/>
      <c r="E13" s="38"/>
      <c r="F13" s="38"/>
      <c r="G13" s="38"/>
      <c r="H13" s="38"/>
      <c r="I13" s="38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>
      <c r="A16" s="1" t="str">
        <f>'DCP-9, P 5'!A17</f>
        <v>Parcell Proxy Group</v>
      </c>
      <c r="B16" s="3"/>
      <c r="C16" s="3"/>
      <c r="D16" s="3"/>
      <c r="E16" s="3"/>
      <c r="F16" s="3"/>
      <c r="G16" s="3"/>
      <c r="H16" s="3"/>
      <c r="I16" s="3"/>
    </row>
    <row r="17" spans="1:16">
      <c r="A17" s="3"/>
      <c r="B17" s="3"/>
      <c r="D17" s="3"/>
      <c r="E17" s="3"/>
      <c r="F17" s="3"/>
      <c r="G17" s="3"/>
      <c r="H17" s="3"/>
      <c r="I17" s="3"/>
    </row>
    <row r="18" spans="1:16">
      <c r="A18" s="3" t="str">
        <f>+'DCP-9, P 3'!A14</f>
        <v>ALLETE</v>
      </c>
      <c r="B18" s="3"/>
      <c r="C18" s="25">
        <f>+E51</f>
        <v>4.0500000000000001E-2</v>
      </c>
      <c r="D18" s="4"/>
      <c r="E18" s="8">
        <f>+'DCP-14, P 1'!E16</f>
        <v>0.9</v>
      </c>
      <c r="F18" s="4"/>
      <c r="G18" s="5">
        <v>6.4000000000000001E-2</v>
      </c>
      <c r="H18" s="5"/>
      <c r="I18" s="5">
        <f>+C18+(E18*G18)</f>
        <v>9.8100000000000007E-2</v>
      </c>
    </row>
    <row r="19" spans="1:16">
      <c r="A19" s="3" t="str">
        <f>+'DCP-9, P 3'!A15</f>
        <v>Alliant Energy Corp</v>
      </c>
      <c r="B19" s="3"/>
      <c r="C19" s="7">
        <f>+C18</f>
        <v>4.0500000000000001E-2</v>
      </c>
      <c r="D19" s="3"/>
      <c r="E19" s="8">
        <f>+'DCP-14, P 1'!E17</f>
        <v>0.85</v>
      </c>
      <c r="F19" s="3"/>
      <c r="G19" s="5">
        <f>+G18</f>
        <v>6.4000000000000001E-2</v>
      </c>
      <c r="H19" s="3"/>
      <c r="I19" s="5">
        <f t="shared" ref="I19:I32" si="0">+C19+(E19*G19)</f>
        <v>9.4899999999999998E-2</v>
      </c>
    </row>
    <row r="20" spans="1:16">
      <c r="A20" s="3" t="str">
        <f>+'DCP-9, P 3'!A16</f>
        <v>Ameren Corp</v>
      </c>
      <c r="B20" s="3"/>
      <c r="C20" s="7">
        <f t="shared" ref="C20:C32" si="1">+C19</f>
        <v>4.0500000000000001E-2</v>
      </c>
      <c r="D20" s="3"/>
      <c r="E20" s="8">
        <f>+'DCP-14, P 1'!E18</f>
        <v>0.85</v>
      </c>
      <c r="F20" s="3"/>
      <c r="G20" s="5">
        <f t="shared" ref="G20:G32" si="2">+G19</f>
        <v>6.4000000000000001E-2</v>
      </c>
      <c r="H20" s="3"/>
      <c r="I20" s="5">
        <f t="shared" si="0"/>
        <v>9.4899999999999998E-2</v>
      </c>
    </row>
    <row r="21" spans="1:16">
      <c r="A21" s="3" t="str">
        <f>+'DCP-9, P 3'!A17</f>
        <v>Avista Corp</v>
      </c>
      <c r="B21" s="3"/>
      <c r="C21" s="7">
        <f t="shared" si="1"/>
        <v>4.0500000000000001E-2</v>
      </c>
      <c r="D21" s="3"/>
      <c r="E21" s="8">
        <f>+'DCP-14, P 1'!E19</f>
        <v>0.9</v>
      </c>
      <c r="F21" s="3"/>
      <c r="G21" s="5">
        <f t="shared" si="2"/>
        <v>6.4000000000000001E-2</v>
      </c>
      <c r="H21" s="3"/>
      <c r="I21" s="5">
        <f t="shared" si="0"/>
        <v>9.8100000000000007E-2</v>
      </c>
    </row>
    <row r="22" spans="1:16">
      <c r="A22" s="3" t="str">
        <f>+'DCP-9, P 3'!A18</f>
        <v>Black Hills Corp</v>
      </c>
      <c r="B22" s="3"/>
      <c r="C22" s="7">
        <f t="shared" si="1"/>
        <v>4.0500000000000001E-2</v>
      </c>
      <c r="D22" s="3"/>
      <c r="E22" s="8">
        <f>+'DCP-14, P 1'!E20</f>
        <v>1</v>
      </c>
      <c r="F22" s="3"/>
      <c r="G22" s="5">
        <f t="shared" si="2"/>
        <v>6.4000000000000001E-2</v>
      </c>
      <c r="H22" s="3"/>
      <c r="I22" s="5">
        <f t="shared" si="0"/>
        <v>0.10450000000000001</v>
      </c>
    </row>
    <row r="23" spans="1:16">
      <c r="A23" s="3" t="str">
        <f>+'DCP-9, P 3'!A19</f>
        <v>Evergy, Inc.</v>
      </c>
      <c r="B23" s="3"/>
      <c r="C23" s="7">
        <f t="shared" si="1"/>
        <v>4.0500000000000001E-2</v>
      </c>
      <c r="D23" s="3"/>
      <c r="E23" s="8">
        <f>+'DCP-14, P 1'!E21</f>
        <v>0.9</v>
      </c>
      <c r="F23" s="3"/>
      <c r="G23" s="5">
        <f t="shared" si="2"/>
        <v>6.4000000000000001E-2</v>
      </c>
      <c r="H23" s="3"/>
      <c r="I23" s="5">
        <f t="shared" si="0"/>
        <v>9.8100000000000007E-2</v>
      </c>
    </row>
    <row r="24" spans="1:16">
      <c r="A24" s="3" t="str">
        <f>+'DCP-9, P 3'!A20</f>
        <v>Eversource Energy</v>
      </c>
      <c r="B24" s="3"/>
      <c r="C24" s="7">
        <f t="shared" si="1"/>
        <v>4.0500000000000001E-2</v>
      </c>
      <c r="D24" s="3"/>
      <c r="E24" s="8">
        <f>+'DCP-14, P 1'!E22</f>
        <v>0.9</v>
      </c>
      <c r="F24" s="3"/>
      <c r="G24" s="5">
        <f t="shared" si="2"/>
        <v>6.4000000000000001E-2</v>
      </c>
      <c r="H24" s="3"/>
      <c r="I24" s="5">
        <f t="shared" si="0"/>
        <v>9.8100000000000007E-2</v>
      </c>
    </row>
    <row r="25" spans="1:16">
      <c r="A25" s="3" t="str">
        <f>+'DCP-9, P 3'!A21</f>
        <v>Fortis, Inc.</v>
      </c>
      <c r="B25" s="3"/>
      <c r="C25" s="7">
        <f t="shared" si="1"/>
        <v>4.0500000000000001E-2</v>
      </c>
      <c r="D25" s="3"/>
      <c r="E25" s="8">
        <f>+'DCP-14, P 1'!E23</f>
        <v>0.7</v>
      </c>
      <c r="F25" s="3"/>
      <c r="G25" s="5">
        <f t="shared" si="2"/>
        <v>6.4000000000000001E-2</v>
      </c>
      <c r="H25" s="3"/>
      <c r="I25" s="5">
        <f t="shared" ref="I25:I26" si="3">+C25+(E25*G25)</f>
        <v>8.5300000000000001E-2</v>
      </c>
    </row>
    <row r="26" spans="1:16">
      <c r="A26" s="3" t="str">
        <f>+'DCP-9, P 3'!A22</f>
        <v>IDACORP</v>
      </c>
      <c r="B26" s="3"/>
      <c r="C26" s="7">
        <f>+C25</f>
        <v>4.0500000000000001E-2</v>
      </c>
      <c r="D26" s="3"/>
      <c r="E26" s="8">
        <f>+'DCP-14, P 1'!E24</f>
        <v>0.8</v>
      </c>
      <c r="F26" s="3"/>
      <c r="G26" s="5">
        <f>+G25</f>
        <v>6.4000000000000001E-2</v>
      </c>
      <c r="H26" s="3"/>
      <c r="I26" s="5">
        <f t="shared" si="3"/>
        <v>9.1700000000000004E-2</v>
      </c>
    </row>
    <row r="27" spans="1:16">
      <c r="A27" s="3" t="str">
        <f>+'DCP-9, P 3'!A23</f>
        <v>Northwestern Corp</v>
      </c>
      <c r="B27" s="3"/>
      <c r="C27" s="7">
        <f>+C26</f>
        <v>4.0500000000000001E-2</v>
      </c>
      <c r="D27" s="3"/>
      <c r="E27" s="8">
        <f>+'DCP-14, P 1'!E25</f>
        <v>0.95</v>
      </c>
      <c r="F27" s="3"/>
      <c r="G27" s="5">
        <f>+G26</f>
        <v>6.4000000000000001E-2</v>
      </c>
      <c r="H27" s="3"/>
      <c r="I27" s="5">
        <f t="shared" si="0"/>
        <v>0.1013</v>
      </c>
    </row>
    <row r="28" spans="1:16">
      <c r="A28" s="3" t="str">
        <f>+'DCP-9, P 3'!A24</f>
        <v>OGE Energy</v>
      </c>
      <c r="B28" s="3"/>
      <c r="C28" s="7">
        <f t="shared" si="1"/>
        <v>4.0500000000000001E-2</v>
      </c>
      <c r="D28" s="3"/>
      <c r="E28" s="8">
        <f>+'DCP-14, P 1'!E26</f>
        <v>1</v>
      </c>
      <c r="F28" s="3"/>
      <c r="G28" s="5">
        <f t="shared" si="2"/>
        <v>6.4000000000000001E-2</v>
      </c>
      <c r="H28" s="3"/>
      <c r="I28" s="5">
        <f t="shared" si="0"/>
        <v>0.10450000000000001</v>
      </c>
    </row>
    <row r="29" spans="1:16">
      <c r="A29" s="3" t="str">
        <f>+'DCP-9, P 3'!A25</f>
        <v>Otter Tail Corp</v>
      </c>
      <c r="B29" s="3"/>
      <c r="C29" s="7">
        <f t="shared" si="1"/>
        <v>4.0500000000000001E-2</v>
      </c>
      <c r="D29" s="3"/>
      <c r="E29" s="8">
        <f>+'DCP-14, P 1'!E27</f>
        <v>0.85</v>
      </c>
      <c r="F29" s="3"/>
      <c r="G29" s="5">
        <f t="shared" si="2"/>
        <v>6.4000000000000001E-2</v>
      </c>
      <c r="H29" s="3"/>
      <c r="I29" s="5">
        <f t="shared" si="0"/>
        <v>9.4899999999999998E-2</v>
      </c>
    </row>
    <row r="30" spans="1:16">
      <c r="A30" s="3" t="str">
        <f>+'DCP-9, P 3'!A26</f>
        <v>Pinnacle West Capital Corp</v>
      </c>
      <c r="B30" s="3"/>
      <c r="C30" s="7">
        <f t="shared" si="1"/>
        <v>4.0500000000000001E-2</v>
      </c>
      <c r="D30" s="3"/>
      <c r="E30" s="8">
        <f>+'DCP-14, P 1'!E28</f>
        <v>0.9</v>
      </c>
      <c r="F30" s="3"/>
      <c r="G30" s="5">
        <f t="shared" si="2"/>
        <v>6.4000000000000001E-2</v>
      </c>
      <c r="H30" s="3"/>
      <c r="I30" s="5">
        <f t="shared" si="0"/>
        <v>9.8100000000000007E-2</v>
      </c>
    </row>
    <row r="31" spans="1:16">
      <c r="A31" s="3" t="str">
        <f>+'DCP-9, P 3'!A27</f>
        <v>Portland General Electric</v>
      </c>
      <c r="B31" s="3"/>
      <c r="C31" s="7">
        <f t="shared" si="1"/>
        <v>4.0500000000000001E-2</v>
      </c>
      <c r="D31" s="3"/>
      <c r="E31" s="8">
        <f>+'DCP-14, P 1'!E29</f>
        <v>0.9</v>
      </c>
      <c r="F31" s="3"/>
      <c r="G31" s="5">
        <f t="shared" si="2"/>
        <v>6.4000000000000001E-2</v>
      </c>
      <c r="H31" s="3"/>
      <c r="I31" s="5">
        <f t="shared" si="0"/>
        <v>9.8100000000000007E-2</v>
      </c>
      <c r="P31" s="54"/>
    </row>
    <row r="32" spans="1:16">
      <c r="A32" s="3" t="str">
        <f>+'DCP-9, P 3'!A28</f>
        <v>WEC Energy Group</v>
      </c>
      <c r="B32" s="3"/>
      <c r="C32" s="7">
        <f t="shared" si="1"/>
        <v>4.0500000000000001E-2</v>
      </c>
      <c r="D32" s="3"/>
      <c r="E32" s="8">
        <f>+'DCP-14, P 1'!E30</f>
        <v>0.8</v>
      </c>
      <c r="F32" s="3"/>
      <c r="G32" s="5">
        <f t="shared" si="2"/>
        <v>6.4000000000000001E-2</v>
      </c>
      <c r="H32" s="3"/>
      <c r="I32" s="5">
        <f t="shared" si="0"/>
        <v>9.1700000000000004E-2</v>
      </c>
    </row>
    <row r="33" spans="1:9">
      <c r="A33" s="38"/>
      <c r="B33" s="38"/>
      <c r="C33" s="26"/>
      <c r="D33" s="38"/>
      <c r="E33" s="27"/>
      <c r="F33" s="38"/>
      <c r="G33" s="26"/>
      <c r="H33" s="38"/>
      <c r="I33" s="19"/>
    </row>
    <row r="34" spans="1:9">
      <c r="A34" s="3"/>
      <c r="B34" s="3"/>
      <c r="C34" s="7"/>
      <c r="D34" s="3"/>
      <c r="E34" s="8"/>
      <c r="F34" s="3"/>
      <c r="G34" s="7"/>
      <c r="H34" s="3"/>
      <c r="I34" s="5"/>
    </row>
    <row r="35" spans="1:9">
      <c r="A35" s="3" t="s">
        <v>302</v>
      </c>
      <c r="B35" s="3"/>
      <c r="C35" s="7"/>
      <c r="D35" s="3"/>
      <c r="E35" s="8"/>
      <c r="F35" s="3"/>
      <c r="G35" s="7"/>
      <c r="H35" s="3"/>
      <c r="I35" s="13">
        <f>AVERAGE(I18:I32)</f>
        <v>9.6820000000000003E-2</v>
      </c>
    </row>
    <row r="36" spans="1:9">
      <c r="A36" s="38"/>
      <c r="B36" s="38"/>
      <c r="C36" s="26"/>
      <c r="D36" s="38"/>
      <c r="E36" s="27"/>
      <c r="F36" s="38"/>
      <c r="G36" s="26"/>
      <c r="H36" s="38"/>
      <c r="I36" s="56"/>
    </row>
    <row r="37" spans="1:9">
      <c r="A37" s="3"/>
      <c r="B37" s="3"/>
      <c r="C37" s="7"/>
      <c r="D37" s="3"/>
      <c r="E37" s="8"/>
      <c r="F37" s="3"/>
      <c r="G37" s="7"/>
      <c r="H37" s="3"/>
      <c r="I37" s="13"/>
    </row>
    <row r="38" spans="1:9">
      <c r="A38" s="3" t="s">
        <v>198</v>
      </c>
      <c r="B38" s="3"/>
      <c r="C38" s="7"/>
      <c r="D38" s="3"/>
      <c r="E38" s="8"/>
      <c r="F38" s="3"/>
      <c r="G38" s="7"/>
      <c r="H38" s="3"/>
      <c r="I38" s="13">
        <f>MEDIAN(I18:I32)</f>
        <v>9.8100000000000007E-2</v>
      </c>
    </row>
    <row r="39" spans="1:9" ht="15.3" thickBot="1">
      <c r="A39" s="92"/>
      <c r="B39" s="92"/>
      <c r="C39" s="28"/>
      <c r="D39" s="92"/>
      <c r="E39" s="29"/>
      <c r="F39" s="92"/>
      <c r="G39" s="28"/>
      <c r="H39" s="92"/>
      <c r="I39" s="21"/>
    </row>
    <row r="40" spans="1:9" ht="15.3" thickTop="1">
      <c r="A40" s="3"/>
      <c r="B40" s="3"/>
      <c r="C40" s="7"/>
      <c r="D40" s="3"/>
      <c r="E40" s="8"/>
      <c r="F40" s="3"/>
      <c r="G40" s="7"/>
      <c r="H40" s="3"/>
      <c r="I40" s="5"/>
    </row>
    <row r="41" spans="1:9">
      <c r="A41" s="3"/>
      <c r="B41" s="3"/>
      <c r="C41" s="7"/>
      <c r="D41" s="3"/>
      <c r="E41" s="8"/>
      <c r="F41" s="3"/>
      <c r="G41" s="7"/>
      <c r="H41" s="3"/>
      <c r="I41" s="5"/>
    </row>
    <row r="42" spans="1:9">
      <c r="A42" s="3" t="str">
        <f>+'DCP-9, P 3'!A36</f>
        <v>Source:  Value Line Investment Survey, June 9, 2023, July 21, 2023, August 11, 2023.</v>
      </c>
      <c r="B42" s="3"/>
      <c r="C42" s="3"/>
      <c r="D42" s="3"/>
      <c r="E42" s="3"/>
      <c r="F42" s="3"/>
      <c r="G42" s="4"/>
      <c r="H42" s="3"/>
      <c r="I42" s="3"/>
    </row>
    <row r="43" spans="1:9">
      <c r="A43" s="3" t="s">
        <v>323</v>
      </c>
      <c r="B43" s="3"/>
      <c r="C43" s="3"/>
      <c r="D43" s="3"/>
      <c r="E43" s="3"/>
      <c r="F43" s="3"/>
      <c r="G43" s="4"/>
      <c r="H43" s="3"/>
      <c r="I43" s="3"/>
    </row>
    <row r="44" spans="1:9">
      <c r="A44" s="3"/>
      <c r="B44" s="3"/>
      <c r="C44" s="3"/>
      <c r="D44" s="3"/>
      <c r="E44" s="3"/>
      <c r="F44" s="3"/>
      <c r="G44" s="4"/>
      <c r="H44" s="3"/>
      <c r="I44" s="3"/>
    </row>
    <row r="45" spans="1:9">
      <c r="C45" s="203" t="s">
        <v>324</v>
      </c>
      <c r="D45" s="203"/>
      <c r="E45" s="203"/>
    </row>
    <row r="46" spans="1:9">
      <c r="C46" s="47" t="s">
        <v>325</v>
      </c>
      <c r="E46" s="4" t="s">
        <v>40</v>
      </c>
    </row>
    <row r="47" spans="1:9">
      <c r="C47" s="116">
        <v>45047</v>
      </c>
      <c r="E47" s="25">
        <v>3.9600000000000003E-2</v>
      </c>
    </row>
    <row r="48" spans="1:9">
      <c r="C48" s="116">
        <v>45078</v>
      </c>
      <c r="E48" s="25">
        <v>4.0399999999999998E-2</v>
      </c>
    </row>
    <row r="49" spans="1:5">
      <c r="C49" s="168" t="s">
        <v>326</v>
      </c>
      <c r="E49" s="25">
        <v>4.1500000000000002E-2</v>
      </c>
    </row>
    <row r="50" spans="1:5">
      <c r="A50" s="3"/>
      <c r="C50" s="35"/>
    </row>
    <row r="51" spans="1:5">
      <c r="C51" s="53" t="s">
        <v>196</v>
      </c>
      <c r="E51" s="25">
        <f>AVERAGE(E47:E49)</f>
        <v>4.0500000000000001E-2</v>
      </c>
    </row>
  </sheetData>
  <mergeCells count="1">
    <mergeCell ref="C45:E45"/>
  </mergeCells>
  <phoneticPr fontId="8" type="noConversion"/>
  <printOptions horizontalCentered="1"/>
  <pageMargins left="0.75" right="0.75" top="1" bottom="1" header="0.5" footer="0.5"/>
  <pageSetup scale="8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B102"/>
  <sheetViews>
    <sheetView tabSelected="1" showOutlineSymbols="0" zoomScale="75" zoomScaleNormal="75" workbookViewId="0">
      <selection activeCell="A42" sqref="A42"/>
    </sheetView>
  </sheetViews>
  <sheetFormatPr defaultColWidth="9.76953125" defaultRowHeight="15"/>
  <cols>
    <col min="1" max="1" width="27.76953125" style="11" customWidth="1"/>
    <col min="2" max="20" width="7.54296875" style="11" customWidth="1"/>
    <col min="21" max="21" width="11.54296875" style="11" customWidth="1"/>
    <col min="22" max="22" width="11.76953125" style="11" customWidth="1"/>
    <col min="23" max="27" width="7.54296875" style="11" customWidth="1"/>
    <col min="28" max="16384" width="9.76953125" style="11"/>
  </cols>
  <sheetData>
    <row r="1" spans="1:2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"/>
      <c r="Y1" s="3"/>
      <c r="Z1" s="1" t="s">
        <v>327</v>
      </c>
      <c r="AA1" s="3"/>
      <c r="AB1" s="3"/>
    </row>
    <row r="2" spans="1:2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"/>
      <c r="Y2" s="3"/>
      <c r="Z2" s="1" t="s">
        <v>29</v>
      </c>
      <c r="AA2" s="3"/>
      <c r="AB2" s="3"/>
    </row>
    <row r="3" spans="1:2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"/>
      <c r="X3" s="1"/>
      <c r="Y3" s="1"/>
      <c r="Z3" s="1"/>
      <c r="AA3" s="1"/>
      <c r="AB3" s="3"/>
    </row>
    <row r="4" spans="1:28" ht="20.100000000000001">
      <c r="A4" s="2" t="str">
        <f>+'DCP-11'!A6</f>
        <v>PROXY COMPANIES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"/>
    </row>
    <row r="5" spans="1:28" ht="20.100000000000001">
      <c r="A5" s="2" t="s">
        <v>328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</row>
    <row r="8" spans="1:28" ht="15.3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92"/>
    </row>
    <row r="9" spans="1:28" ht="15.3" thickTop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93" t="s">
        <v>329</v>
      </c>
    </row>
    <row r="10" spans="1:28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 t="s">
        <v>330</v>
      </c>
      <c r="V10" s="93" t="s">
        <v>331</v>
      </c>
      <c r="W10" s="93"/>
      <c r="X10" s="93"/>
      <c r="Y10" s="93"/>
      <c r="Z10" s="93"/>
      <c r="AA10" s="93"/>
      <c r="AB10" s="93" t="str">
        <f>+AA11</f>
        <v>2026-28</v>
      </c>
    </row>
    <row r="11" spans="1:28">
      <c r="A11" s="93" t="str">
        <f>+'DCP-11'!A12</f>
        <v>COMPANY</v>
      </c>
      <c r="B11" s="93">
        <v>2002</v>
      </c>
      <c r="C11" s="93">
        <v>2003</v>
      </c>
      <c r="D11" s="93">
        <v>2004</v>
      </c>
      <c r="E11" s="93">
        <v>2005</v>
      </c>
      <c r="F11" s="93">
        <v>2006</v>
      </c>
      <c r="G11" s="93">
        <v>2007</v>
      </c>
      <c r="H11" s="93">
        <v>2008</v>
      </c>
      <c r="I11" s="93">
        <v>2009</v>
      </c>
      <c r="J11" s="93">
        <v>2010</v>
      </c>
      <c r="K11" s="93">
        <v>2011</v>
      </c>
      <c r="L11" s="93">
        <v>2012</v>
      </c>
      <c r="M11" s="93">
        <v>2013</v>
      </c>
      <c r="N11" s="93">
        <v>2014</v>
      </c>
      <c r="O11" s="93">
        <v>2015</v>
      </c>
      <c r="P11" s="93">
        <v>2016</v>
      </c>
      <c r="Q11" s="93">
        <v>2017</v>
      </c>
      <c r="R11" s="93">
        <v>2018</v>
      </c>
      <c r="S11" s="93">
        <v>2019</v>
      </c>
      <c r="T11" s="93">
        <v>2020</v>
      </c>
      <c r="U11" s="93" t="s">
        <v>196</v>
      </c>
      <c r="V11" s="93" t="s">
        <v>196</v>
      </c>
      <c r="W11" s="93">
        <v>2021</v>
      </c>
      <c r="X11" s="93">
        <v>2022</v>
      </c>
      <c r="Y11" s="93">
        <v>2023</v>
      </c>
      <c r="Z11" s="93">
        <v>2024</v>
      </c>
      <c r="AA11" s="93" t="s">
        <v>197</v>
      </c>
      <c r="AB11" s="93" t="s">
        <v>196</v>
      </c>
    </row>
    <row r="12" spans="1:28" ht="15.3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92"/>
    </row>
    <row r="13" spans="1:28" ht="15.3" thickTop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3"/>
    </row>
    <row r="15" spans="1:28">
      <c r="A15" s="1" t="str">
        <f>+'DCP-11'!A16</f>
        <v>Parcell Proxy Group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7" spans="1:28">
      <c r="A17" s="3" t="str">
        <f>+'DCP-11'!A18</f>
        <v>ALLETE</v>
      </c>
      <c r="B17" s="3"/>
      <c r="C17" s="3"/>
      <c r="D17" s="3"/>
      <c r="E17" s="5">
        <v>0.12</v>
      </c>
      <c r="F17" s="5">
        <v>0.13200000000000001</v>
      </c>
      <c r="G17" s="5">
        <v>0.13400000000000001</v>
      </c>
      <c r="H17" s="5">
        <v>0.114</v>
      </c>
      <c r="I17" s="5">
        <v>7.2999999999999995E-2</v>
      </c>
      <c r="J17" s="5">
        <v>8.2000000000000003E-2</v>
      </c>
      <c r="K17" s="5">
        <v>9.5000000000000001E-2</v>
      </c>
      <c r="L17" s="5">
        <v>8.6999999999999994E-2</v>
      </c>
      <c r="M17" s="5">
        <v>8.4000000000000005E-2</v>
      </c>
      <c r="N17" s="5">
        <v>8.5999999999999993E-2</v>
      </c>
      <c r="O17" s="5">
        <v>9.4E-2</v>
      </c>
      <c r="P17" s="5">
        <v>8.3000000000000004E-2</v>
      </c>
      <c r="Q17" s="5">
        <v>0.08</v>
      </c>
      <c r="R17" s="5">
        <v>8.2000000000000003E-2</v>
      </c>
      <c r="S17" s="5">
        <v>7.8E-2</v>
      </c>
      <c r="T17" s="5">
        <v>7.6999999999999999E-2</v>
      </c>
      <c r="U17" s="5"/>
      <c r="V17" s="5">
        <f>AVERAGE(I17:T17)</f>
        <v>8.3416666666666653E-2</v>
      </c>
      <c r="W17" s="5">
        <v>7.1999999999999995E-2</v>
      </c>
      <c r="X17" s="5">
        <v>7.2999999999999995E-2</v>
      </c>
      <c r="Y17" s="5">
        <v>0.08</v>
      </c>
      <c r="Z17" s="5">
        <v>0.08</v>
      </c>
      <c r="AA17" s="5">
        <v>0.09</v>
      </c>
      <c r="AB17" s="5">
        <f>AVERAGE(W17:AA17)</f>
        <v>7.9000000000000001E-2</v>
      </c>
    </row>
    <row r="18" spans="1:28">
      <c r="A18" s="3" t="str">
        <f>+'DCP-11'!A19</f>
        <v>Alliant Energy Corp</v>
      </c>
      <c r="B18" s="5">
        <v>5.7000000000000002E-2</v>
      </c>
      <c r="C18" s="5">
        <v>9.0999999999999998E-2</v>
      </c>
      <c r="D18" s="5">
        <v>8.5000000000000006E-2</v>
      </c>
      <c r="E18" s="5">
        <v>0.10299999999999999</v>
      </c>
      <c r="F18" s="5">
        <v>9.4E-2</v>
      </c>
      <c r="G18" s="5">
        <v>0.115</v>
      </c>
      <c r="H18" s="5">
        <v>0.10199999999999999</v>
      </c>
      <c r="I18" s="5">
        <v>7.4999999999999997E-2</v>
      </c>
      <c r="J18" s="5">
        <v>0.108</v>
      </c>
      <c r="K18" s="5">
        <v>0.104</v>
      </c>
      <c r="L18" s="5">
        <v>0.111</v>
      </c>
      <c r="M18" s="5">
        <v>0.114</v>
      </c>
      <c r="N18" s="5">
        <v>0.115</v>
      </c>
      <c r="O18" s="5">
        <v>0.106</v>
      </c>
      <c r="P18" s="5">
        <v>9.9000000000000005E-2</v>
      </c>
      <c r="Q18" s="5">
        <v>0.114</v>
      </c>
      <c r="R18" s="5">
        <v>0.11700000000000001</v>
      </c>
      <c r="S18" s="5">
        <v>0.115</v>
      </c>
      <c r="T18" s="5">
        <v>0.112</v>
      </c>
      <c r="U18" s="5">
        <f t="shared" ref="U18:U31" si="0">AVERAGE(B18:H18)</f>
        <v>9.2428571428571416E-2</v>
      </c>
      <c r="V18" s="5">
        <f t="shared" ref="V18:V30" si="1">AVERAGE(I18:T18)</f>
        <v>0.1075</v>
      </c>
      <c r="W18" s="5">
        <v>0.113</v>
      </c>
      <c r="X18" s="5">
        <v>0.112</v>
      </c>
      <c r="Y18" s="5">
        <v>0.105</v>
      </c>
      <c r="Z18" s="5">
        <v>0.11</v>
      </c>
      <c r="AA18" s="5">
        <v>0.12</v>
      </c>
      <c r="AB18" s="5">
        <f t="shared" ref="AB18:AB31" si="2">AVERAGE(W18:AA18)</f>
        <v>0.11200000000000002</v>
      </c>
    </row>
    <row r="19" spans="1:28">
      <c r="A19" s="3" t="str">
        <f>+'DCP-11'!A20</f>
        <v>Ameren Corp</v>
      </c>
      <c r="B19" s="5">
        <v>0.108</v>
      </c>
      <c r="C19" s="5">
        <v>0.122</v>
      </c>
      <c r="D19" s="5">
        <v>0.1</v>
      </c>
      <c r="E19" s="5">
        <v>0.10299999999999999</v>
      </c>
      <c r="F19" s="5">
        <v>8.5000000000000006E-2</v>
      </c>
      <c r="G19" s="5">
        <v>9.2999999999999999E-2</v>
      </c>
      <c r="H19" s="5">
        <v>8.7999999999999995E-2</v>
      </c>
      <c r="I19" s="5">
        <v>8.4000000000000005E-2</v>
      </c>
      <c r="J19" s="5">
        <v>8.5000000000000006E-2</v>
      </c>
      <c r="K19" s="5">
        <v>7.5999999999999998E-2</v>
      </c>
      <c r="L19" s="5">
        <v>0.08</v>
      </c>
      <c r="M19" s="5">
        <v>7.6999999999999999E-2</v>
      </c>
      <c r="N19" s="5">
        <v>8.7999999999999995E-2</v>
      </c>
      <c r="O19" s="5">
        <v>8.5000000000000006E-2</v>
      </c>
      <c r="P19" s="5">
        <v>9.2999999999999999E-2</v>
      </c>
      <c r="Q19" s="5">
        <v>9.4E-2</v>
      </c>
      <c r="R19" s="5">
        <v>0.109</v>
      </c>
      <c r="S19" s="5">
        <v>0.105</v>
      </c>
      <c r="T19" s="5">
        <v>0.10299999999999999</v>
      </c>
      <c r="U19" s="5">
        <f t="shared" si="0"/>
        <v>9.9857142857142839E-2</v>
      </c>
      <c r="V19" s="5">
        <f t="shared" si="1"/>
        <v>8.9916666666666659E-2</v>
      </c>
      <c r="W19" s="5">
        <v>0.105</v>
      </c>
      <c r="X19" s="5">
        <v>0.106</v>
      </c>
      <c r="Y19" s="5">
        <v>0.11</v>
      </c>
      <c r="Z19" s="5">
        <v>0.11</v>
      </c>
      <c r="AA19" s="5">
        <v>0.1</v>
      </c>
      <c r="AB19" s="5">
        <f t="shared" si="2"/>
        <v>0.1062</v>
      </c>
    </row>
    <row r="20" spans="1:28">
      <c r="A20" s="3" t="str">
        <f>+'DCP-11'!A21</f>
        <v>Avista Corp</v>
      </c>
      <c r="B20" s="5">
        <v>4.4999999999999998E-2</v>
      </c>
      <c r="C20" s="5">
        <v>6.7000000000000004E-2</v>
      </c>
      <c r="D20" s="5">
        <v>4.5999999999999999E-2</v>
      </c>
      <c r="E20" s="5">
        <v>5.8000000000000003E-2</v>
      </c>
      <c r="F20" s="5">
        <v>8.7999999999999995E-2</v>
      </c>
      <c r="G20" s="5">
        <v>4.1000000000000002E-2</v>
      </c>
      <c r="H20" s="5">
        <v>7.5999999999999998E-2</v>
      </c>
      <c r="I20" s="5">
        <v>8.4000000000000005E-2</v>
      </c>
      <c r="J20" s="5">
        <v>8.5000000000000006E-2</v>
      </c>
      <c r="K20" s="5">
        <v>8.5999999999999993E-2</v>
      </c>
      <c r="L20" s="5">
        <v>6.4000000000000001E-2</v>
      </c>
      <c r="M20" s="5">
        <v>8.6999999999999994E-2</v>
      </c>
      <c r="N20" s="5">
        <v>8.1000000000000003E-2</v>
      </c>
      <c r="O20" s="5">
        <v>7.8E-2</v>
      </c>
      <c r="P20" s="5">
        <v>8.5999999999999993E-2</v>
      </c>
      <c r="Q20" s="5">
        <v>7.4999999999999997E-2</v>
      </c>
      <c r="R20" s="5">
        <v>7.8E-2</v>
      </c>
      <c r="S20" s="5">
        <v>0.106</v>
      </c>
      <c r="T20" s="5">
        <v>6.5000000000000002E-2</v>
      </c>
      <c r="U20" s="5">
        <f t="shared" si="0"/>
        <v>6.0142857142857144E-2</v>
      </c>
      <c r="V20" s="5">
        <f t="shared" si="1"/>
        <v>8.1249999999999989E-2</v>
      </c>
      <c r="W20" s="5">
        <v>7.0999999999999994E-2</v>
      </c>
      <c r="X20" s="5">
        <v>6.9000000000000006E-2</v>
      </c>
      <c r="Y20" s="5">
        <v>7.4999999999999997E-2</v>
      </c>
      <c r="Z20" s="5">
        <v>7.4999999999999997E-2</v>
      </c>
      <c r="AA20" s="5">
        <v>7.4999999999999997E-2</v>
      </c>
      <c r="AB20" s="5">
        <f t="shared" si="2"/>
        <v>7.3000000000000009E-2</v>
      </c>
    </row>
    <row r="21" spans="1:28">
      <c r="A21" s="3" t="str">
        <f>+'DCP-11'!A22</f>
        <v>Black Hills Corp</v>
      </c>
      <c r="B21" s="5">
        <v>0.121</v>
      </c>
      <c r="C21" s="5">
        <v>8.8999999999999996E-2</v>
      </c>
      <c r="D21" s="5">
        <v>7.9000000000000001E-2</v>
      </c>
      <c r="E21" s="5">
        <v>9.4E-2</v>
      </c>
      <c r="F21" s="5">
        <v>9.6000000000000002E-2</v>
      </c>
      <c r="G21" s="5">
        <v>0.109</v>
      </c>
      <c r="H21" s="5">
        <v>7.0000000000000001E-3</v>
      </c>
      <c r="I21" s="5">
        <v>8.4000000000000005E-2</v>
      </c>
      <c r="J21" s="5">
        <v>5.8999999999999997E-2</v>
      </c>
      <c r="K21" s="5">
        <v>3.5999999999999997E-2</v>
      </c>
      <c r="L21" s="5">
        <v>7.0999999999999994E-2</v>
      </c>
      <c r="M21" s="5">
        <v>9.0999999999999998E-2</v>
      </c>
      <c r="N21" s="5">
        <v>9.6000000000000002E-2</v>
      </c>
      <c r="O21" s="5">
        <v>9.5000000000000001E-2</v>
      </c>
      <c r="P21" s="5">
        <v>8.8999999999999996E-2</v>
      </c>
      <c r="Q21" s="5">
        <v>0.109</v>
      </c>
      <c r="R21" s="5">
        <v>0.10199999999999999</v>
      </c>
      <c r="S21" s="5">
        <v>9.4E-2</v>
      </c>
      <c r="T21" s="5">
        <v>9.4E-2</v>
      </c>
      <c r="U21" s="5">
        <f t="shared" si="0"/>
        <v>8.4999999999999992E-2</v>
      </c>
      <c r="V21" s="5">
        <f t="shared" si="1"/>
        <v>8.4999999999999978E-2</v>
      </c>
      <c r="W21" s="5">
        <v>8.8999999999999996E-2</v>
      </c>
      <c r="X21" s="5">
        <v>0.09</v>
      </c>
      <c r="Y21" s="5">
        <v>0.08</v>
      </c>
      <c r="Z21" s="5">
        <v>0.08</v>
      </c>
      <c r="AA21" s="5">
        <v>0.08</v>
      </c>
      <c r="AB21" s="5">
        <f t="shared" si="2"/>
        <v>8.3800000000000013E-2</v>
      </c>
    </row>
    <row r="22" spans="1:28">
      <c r="A22" s="3" t="str">
        <f>+'DCP-11'!A23</f>
        <v>Evergy, Inc.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>
        <v>7.1999999999999995E-2</v>
      </c>
      <c r="T22" s="5">
        <v>7.0999999999999994E-2</v>
      </c>
      <c r="U22" s="5"/>
      <c r="V22" s="5"/>
      <c r="W22" s="5">
        <v>9.7000000000000003E-2</v>
      </c>
      <c r="X22" s="5">
        <v>7.9000000000000001E-2</v>
      </c>
      <c r="Y22" s="5">
        <v>0.09</v>
      </c>
      <c r="Z22" s="5">
        <v>0.09</v>
      </c>
      <c r="AA22" s="5">
        <v>0.1</v>
      </c>
      <c r="AB22" s="5">
        <f t="shared" si="2"/>
        <v>9.1199999999999989E-2</v>
      </c>
    </row>
    <row r="23" spans="1:28">
      <c r="A23" s="3" t="str">
        <f>+'DCP-11'!A24</f>
        <v>Eversource Energy</v>
      </c>
      <c r="B23" s="5">
        <v>6.4000000000000001E-2</v>
      </c>
      <c r="C23" s="5">
        <v>7.0999999999999994E-2</v>
      </c>
      <c r="D23" s="5">
        <v>5.0999999999999997E-2</v>
      </c>
      <c r="E23" s="5">
        <v>5.3999999999999999E-2</v>
      </c>
      <c r="F23" s="5">
        <v>4.4999999999999998E-2</v>
      </c>
      <c r="G23" s="5">
        <v>8.5999999999999993E-2</v>
      </c>
      <c r="H23" s="5">
        <v>9.8000000000000004E-2</v>
      </c>
      <c r="I23" s="5">
        <v>9.6000000000000002E-2</v>
      </c>
      <c r="J23" s="5">
        <v>4.9000000000000002E-2</v>
      </c>
      <c r="K23" s="5">
        <v>0.1</v>
      </c>
      <c r="L23" s="5">
        <v>7.2999999999999995E-2</v>
      </c>
      <c r="M23" s="5">
        <v>8.3000000000000004E-2</v>
      </c>
      <c r="N23" s="5">
        <v>8.3000000000000004E-2</v>
      </c>
      <c r="O23" s="5">
        <v>8.5999999999999993E-2</v>
      </c>
      <c r="P23" s="5">
        <v>8.8999999999999996E-2</v>
      </c>
      <c r="Q23" s="5">
        <v>0.09</v>
      </c>
      <c r="R23" s="5">
        <v>9.0999999999999998E-2</v>
      </c>
      <c r="S23" s="5">
        <v>9.2999999999999999E-2</v>
      </c>
      <c r="T23" s="5">
        <v>9.1999999999999998E-2</v>
      </c>
      <c r="U23" s="5">
        <f t="shared" si="0"/>
        <v>6.699999999999999E-2</v>
      </c>
      <c r="V23" s="5">
        <f t="shared" si="1"/>
        <v>8.5416666666666655E-2</v>
      </c>
      <c r="W23" s="5">
        <v>9.2999999999999999E-2</v>
      </c>
      <c r="X23" s="5">
        <v>9.4E-2</v>
      </c>
      <c r="Y23" s="5">
        <v>9.5000000000000001E-2</v>
      </c>
      <c r="Z23" s="5">
        <v>9.5000000000000001E-2</v>
      </c>
      <c r="AA23" s="5">
        <v>0.1</v>
      </c>
      <c r="AB23" s="5">
        <f t="shared" si="2"/>
        <v>9.5399999999999999E-2</v>
      </c>
    </row>
    <row r="24" spans="1:28">
      <c r="A24" s="3" t="str">
        <f>+'DCP-11'!A25</f>
        <v>Fortis, Inc.</v>
      </c>
      <c r="B24" s="5"/>
      <c r="C24" s="5"/>
      <c r="D24" s="5">
        <v>0.105</v>
      </c>
      <c r="E24" s="5">
        <v>0.107</v>
      </c>
      <c r="F24" s="5">
        <v>0.113</v>
      </c>
      <c r="G24" s="5">
        <v>8.8999999999999996E-2</v>
      </c>
      <c r="H24" s="5">
        <v>8.7999999999999995E-2</v>
      </c>
      <c r="I24" s="5">
        <v>8.3000000000000004E-2</v>
      </c>
      <c r="J24" s="5">
        <v>8.5999999999999993E-2</v>
      </c>
      <c r="K24" s="5">
        <v>8.7999999999999995E-2</v>
      </c>
      <c r="L24" s="5">
        <v>0.08</v>
      </c>
      <c r="M24" s="5">
        <v>7.4999999999999997E-2</v>
      </c>
      <c r="N24" s="5">
        <v>5.8000000000000003E-2</v>
      </c>
      <c r="O24" s="5">
        <v>7.9000000000000001E-2</v>
      </c>
      <c r="P24" s="5">
        <v>6.2E-2</v>
      </c>
      <c r="Q24" s="5">
        <v>8.3000000000000004E-2</v>
      </c>
      <c r="R24" s="5">
        <v>7.5999999999999998E-2</v>
      </c>
      <c r="S24" s="5">
        <v>7.4999999999999997E-2</v>
      </c>
      <c r="T24" s="5">
        <v>7.0999999999999994E-2</v>
      </c>
      <c r="U24" s="5">
        <f t="shared" si="0"/>
        <v>0.1004</v>
      </c>
      <c r="V24" s="5">
        <f t="shared" ref="V24" si="3">AVERAGE(I24:T24)</f>
        <v>7.6333333333333322E-2</v>
      </c>
      <c r="W24" s="5">
        <v>7.0999999999999994E-2</v>
      </c>
      <c r="X24" s="5">
        <v>7.4999999999999997E-2</v>
      </c>
      <c r="Y24" s="5">
        <v>7.0000000000000007E-2</v>
      </c>
      <c r="Z24" s="5">
        <v>7.0000000000000007E-2</v>
      </c>
      <c r="AA24" s="5">
        <v>7.4999999999999997E-2</v>
      </c>
      <c r="AB24" s="5">
        <f t="shared" ref="AB24" si="4">AVERAGE(W24:AA24)</f>
        <v>7.2200000000000014E-2</v>
      </c>
    </row>
    <row r="25" spans="1:28">
      <c r="A25" s="3" t="str">
        <f>+'DCP-11'!A26</f>
        <v>IDACORP</v>
      </c>
      <c r="B25" s="5">
        <v>7.0999999999999994E-2</v>
      </c>
      <c r="C25" s="5">
        <v>4.2000000000000003E-2</v>
      </c>
      <c r="D25" s="5">
        <v>8.2000000000000003E-2</v>
      </c>
      <c r="E25" s="5">
        <v>7.2999999999999995E-2</v>
      </c>
      <c r="F25" s="5">
        <v>9.4E-2</v>
      </c>
      <c r="G25" s="5">
        <v>7.0999999999999994E-2</v>
      </c>
      <c r="H25" s="5">
        <v>0.08</v>
      </c>
      <c r="I25" s="5">
        <v>9.2999999999999999E-2</v>
      </c>
      <c r="J25" s="5">
        <v>9.8000000000000004E-2</v>
      </c>
      <c r="K25" s="5">
        <v>0.105</v>
      </c>
      <c r="L25" s="5">
        <v>9.9000000000000005E-2</v>
      </c>
      <c r="M25" s="5">
        <v>0.10100000000000001</v>
      </c>
      <c r="N25" s="5">
        <v>0.10199999999999999</v>
      </c>
      <c r="O25" s="5">
        <v>9.7000000000000003E-2</v>
      </c>
      <c r="P25" s="5">
        <v>9.4E-2</v>
      </c>
      <c r="Q25" s="5">
        <v>9.6000000000000002E-2</v>
      </c>
      <c r="R25" s="5">
        <v>9.8000000000000004E-2</v>
      </c>
      <c r="S25" s="5">
        <v>9.6000000000000002E-2</v>
      </c>
      <c r="T25" s="5">
        <v>9.4E-2</v>
      </c>
      <c r="U25" s="5">
        <f t="shared" si="0"/>
        <v>7.3285714285714287E-2</v>
      </c>
      <c r="V25" s="5">
        <f t="shared" si="1"/>
        <v>9.7750000000000004E-2</v>
      </c>
      <c r="W25" s="5">
        <v>9.4E-2</v>
      </c>
      <c r="X25" s="5">
        <v>9.4E-2</v>
      </c>
      <c r="Y25" s="5">
        <v>0.09</v>
      </c>
      <c r="Z25" s="5">
        <v>0.09</v>
      </c>
      <c r="AA25" s="5">
        <v>9.5000000000000001E-2</v>
      </c>
      <c r="AB25" s="5">
        <f t="shared" si="2"/>
        <v>9.2599999999999988E-2</v>
      </c>
    </row>
    <row r="26" spans="1:28">
      <c r="A26" s="3" t="str">
        <f>+'DCP-11'!A27</f>
        <v>Northwestern Corp</v>
      </c>
      <c r="B26" s="5"/>
      <c r="C26" s="5"/>
      <c r="D26" s="5"/>
      <c r="E26" s="5"/>
      <c r="F26" s="5">
        <v>6.4000000000000001E-2</v>
      </c>
      <c r="G26" s="5">
        <v>6.9000000000000006E-2</v>
      </c>
      <c r="H26" s="5">
        <v>8.4000000000000005E-2</v>
      </c>
      <c r="I26" s="5">
        <v>9.4E-2</v>
      </c>
      <c r="J26" s="5">
        <v>9.6000000000000002E-2</v>
      </c>
      <c r="K26" s="5">
        <v>0.109</v>
      </c>
      <c r="L26" s="5">
        <v>9.2999999999999999E-2</v>
      </c>
      <c r="M26" s="5">
        <v>9.5000000000000001E-2</v>
      </c>
      <c r="N26" s="5">
        <v>0.10299999999999999</v>
      </c>
      <c r="O26" s="5">
        <v>0.09</v>
      </c>
      <c r="P26" s="5">
        <v>0.1</v>
      </c>
      <c r="Q26" s="5">
        <v>9.4E-2</v>
      </c>
      <c r="R26" s="5">
        <v>9.0999999999999998E-2</v>
      </c>
      <c r="S26" s="5">
        <v>8.8999999999999996E-2</v>
      </c>
      <c r="T26" s="5">
        <v>7.9000000000000001E-2</v>
      </c>
      <c r="U26" s="5"/>
      <c r="V26" s="5">
        <f t="shared" si="1"/>
        <v>9.4416666666666649E-2</v>
      </c>
      <c r="W26" s="5">
        <v>8.3000000000000004E-2</v>
      </c>
      <c r="X26" s="5">
        <v>7.4999999999999997E-2</v>
      </c>
      <c r="Y26" s="5">
        <v>7.0000000000000007E-2</v>
      </c>
      <c r="Z26" s="5">
        <v>7.4999999999999997E-2</v>
      </c>
      <c r="AA26" s="5">
        <v>0.08</v>
      </c>
      <c r="AB26" s="5">
        <f t="shared" si="2"/>
        <v>7.6600000000000001E-2</v>
      </c>
    </row>
    <row r="27" spans="1:28">
      <c r="A27" s="3" t="str">
        <f>+'DCP-11'!A28</f>
        <v>OGE Energy</v>
      </c>
      <c r="B27" s="5">
        <v>0.111</v>
      </c>
      <c r="C27" s="5">
        <v>0.13200000000000001</v>
      </c>
      <c r="D27" s="5">
        <v>0.127</v>
      </c>
      <c r="E27" s="5">
        <v>0.125</v>
      </c>
      <c r="F27" s="5">
        <v>0.15</v>
      </c>
      <c r="G27" s="5">
        <v>0.14699999999999999</v>
      </c>
      <c r="H27" s="5">
        <v>0.13</v>
      </c>
      <c r="I27" s="5">
        <v>0.129</v>
      </c>
      <c r="J27" s="5">
        <v>0.13500000000000001</v>
      </c>
      <c r="K27" s="5">
        <v>0.14000000000000001</v>
      </c>
      <c r="L27" s="5">
        <v>0.13200000000000001</v>
      </c>
      <c r="M27" s="5">
        <v>0.13200000000000001</v>
      </c>
      <c r="N27" s="5">
        <v>0.125</v>
      </c>
      <c r="O27" s="5">
        <v>0.10299999999999999</v>
      </c>
      <c r="P27" s="5">
        <v>0.1</v>
      </c>
      <c r="Q27" s="5">
        <v>0.105</v>
      </c>
      <c r="R27" s="5">
        <v>0.108</v>
      </c>
      <c r="S27" s="5">
        <v>0.11</v>
      </c>
      <c r="T27" s="5">
        <v>0.107</v>
      </c>
      <c r="U27" s="5">
        <f t="shared" si="0"/>
        <v>0.13171428571428573</v>
      </c>
      <c r="V27" s="5">
        <f t="shared" si="1"/>
        <v>0.11883333333333335</v>
      </c>
      <c r="W27" s="5">
        <v>0.123</v>
      </c>
      <c r="X27" s="5">
        <v>0.107</v>
      </c>
      <c r="Y27" s="5">
        <v>0.12</v>
      </c>
      <c r="Z27" s="5">
        <v>0.12</v>
      </c>
      <c r="AA27" s="5">
        <v>0.13</v>
      </c>
      <c r="AB27" s="5">
        <f t="shared" si="2"/>
        <v>0.12</v>
      </c>
    </row>
    <row r="28" spans="1:28">
      <c r="A28" s="3" t="str">
        <f>+'DCP-11'!A29</f>
        <v>Otter Tail Corp</v>
      </c>
      <c r="B28" s="5">
        <v>0.152</v>
      </c>
      <c r="C28" s="5">
        <v>0.12</v>
      </c>
      <c r="D28" s="5">
        <v>0.108</v>
      </c>
      <c r="E28" s="5">
        <v>0.11600000000000001</v>
      </c>
      <c r="F28" s="5">
        <v>0.104</v>
      </c>
      <c r="G28" s="5">
        <v>0.104</v>
      </c>
      <c r="H28" s="5">
        <v>5.8999999999999997E-2</v>
      </c>
      <c r="I28" s="5">
        <v>3.6999999999999998E-2</v>
      </c>
      <c r="J28" s="5">
        <v>2.1000000000000001E-2</v>
      </c>
      <c r="K28" s="5">
        <v>2.7E-2</v>
      </c>
      <c r="L28" s="5">
        <v>6.9000000000000006E-2</v>
      </c>
      <c r="M28" s="5">
        <v>9.4E-2</v>
      </c>
      <c r="N28" s="5">
        <v>0.10299999999999999</v>
      </c>
      <c r="O28" s="5">
        <v>9.9000000000000005E-2</v>
      </c>
      <c r="P28" s="5">
        <v>9.7000000000000003E-2</v>
      </c>
      <c r="Q28" s="5">
        <v>0.107</v>
      </c>
      <c r="R28" s="5">
        <v>0.114</v>
      </c>
      <c r="S28" s="5">
        <v>0.115</v>
      </c>
      <c r="T28" s="5">
        <v>0.11600000000000001</v>
      </c>
      <c r="U28" s="5">
        <f t="shared" si="0"/>
        <v>0.10899999999999999</v>
      </c>
      <c r="V28" s="5">
        <f t="shared" si="1"/>
        <v>8.3249999999999991E-2</v>
      </c>
      <c r="W28" s="5">
        <v>0.189</v>
      </c>
      <c r="X28" s="5">
        <v>0.255</v>
      </c>
      <c r="Y28" s="5">
        <v>0.13500000000000001</v>
      </c>
      <c r="Z28" s="5">
        <v>0.13</v>
      </c>
      <c r="AA28" s="5">
        <v>0.115</v>
      </c>
      <c r="AB28" s="5">
        <f t="shared" si="2"/>
        <v>0.1648</v>
      </c>
    </row>
    <row r="29" spans="1:28">
      <c r="A29" s="3" t="str">
        <f>+'DCP-11'!A30</f>
        <v>Pinnacle West Capital Corp</v>
      </c>
      <c r="B29" s="5">
        <v>8.5999999999999993E-2</v>
      </c>
      <c r="C29" s="5">
        <v>8.3000000000000004E-2</v>
      </c>
      <c r="D29" s="5">
        <v>8.2000000000000003E-2</v>
      </c>
      <c r="E29" s="5">
        <v>6.7000000000000004E-2</v>
      </c>
      <c r="F29" s="5">
        <v>9.1999999999999998E-2</v>
      </c>
      <c r="G29" s="5">
        <v>8.5000000000000006E-2</v>
      </c>
      <c r="H29" s="5">
        <v>6.0999999999999999E-2</v>
      </c>
      <c r="I29" s="5">
        <v>6.8000000000000005E-2</v>
      </c>
      <c r="J29" s="5">
        <v>9.2999999999999999E-2</v>
      </c>
      <c r="K29" s="5">
        <v>8.6999999999999994E-2</v>
      </c>
      <c r="L29" s="5">
        <v>9.8000000000000004E-2</v>
      </c>
      <c r="M29" s="5">
        <v>9.9000000000000005E-2</v>
      </c>
      <c r="N29" s="5">
        <v>9.1999999999999998E-2</v>
      </c>
      <c r="O29" s="5">
        <v>9.7000000000000003E-2</v>
      </c>
      <c r="P29" s="5">
        <v>9.4E-2</v>
      </c>
      <c r="Q29" s="5">
        <v>0.10100000000000001</v>
      </c>
      <c r="R29" s="5">
        <v>9.9000000000000005E-2</v>
      </c>
      <c r="S29" s="5">
        <v>0.10100000000000001</v>
      </c>
      <c r="T29" s="5">
        <v>9.9000000000000005E-2</v>
      </c>
      <c r="U29" s="5">
        <f t="shared" si="0"/>
        <v>7.9428571428571432E-2</v>
      </c>
      <c r="V29" s="5">
        <f t="shared" si="1"/>
        <v>9.3999999999999986E-2</v>
      </c>
      <c r="W29" s="5">
        <v>0.107</v>
      </c>
      <c r="X29" s="5">
        <v>8.1000000000000003E-2</v>
      </c>
      <c r="Y29" s="5">
        <v>7.4999999999999997E-2</v>
      </c>
      <c r="Z29" s="5">
        <v>0.08</v>
      </c>
      <c r="AA29" s="5">
        <v>9.5000000000000001E-2</v>
      </c>
      <c r="AB29" s="5">
        <f t="shared" si="2"/>
        <v>8.7600000000000011E-2</v>
      </c>
    </row>
    <row r="30" spans="1:28">
      <c r="A30" s="3" t="str">
        <f>+'DCP-11'!A31</f>
        <v>Portland General Electric</v>
      </c>
      <c r="B30" s="5"/>
      <c r="C30" s="5"/>
      <c r="D30" s="5"/>
      <c r="E30" s="5"/>
      <c r="F30" s="5"/>
      <c r="G30" s="5">
        <v>0.115</v>
      </c>
      <c r="H30" s="5">
        <v>6.5000000000000002E-2</v>
      </c>
      <c r="I30" s="5">
        <v>6.2E-2</v>
      </c>
      <c r="J30" s="5">
        <v>0.08</v>
      </c>
      <c r="K30" s="5">
        <v>0.09</v>
      </c>
      <c r="L30" s="5">
        <v>8.3000000000000004E-2</v>
      </c>
      <c r="M30" s="5">
        <v>7.6999999999999999E-2</v>
      </c>
      <c r="N30" s="5">
        <v>9.0999999999999998E-2</v>
      </c>
      <c r="O30" s="5">
        <v>8.2000000000000003E-2</v>
      </c>
      <c r="P30" s="5">
        <v>8.3000000000000004E-2</v>
      </c>
      <c r="Q30" s="5">
        <v>8.5999999999999993E-2</v>
      </c>
      <c r="R30" s="5">
        <v>8.5999999999999993E-2</v>
      </c>
      <c r="S30" s="5">
        <v>8.4000000000000005E-2</v>
      </c>
      <c r="T30" s="5">
        <v>5.8999999999999997E-2</v>
      </c>
      <c r="U30" s="5"/>
      <c r="V30" s="5">
        <f t="shared" si="1"/>
        <v>8.0249999999999988E-2</v>
      </c>
      <c r="W30" s="5">
        <v>9.0999999999999998E-2</v>
      </c>
      <c r="X30" s="5">
        <v>8.8999999999999996E-2</v>
      </c>
      <c r="Y30" s="5">
        <v>0.08</v>
      </c>
      <c r="Z30" s="5">
        <v>8.5000000000000006E-2</v>
      </c>
      <c r="AA30" s="5">
        <v>9.5000000000000001E-2</v>
      </c>
      <c r="AB30" s="5">
        <f t="shared" si="2"/>
        <v>8.8000000000000009E-2</v>
      </c>
    </row>
    <row r="31" spans="1:28">
      <c r="A31" s="3" t="str">
        <f>+'DCP-11'!A32</f>
        <v>WEC Energy Group</v>
      </c>
      <c r="B31" s="5">
        <v>0.128</v>
      </c>
      <c r="C31" s="5">
        <v>0.11799999999999999</v>
      </c>
      <c r="D31" s="5">
        <v>0.09</v>
      </c>
      <c r="E31" s="5">
        <v>0.11600000000000001</v>
      </c>
      <c r="F31" s="5">
        <v>0.111</v>
      </c>
      <c r="G31" s="5">
        <v>0.111</v>
      </c>
      <c r="H31" s="5">
        <v>0.11</v>
      </c>
      <c r="I31" s="5">
        <v>0.108</v>
      </c>
      <c r="J31" s="5">
        <v>0.122</v>
      </c>
      <c r="K31" s="5">
        <v>0.13</v>
      </c>
      <c r="L31" s="5">
        <v>0.13300000000000001</v>
      </c>
      <c r="M31" s="5">
        <v>0.13600000000000001</v>
      </c>
      <c r="N31" s="5">
        <v>0.13500000000000001</v>
      </c>
      <c r="O31" s="5">
        <v>0.1</v>
      </c>
      <c r="P31" s="5">
        <v>0.106</v>
      </c>
      <c r="Q31" s="5">
        <v>0.108</v>
      </c>
      <c r="R31" s="5">
        <v>0.11</v>
      </c>
      <c r="S31" s="5">
        <v>0.114</v>
      </c>
      <c r="T31" s="5">
        <v>0.11600000000000001</v>
      </c>
      <c r="U31" s="5">
        <f t="shared" si="0"/>
        <v>0.11199999999999999</v>
      </c>
      <c r="V31" s="5">
        <f>AVERAGE(I31:T31)</f>
        <v>0.1181666666666667</v>
      </c>
      <c r="W31" s="5">
        <v>0.121</v>
      </c>
      <c r="X31" s="5">
        <v>0.125</v>
      </c>
      <c r="Y31" s="5">
        <v>0.125</v>
      </c>
      <c r="Z31" s="5">
        <v>0.125</v>
      </c>
      <c r="AA31" s="5">
        <v>0.13</v>
      </c>
      <c r="AB31" s="5">
        <f t="shared" si="2"/>
        <v>0.12520000000000001</v>
      </c>
    </row>
    <row r="32" spans="1:28">
      <c r="A32" s="3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38"/>
    </row>
    <row r="33" spans="1:28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3"/>
    </row>
    <row r="34" spans="1:28">
      <c r="A34" s="3" t="s">
        <v>196</v>
      </c>
      <c r="B34" s="5">
        <f t="shared" ref="B34:AB34" si="5">AVERAGE(B17:B31)</f>
        <v>9.4300000000000009E-2</v>
      </c>
      <c r="C34" s="5">
        <f t="shared" si="5"/>
        <v>9.35E-2</v>
      </c>
      <c r="D34" s="5">
        <f t="shared" si="5"/>
        <v>8.6818181818181808E-2</v>
      </c>
      <c r="E34" s="5">
        <f t="shared" si="5"/>
        <v>9.4666666666666677E-2</v>
      </c>
      <c r="F34" s="5">
        <f t="shared" si="5"/>
        <v>9.7538461538461546E-2</v>
      </c>
      <c r="G34" s="5">
        <f t="shared" si="5"/>
        <v>9.7785714285714281E-2</v>
      </c>
      <c r="H34" s="5">
        <f t="shared" si="5"/>
        <v>8.299999999999999E-2</v>
      </c>
      <c r="I34" s="5">
        <f t="shared" si="5"/>
        <v>8.3571428571428588E-2</v>
      </c>
      <c r="J34" s="5">
        <f t="shared" si="5"/>
        <v>8.5642857142857132E-2</v>
      </c>
      <c r="K34" s="5">
        <f t="shared" si="5"/>
        <v>9.0928571428571442E-2</v>
      </c>
      <c r="L34" s="5">
        <f t="shared" si="5"/>
        <v>9.0928571428571442E-2</v>
      </c>
      <c r="M34" s="5">
        <f t="shared" si="5"/>
        <v>9.6071428571428558E-2</v>
      </c>
      <c r="N34" s="5">
        <f t="shared" si="5"/>
        <v>9.7000000000000003E-2</v>
      </c>
      <c r="O34" s="5">
        <f t="shared" si="5"/>
        <v>9.2214285714285721E-2</v>
      </c>
      <c r="P34" s="5">
        <f t="shared" si="5"/>
        <v>9.1071428571428567E-2</v>
      </c>
      <c r="Q34" s="5">
        <f t="shared" si="5"/>
        <v>9.5857142857142863E-2</v>
      </c>
      <c r="R34" s="5">
        <f t="shared" si="5"/>
        <v>9.7214285714285711E-2</v>
      </c>
      <c r="S34" s="5">
        <f t="shared" si="5"/>
        <v>9.6466666666666673E-2</v>
      </c>
      <c r="T34" s="5">
        <f t="shared" si="5"/>
        <v>9.0333333333333321E-2</v>
      </c>
      <c r="U34" s="13">
        <f t="shared" si="5"/>
        <v>9.1841558441558432E-2</v>
      </c>
      <c r="V34" s="13">
        <f t="shared" si="5"/>
        <v>9.2535714285714291E-2</v>
      </c>
      <c r="W34" s="5">
        <f t="shared" si="5"/>
        <v>0.10126666666666664</v>
      </c>
      <c r="X34" s="5">
        <f t="shared" si="5"/>
        <v>0.10159999999999997</v>
      </c>
      <c r="Y34" s="5">
        <f t="shared" si="5"/>
        <v>9.3333333333333338E-2</v>
      </c>
      <c r="Z34" s="5">
        <f t="shared" si="5"/>
        <v>9.4333333333333338E-2</v>
      </c>
      <c r="AA34" s="5">
        <f t="shared" si="5"/>
        <v>9.8666666666666666E-2</v>
      </c>
      <c r="AB34" s="13">
        <f t="shared" si="5"/>
        <v>9.7840000000000024E-2</v>
      </c>
    </row>
    <row r="35" spans="1:28">
      <c r="A35" s="3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56"/>
      <c r="V35" s="56"/>
      <c r="W35" s="56"/>
      <c r="X35" s="56"/>
      <c r="Y35" s="56"/>
      <c r="Z35" s="56"/>
      <c r="AA35" s="56"/>
      <c r="AB35" s="172"/>
    </row>
    <row r="36" spans="1:28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13"/>
      <c r="V36" s="13"/>
      <c r="W36" s="13"/>
      <c r="X36" s="13"/>
      <c r="Y36" s="13"/>
      <c r="Z36" s="13"/>
      <c r="AA36" s="13"/>
      <c r="AB36" s="1"/>
    </row>
    <row r="37" spans="1:28">
      <c r="A37" s="3" t="s">
        <v>198</v>
      </c>
      <c r="B37" s="5">
        <f>MEDIAN(B17:B31)</f>
        <v>9.7000000000000003E-2</v>
      </c>
      <c r="C37" s="5">
        <f t="shared" ref="C37:T37" si="6">MEDIAN(C17:C31)</f>
        <v>0.09</v>
      </c>
      <c r="D37" s="5">
        <f t="shared" si="6"/>
        <v>8.5000000000000006E-2</v>
      </c>
      <c r="E37" s="5">
        <f t="shared" si="6"/>
        <v>0.10299999999999999</v>
      </c>
      <c r="F37" s="5">
        <f t="shared" si="6"/>
        <v>9.4E-2</v>
      </c>
      <c r="G37" s="5">
        <f t="shared" si="6"/>
        <v>9.8500000000000004E-2</v>
      </c>
      <c r="H37" s="5">
        <f t="shared" si="6"/>
        <v>8.5999999999999993E-2</v>
      </c>
      <c r="I37" s="5">
        <f t="shared" si="6"/>
        <v>8.4000000000000005E-2</v>
      </c>
      <c r="J37" s="5">
        <f t="shared" si="6"/>
        <v>8.5499999999999993E-2</v>
      </c>
      <c r="K37" s="5">
        <f t="shared" si="6"/>
        <v>9.2499999999999999E-2</v>
      </c>
      <c r="L37" s="5">
        <f t="shared" si="6"/>
        <v>8.4999999999999992E-2</v>
      </c>
      <c r="M37" s="5">
        <f t="shared" si="6"/>
        <v>9.2499999999999999E-2</v>
      </c>
      <c r="N37" s="5">
        <f t="shared" si="6"/>
        <v>9.4E-2</v>
      </c>
      <c r="O37" s="5">
        <f t="shared" si="6"/>
        <v>9.4500000000000001E-2</v>
      </c>
      <c r="P37" s="5">
        <f t="shared" si="6"/>
        <v>9.35E-2</v>
      </c>
      <c r="Q37" s="5">
        <f t="shared" si="6"/>
        <v>9.5000000000000001E-2</v>
      </c>
      <c r="R37" s="5">
        <f t="shared" si="6"/>
        <v>9.8500000000000004E-2</v>
      </c>
      <c r="S37" s="5">
        <f t="shared" si="6"/>
        <v>9.6000000000000002E-2</v>
      </c>
      <c r="T37" s="5">
        <f t="shared" si="6"/>
        <v>9.4E-2</v>
      </c>
      <c r="U37" s="13">
        <f>AVERAGE(B37:H37)</f>
        <v>9.3357142857142847E-2</v>
      </c>
      <c r="V37" s="13">
        <f>AVERAGE(I37:T37)</f>
        <v>9.208333333333335E-2</v>
      </c>
      <c r="W37" s="5">
        <f>MEDIAN(W17:W31)</f>
        <v>9.4E-2</v>
      </c>
      <c r="X37" s="5">
        <f>MEDIAN(X17:X31)</f>
        <v>0.09</v>
      </c>
      <c r="Y37" s="5">
        <f>MEDIAN(Y17:Y31)</f>
        <v>0.09</v>
      </c>
      <c r="Z37" s="5">
        <f>MEDIAN(Z17:Z31)</f>
        <v>0.09</v>
      </c>
      <c r="AA37" s="5">
        <f>MEDIAN(AA17:AA31)</f>
        <v>9.5000000000000001E-2</v>
      </c>
      <c r="AB37" s="13">
        <f>AVERAGE(W37:AA37)</f>
        <v>9.1799999999999993E-2</v>
      </c>
    </row>
    <row r="38" spans="1:28" ht="15.3" thickBot="1">
      <c r="A38" s="92"/>
      <c r="B38" s="21"/>
      <c r="C38" s="21"/>
      <c r="D38" s="21"/>
      <c r="E38" s="21"/>
      <c r="F38" s="21"/>
      <c r="G38" s="21"/>
      <c r="H38" s="21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92"/>
    </row>
    <row r="39" spans="1:28" ht="15.3" thickTop="1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13"/>
      <c r="V39" s="13"/>
      <c r="W39" s="5"/>
      <c r="X39" s="5"/>
      <c r="Y39" s="5"/>
      <c r="Z39" s="5"/>
      <c r="AA39" s="5"/>
      <c r="AB39" s="3"/>
    </row>
    <row r="40" spans="1:28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3"/>
    </row>
    <row r="41" spans="1:28">
      <c r="A41" s="3" t="s">
        <v>430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3"/>
    </row>
    <row r="42" spans="1:28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3"/>
    </row>
    <row r="43" spans="1:28">
      <c r="A43" s="3" t="s">
        <v>332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13"/>
      <c r="V43" s="13"/>
      <c r="W43" s="13"/>
      <c r="X43" s="13"/>
      <c r="Y43" s="13"/>
      <c r="Z43" s="13"/>
      <c r="AA43" s="13"/>
      <c r="AB43" s="3"/>
    </row>
    <row r="44" spans="1:28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13"/>
      <c r="V44" s="13"/>
      <c r="W44" s="13"/>
      <c r="X44" s="13"/>
      <c r="Y44" s="13"/>
      <c r="Z44" s="13"/>
      <c r="AA44" s="13"/>
      <c r="AB44" s="3"/>
    </row>
    <row r="45" spans="1:28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13"/>
      <c r="V45" s="13"/>
      <c r="W45" s="13"/>
      <c r="X45" s="13"/>
      <c r="Y45" s="13"/>
      <c r="Z45" s="13"/>
      <c r="AA45" s="13"/>
    </row>
    <row r="46" spans="1:28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13"/>
      <c r="V46" s="13"/>
      <c r="W46" s="13"/>
      <c r="X46" s="13"/>
      <c r="Y46" s="13"/>
      <c r="Z46" s="13"/>
      <c r="AA46" s="13"/>
    </row>
    <row r="47" spans="1:28">
      <c r="A47" s="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8">
      <c r="A4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>
      <c r="A49" s="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>
      <c r="A53" s="3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>
      <c r="A54" s="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>
      <c r="A55" s="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>
      <c r="A56" s="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>
      <c r="A57" s="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>
      <c r="A58" s="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>
      <c r="A59" s="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>
      <c r="A60" s="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>
      <c r="A61" s="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>
      <c r="A62" s="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>
      <c r="A63" s="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>
      <c r="A64" s="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>
      <c r="A6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>
      <c r="A66" s="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13"/>
      <c r="V66" s="13"/>
      <c r="W66" s="13"/>
      <c r="X66" s="13"/>
      <c r="Y66" s="13"/>
      <c r="Z66" s="13"/>
      <c r="AA66" s="13"/>
    </row>
    <row r="67" spans="1:27">
      <c r="A67" s="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>
      <c r="A6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>
      <c r="A69" s="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13"/>
      <c r="V69" s="13"/>
      <c r="W69" s="5"/>
      <c r="X69" s="5"/>
      <c r="Y69" s="5"/>
      <c r="Z69" s="5"/>
      <c r="AA69" s="5"/>
    </row>
    <row r="70" spans="1:27">
      <c r="A70" s="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>
      <c r="A7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>
      <c r="A72" s="3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13"/>
      <c r="V72" s="13"/>
      <c r="W72" s="5"/>
      <c r="X72" s="5"/>
      <c r="Y72" s="5"/>
      <c r="Z72" s="5"/>
      <c r="AA72" s="5"/>
    </row>
    <row r="73" spans="1:27">
      <c r="A73" s="3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>
      <c r="A7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>
      <c r="A75" s="3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>
      <c r="A76" s="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2:27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2:27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2:27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2:27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2:27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2:27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2:27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2:27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2:27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2:27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2:27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2:27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2:27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2:27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</sheetData>
  <phoneticPr fontId="0" type="noConversion"/>
  <printOptions horizontalCentered="1"/>
  <pageMargins left="0.5" right="0.5" top="0.5" bottom="0.55000000000000004" header="0" footer="0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zoomScaleNormal="100" workbookViewId="0">
      <selection activeCell="H79" sqref="H79"/>
    </sheetView>
  </sheetViews>
  <sheetFormatPr defaultColWidth="8.86328125" defaultRowHeight="15"/>
  <cols>
    <col min="1" max="2" width="9.76953125" style="60" customWidth="1"/>
    <col min="3" max="3" width="2.76953125" style="60" customWidth="1"/>
    <col min="4" max="4" width="9.76953125" style="60" customWidth="1"/>
    <col min="5" max="5" width="2.76953125" style="60" customWidth="1"/>
    <col min="6" max="6" width="9.76953125" style="60" customWidth="1"/>
    <col min="7" max="7" width="2.76953125" style="60" customWidth="1"/>
    <col min="8" max="8" width="9.76953125" style="60" customWidth="1"/>
    <col min="9" max="9" width="3.6796875" style="60" customWidth="1"/>
    <col min="10" max="10" width="7.31640625" style="60" customWidth="1"/>
    <col min="11" max="11" width="9.76953125" style="60" customWidth="1"/>
    <col min="12" max="12" width="10.6796875" style="60" bestFit="1" customWidth="1"/>
    <col min="13" max="16384" width="8.86328125" style="60"/>
  </cols>
  <sheetData>
    <row r="1" spans="1:11">
      <c r="G1" s="61" t="s">
        <v>28</v>
      </c>
      <c r="H1" s="61"/>
    </row>
    <row r="2" spans="1:11">
      <c r="G2" s="61" t="s">
        <v>29</v>
      </c>
      <c r="H2" s="61"/>
    </row>
    <row r="3" spans="1:11">
      <c r="H3" s="61"/>
      <c r="I3" s="61"/>
    </row>
    <row r="4" spans="1:11" ht="20.100000000000001">
      <c r="A4" s="191" t="s">
        <v>30</v>
      </c>
      <c r="B4" s="191"/>
      <c r="C4" s="191"/>
      <c r="D4" s="191"/>
      <c r="E4" s="191"/>
      <c r="F4" s="191"/>
      <c r="G4" s="191"/>
      <c r="H4" s="191"/>
      <c r="I4" s="191"/>
    </row>
    <row r="5" spans="1:11" ht="15.3" thickBot="1">
      <c r="J5" s="62"/>
    </row>
    <row r="6" spans="1:11" ht="16.5" customHeight="1" thickTop="1">
      <c r="A6" s="63"/>
      <c r="B6" s="63"/>
      <c r="C6" s="63"/>
      <c r="D6" s="63"/>
      <c r="E6" s="63"/>
      <c r="F6" s="63"/>
      <c r="G6" s="63"/>
      <c r="H6" s="63"/>
      <c r="I6" s="63"/>
    </row>
    <row r="7" spans="1:11">
      <c r="B7" s="64" t="s">
        <v>31</v>
      </c>
      <c r="D7" s="64" t="s">
        <v>32</v>
      </c>
      <c r="F7" s="61" t="s">
        <v>33</v>
      </c>
    </row>
    <row r="8" spans="1:11">
      <c r="B8" s="64" t="s">
        <v>34</v>
      </c>
      <c r="D8" s="64" t="s">
        <v>35</v>
      </c>
      <c r="F8" s="64" t="s">
        <v>36</v>
      </c>
      <c r="H8" s="61" t="s">
        <v>37</v>
      </c>
    </row>
    <row r="9" spans="1:11">
      <c r="A9" s="64" t="s">
        <v>38</v>
      </c>
      <c r="B9" s="64" t="s">
        <v>39</v>
      </c>
      <c r="D9" s="64" t="s">
        <v>39</v>
      </c>
      <c r="F9" s="64" t="s">
        <v>40</v>
      </c>
      <c r="H9" s="64" t="s">
        <v>41</v>
      </c>
    </row>
    <row r="10" spans="1:11">
      <c r="A10" s="65"/>
      <c r="B10" s="65"/>
      <c r="C10" s="66"/>
      <c r="D10" s="65"/>
      <c r="E10" s="66"/>
      <c r="F10" s="65"/>
      <c r="G10" s="66"/>
      <c r="H10" s="65"/>
      <c r="I10" s="66"/>
    </row>
    <row r="11" spans="1:11" ht="15" customHeight="1"/>
    <row r="12" spans="1:11" ht="15" customHeight="1">
      <c r="A12" s="192" t="s">
        <v>42</v>
      </c>
      <c r="B12" s="192"/>
      <c r="C12" s="192"/>
      <c r="D12" s="192"/>
      <c r="E12" s="192"/>
      <c r="F12" s="192"/>
      <c r="G12" s="192"/>
      <c r="H12" s="192"/>
      <c r="I12" s="192"/>
      <c r="J12" s="62"/>
    </row>
    <row r="13" spans="1:11" ht="15" customHeight="1">
      <c r="A13" s="67" t="s">
        <v>43</v>
      </c>
      <c r="B13" s="68">
        <v>-1.0999999999999999E-2</v>
      </c>
      <c r="C13" s="68"/>
      <c r="D13" s="68">
        <v>-8.8999999999999996E-2</v>
      </c>
      <c r="E13" s="68"/>
      <c r="F13" s="68">
        <v>8.5000000000000006E-2</v>
      </c>
      <c r="G13" s="68"/>
      <c r="H13" s="68">
        <v>7.0000000000000007E-2</v>
      </c>
      <c r="I13" s="68"/>
      <c r="J13" s="69"/>
    </row>
    <row r="14" spans="1:11" ht="15" customHeight="1">
      <c r="A14" s="67" t="s">
        <v>44</v>
      </c>
      <c r="B14" s="68">
        <v>5.3999999999999999E-2</v>
      </c>
      <c r="C14" s="68"/>
      <c r="D14" s="68">
        <v>0.108</v>
      </c>
      <c r="E14" s="68"/>
      <c r="F14" s="68">
        <v>7.6999999999999999E-2</v>
      </c>
      <c r="G14" s="68"/>
      <c r="H14" s="68">
        <v>4.8000000000000001E-2</v>
      </c>
      <c r="I14" s="68"/>
    </row>
    <row r="15" spans="1:11" ht="15" customHeight="1">
      <c r="A15" s="67" t="s">
        <v>45</v>
      </c>
      <c r="B15" s="68">
        <v>5.5E-2</v>
      </c>
      <c r="C15" s="68"/>
      <c r="D15" s="68">
        <v>5.8999999999999997E-2</v>
      </c>
      <c r="E15" s="68"/>
      <c r="F15" s="68">
        <v>7.0000000000000007E-2</v>
      </c>
      <c r="G15" s="68"/>
      <c r="H15" s="68">
        <v>6.8000000000000005E-2</v>
      </c>
      <c r="I15" s="68"/>
      <c r="J15" s="70"/>
      <c r="K15" s="70"/>
    </row>
    <row r="16" spans="1:11" ht="15" customHeight="1">
      <c r="A16" s="67" t="s">
        <v>46</v>
      </c>
      <c r="B16" s="68">
        <v>0.05</v>
      </c>
      <c r="C16" s="68"/>
      <c r="D16" s="68">
        <v>5.7000000000000002E-2</v>
      </c>
      <c r="E16" s="68"/>
      <c r="F16" s="68">
        <v>0.06</v>
      </c>
      <c r="G16" s="68"/>
      <c r="H16" s="68">
        <v>0.09</v>
      </c>
      <c r="I16" s="68"/>
      <c r="J16" s="70"/>
      <c r="K16" s="70"/>
    </row>
    <row r="17" spans="1:11" ht="15" customHeight="1">
      <c r="A17" s="67" t="s">
        <v>47</v>
      </c>
      <c r="B17" s="68">
        <v>2.8000000000000001E-2</v>
      </c>
      <c r="C17" s="68"/>
      <c r="D17" s="68">
        <v>4.3999999999999997E-2</v>
      </c>
      <c r="E17" s="68"/>
      <c r="F17" s="68">
        <v>5.8000000000000003E-2</v>
      </c>
      <c r="G17" s="68"/>
      <c r="H17" s="68">
        <v>0.13300000000000001</v>
      </c>
      <c r="I17" s="68"/>
    </row>
    <row r="18" spans="1:11" ht="15" customHeight="1">
      <c r="A18" s="67" t="s">
        <v>48</v>
      </c>
      <c r="B18" s="68">
        <v>-2E-3</v>
      </c>
      <c r="C18" s="68"/>
      <c r="D18" s="68">
        <v>-1.9E-2</v>
      </c>
      <c r="E18" s="68"/>
      <c r="F18" s="68">
        <v>7.0000000000000007E-2</v>
      </c>
      <c r="G18" s="68"/>
      <c r="H18" s="68">
        <v>0.124</v>
      </c>
      <c r="I18" s="68"/>
      <c r="J18" s="70"/>
      <c r="K18" s="70"/>
    </row>
    <row r="19" spans="1:11" ht="15" customHeight="1">
      <c r="A19" s="67" t="s">
        <v>49</v>
      </c>
      <c r="B19" s="68">
        <v>1.7999999999999999E-2</v>
      </c>
      <c r="C19" s="68"/>
      <c r="D19" s="68">
        <v>1.9E-2</v>
      </c>
      <c r="E19" s="68"/>
      <c r="F19" s="68">
        <v>7.4999999999999997E-2</v>
      </c>
      <c r="G19" s="68"/>
      <c r="H19" s="68">
        <v>8.8999999999999996E-2</v>
      </c>
      <c r="I19" s="68"/>
      <c r="J19" s="70"/>
      <c r="K19" s="70"/>
    </row>
    <row r="20" spans="1:11" ht="15" customHeight="1">
      <c r="A20" s="67" t="s">
        <v>50</v>
      </c>
      <c r="B20" s="68">
        <v>-2.1000000000000001E-2</v>
      </c>
      <c r="C20" s="68"/>
      <c r="D20" s="68">
        <v>-4.3999999999999997E-2</v>
      </c>
      <c r="E20" s="68"/>
      <c r="F20" s="68">
        <v>9.5000000000000001E-2</v>
      </c>
      <c r="G20" s="68"/>
      <c r="H20" s="68">
        <v>3.7999999999999999E-2</v>
      </c>
      <c r="I20" s="68"/>
      <c r="J20" s="70"/>
      <c r="K20" s="70"/>
    </row>
    <row r="21" spans="1:11" ht="15" customHeight="1">
      <c r="A21" s="64" t="s">
        <v>51</v>
      </c>
      <c r="B21" s="166">
        <f>AVERAGE(B13:B20)</f>
        <v>2.1375000000000002E-2</v>
      </c>
      <c r="C21" s="166"/>
      <c r="D21" s="166">
        <f t="shared" ref="D21:H21" si="0">AVERAGE(D13:D20)</f>
        <v>1.6875000000000001E-2</v>
      </c>
      <c r="E21" s="166"/>
      <c r="F21" s="166">
        <f t="shared" si="0"/>
        <v>7.375000000000001E-2</v>
      </c>
      <c r="G21" s="166"/>
      <c r="H21" s="166">
        <f t="shared" si="0"/>
        <v>8.2500000000000004E-2</v>
      </c>
      <c r="I21" s="68"/>
      <c r="J21" s="70"/>
      <c r="K21" s="70"/>
    </row>
    <row r="22" spans="1:11" ht="15" customHeight="1">
      <c r="A22" s="67"/>
      <c r="B22" s="68"/>
      <c r="C22" s="68"/>
      <c r="D22" s="68"/>
      <c r="E22" s="68"/>
      <c r="F22" s="68"/>
      <c r="G22" s="68"/>
      <c r="H22" s="68"/>
      <c r="I22" s="68"/>
      <c r="J22" s="70"/>
      <c r="K22" s="70"/>
    </row>
    <row r="23" spans="1:11" ht="15" customHeight="1">
      <c r="A23" s="193" t="s">
        <v>52</v>
      </c>
      <c r="B23" s="193"/>
      <c r="C23" s="193"/>
      <c r="D23" s="193"/>
      <c r="E23" s="193"/>
      <c r="F23" s="193"/>
      <c r="G23" s="193"/>
      <c r="H23" s="193"/>
      <c r="I23" s="193"/>
      <c r="J23" s="71"/>
      <c r="K23" s="70"/>
    </row>
    <row r="24" spans="1:11" ht="15" customHeight="1">
      <c r="A24" s="67" t="s">
        <v>53</v>
      </c>
      <c r="B24" s="68">
        <v>0.04</v>
      </c>
      <c r="C24" s="68"/>
      <c r="D24" s="68">
        <v>3.6999999999999998E-2</v>
      </c>
      <c r="E24" s="68"/>
      <c r="F24" s="68">
        <v>9.5000000000000001E-2</v>
      </c>
      <c r="G24" s="68"/>
      <c r="H24" s="68">
        <v>3.7999999999999999E-2</v>
      </c>
      <c r="I24" s="68"/>
      <c r="J24" s="70"/>
      <c r="K24" s="70"/>
    </row>
    <row r="25" spans="1:11" ht="15" customHeight="1">
      <c r="A25" s="67" t="s">
        <v>54</v>
      </c>
      <c r="B25" s="68">
        <v>6.8000000000000005E-2</v>
      </c>
      <c r="C25" s="68"/>
      <c r="D25" s="68">
        <v>9.2999999999999999E-2</v>
      </c>
      <c r="E25" s="68"/>
      <c r="F25" s="68">
        <v>7.4999999999999997E-2</v>
      </c>
      <c r="G25" s="68"/>
      <c r="H25" s="68">
        <v>3.9E-2</v>
      </c>
      <c r="I25" s="68"/>
      <c r="J25" s="70"/>
      <c r="K25" s="70"/>
    </row>
    <row r="26" spans="1:11" ht="15" customHeight="1">
      <c r="A26" s="67" t="s">
        <v>55</v>
      </c>
      <c r="B26" s="68">
        <v>3.6999999999999998E-2</v>
      </c>
      <c r="C26" s="68"/>
      <c r="D26" s="68">
        <v>1.7000000000000001E-2</v>
      </c>
      <c r="E26" s="68"/>
      <c r="F26" s="68">
        <v>7.1999999999999995E-2</v>
      </c>
      <c r="G26" s="68"/>
      <c r="H26" s="68">
        <v>3.7999999999999999E-2</v>
      </c>
      <c r="I26" s="68"/>
      <c r="J26" s="70"/>
      <c r="K26" s="70"/>
    </row>
    <row r="27" spans="1:11" ht="15" customHeight="1">
      <c r="A27" s="67" t="s">
        <v>56</v>
      </c>
      <c r="B27" s="68">
        <v>3.1E-2</v>
      </c>
      <c r="C27" s="68"/>
      <c r="D27" s="68">
        <v>8.9999999999999993E-3</v>
      </c>
      <c r="E27" s="68"/>
      <c r="F27" s="68">
        <v>7.0000000000000007E-2</v>
      </c>
      <c r="G27" s="68"/>
      <c r="H27" s="68">
        <v>1.0999999999999999E-2</v>
      </c>
      <c r="I27" s="68"/>
      <c r="J27" s="70"/>
      <c r="K27" s="70"/>
    </row>
    <row r="28" spans="1:11" ht="15" customHeight="1">
      <c r="A28" s="67" t="s">
        <v>57</v>
      </c>
      <c r="B28" s="68">
        <v>2.9000000000000001E-2</v>
      </c>
      <c r="C28" s="68"/>
      <c r="D28" s="68">
        <v>4.9000000000000002E-2</v>
      </c>
      <c r="E28" s="68"/>
      <c r="F28" s="68">
        <v>6.2E-2</v>
      </c>
      <c r="G28" s="68"/>
      <c r="H28" s="68">
        <v>4.3999999999999997E-2</v>
      </c>
      <c r="I28" s="68"/>
      <c r="J28" s="70"/>
      <c r="K28" s="70"/>
    </row>
    <row r="29" spans="1:11" ht="15" customHeight="1">
      <c r="A29" s="67" t="s">
        <v>58</v>
      </c>
      <c r="B29" s="68">
        <v>3.7999999999999999E-2</v>
      </c>
      <c r="C29" s="68"/>
      <c r="D29" s="68">
        <v>4.4999999999999998E-2</v>
      </c>
      <c r="E29" s="68"/>
      <c r="F29" s="68">
        <v>5.5E-2</v>
      </c>
      <c r="G29" s="68"/>
      <c r="H29" s="68">
        <v>4.3999999999999997E-2</v>
      </c>
      <c r="I29" s="68"/>
      <c r="J29" s="70"/>
      <c r="K29" s="70"/>
    </row>
    <row r="30" spans="1:11" ht="15" customHeight="1">
      <c r="A30" s="67" t="s">
        <v>59</v>
      </c>
      <c r="B30" s="68">
        <v>3.5000000000000003E-2</v>
      </c>
      <c r="C30" s="68"/>
      <c r="D30" s="68">
        <v>1.7999999999999999E-2</v>
      </c>
      <c r="E30" s="68"/>
      <c r="F30" s="68">
        <v>5.2999999999999999E-2</v>
      </c>
      <c r="G30" s="68"/>
      <c r="H30" s="68">
        <v>4.5999999999999999E-2</v>
      </c>
      <c r="I30" s="68"/>
      <c r="J30" s="70"/>
      <c r="K30" s="70"/>
    </row>
    <row r="31" spans="1:11" ht="15" customHeight="1">
      <c r="A31" s="67" t="s">
        <v>60</v>
      </c>
      <c r="B31" s="68">
        <v>1.7999999999999999E-2</v>
      </c>
      <c r="C31" s="68"/>
      <c r="D31" s="68">
        <v>-2E-3</v>
      </c>
      <c r="E31" s="68"/>
      <c r="F31" s="68">
        <v>5.6000000000000001E-2</v>
      </c>
      <c r="G31" s="68"/>
      <c r="H31" s="68">
        <v>6.0999999999999999E-2</v>
      </c>
      <c r="I31" s="68"/>
      <c r="J31" s="70"/>
      <c r="K31" s="70"/>
    </row>
    <row r="32" spans="1:11" ht="15" customHeight="1">
      <c r="A32" s="67" t="s">
        <v>61</v>
      </c>
      <c r="B32" s="68">
        <v>-5.0000000000000001E-3</v>
      </c>
      <c r="C32" s="68"/>
      <c r="D32" s="68">
        <v>-0.02</v>
      </c>
      <c r="E32" s="68"/>
      <c r="F32" s="68">
        <v>6.8000000000000005E-2</v>
      </c>
      <c r="G32" s="68"/>
      <c r="H32" s="68">
        <v>3.1E-2</v>
      </c>
      <c r="I32" s="68"/>
      <c r="J32" s="70"/>
      <c r="K32" s="70"/>
    </row>
    <row r="33" spans="1:11" ht="15" customHeight="1">
      <c r="A33" s="64" t="s">
        <v>51</v>
      </c>
      <c r="B33" s="166">
        <f>AVERAGE(B24:B32)</f>
        <v>3.2333333333333339E-2</v>
      </c>
      <c r="C33" s="166"/>
      <c r="D33" s="166">
        <f>AVERAGE(D24:D32)</f>
        <v>2.7333333333333334E-2</v>
      </c>
      <c r="E33" s="166"/>
      <c r="F33" s="166">
        <f>AVERAGE(F24:F32)</f>
        <v>6.7333333333333342E-2</v>
      </c>
      <c r="G33" s="166"/>
      <c r="H33" s="166">
        <f>AVERAGE(H24:H32)</f>
        <v>3.911111111111111E-2</v>
      </c>
      <c r="I33" s="68"/>
      <c r="J33" s="70"/>
      <c r="K33" s="70"/>
    </row>
    <row r="34" spans="1:11" ht="15" customHeight="1">
      <c r="A34" s="67"/>
      <c r="B34" s="68"/>
      <c r="C34" s="68"/>
      <c r="D34" s="68"/>
      <c r="E34" s="68"/>
      <c r="F34" s="68"/>
      <c r="G34" s="68"/>
      <c r="H34" s="68"/>
      <c r="I34" s="68"/>
      <c r="J34" s="70"/>
      <c r="K34" s="70"/>
    </row>
    <row r="35" spans="1:11" ht="15" customHeight="1">
      <c r="A35" s="192" t="s">
        <v>62</v>
      </c>
      <c r="B35" s="192"/>
      <c r="C35" s="192"/>
      <c r="D35" s="192"/>
      <c r="E35" s="192"/>
      <c r="F35" s="192"/>
      <c r="G35" s="192"/>
      <c r="H35" s="192"/>
      <c r="I35" s="192"/>
      <c r="J35" s="62"/>
    </row>
    <row r="36" spans="1:11" ht="15" customHeight="1">
      <c r="A36" s="67" t="s">
        <v>63</v>
      </c>
      <c r="B36" s="68">
        <v>0.03</v>
      </c>
      <c r="C36" s="68" t="s">
        <v>64</v>
      </c>
      <c r="D36" s="68">
        <v>3.1E-2</v>
      </c>
      <c r="E36" s="68"/>
      <c r="F36" s="68">
        <v>7.4999999999999997E-2</v>
      </c>
      <c r="G36" s="68"/>
      <c r="H36" s="68">
        <v>2.9000000000000001E-2</v>
      </c>
      <c r="I36" s="68"/>
    </row>
    <row r="37" spans="1:11" ht="15" customHeight="1">
      <c r="A37" s="67" t="s">
        <v>65</v>
      </c>
      <c r="B37" s="68">
        <v>2.7E-2</v>
      </c>
      <c r="C37" s="68"/>
      <c r="D37" s="68">
        <v>3.4000000000000002E-2</v>
      </c>
      <c r="E37" s="68"/>
      <c r="F37" s="68">
        <v>6.9000000000000006E-2</v>
      </c>
      <c r="G37" s="68"/>
      <c r="H37" s="68">
        <v>2.7E-2</v>
      </c>
      <c r="I37" s="68"/>
    </row>
    <row r="38" spans="1:11" ht="15" customHeight="1">
      <c r="A38" s="67" t="s">
        <v>66</v>
      </c>
      <c r="B38" s="68">
        <v>0.04</v>
      </c>
      <c r="C38" s="68"/>
      <c r="D38" s="68">
        <v>5.5E-2</v>
      </c>
      <c r="E38" s="68"/>
      <c r="F38" s="68">
        <v>6.0999999999999999E-2</v>
      </c>
      <c r="G38" s="68"/>
      <c r="H38" s="68">
        <v>2.7E-2</v>
      </c>
      <c r="I38" s="68"/>
    </row>
    <row r="39" spans="1:11" ht="15" customHeight="1">
      <c r="A39" s="67" t="s">
        <v>67</v>
      </c>
      <c r="B39" s="68">
        <v>3.6999999999999998E-2</v>
      </c>
      <c r="C39" s="68"/>
      <c r="D39" s="68">
        <v>4.8000000000000001E-2</v>
      </c>
      <c r="E39" s="68"/>
      <c r="F39" s="68">
        <v>5.6000000000000001E-2</v>
      </c>
      <c r="G39" s="68"/>
      <c r="H39" s="68">
        <v>2.5000000000000001E-2</v>
      </c>
      <c r="I39" s="68"/>
    </row>
    <row r="40" spans="1:11" ht="15" customHeight="1">
      <c r="A40" s="67" t="s">
        <v>68</v>
      </c>
      <c r="B40" s="68">
        <v>4.4999999999999998E-2</v>
      </c>
      <c r="C40" s="68"/>
      <c r="D40" s="68">
        <v>4.2999999999999997E-2</v>
      </c>
      <c r="E40" s="68"/>
      <c r="F40" s="68">
        <v>5.3999999999999999E-2</v>
      </c>
      <c r="G40" s="68"/>
      <c r="H40" s="68">
        <v>3.3000000000000002E-2</v>
      </c>
      <c r="I40" s="68"/>
    </row>
    <row r="41" spans="1:11" ht="15" customHeight="1">
      <c r="A41" s="67" t="s">
        <v>69</v>
      </c>
      <c r="B41" s="68">
        <v>4.4999999999999998E-2</v>
      </c>
      <c r="C41" s="68"/>
      <c r="D41" s="68">
        <v>7.2999999999999995E-2</v>
      </c>
      <c r="E41" s="68"/>
      <c r="F41" s="68">
        <v>4.9000000000000002E-2</v>
      </c>
      <c r="G41" s="68"/>
      <c r="H41" s="68">
        <v>1.7000000000000001E-2</v>
      </c>
      <c r="I41" s="68"/>
    </row>
    <row r="42" spans="1:11" ht="15" customHeight="1">
      <c r="A42" s="72">
        <v>1998</v>
      </c>
      <c r="B42" s="68">
        <v>4.2000000000000003E-2</v>
      </c>
      <c r="C42" s="68"/>
      <c r="D42" s="68">
        <v>5.8000000000000003E-2</v>
      </c>
      <c r="E42" s="68"/>
      <c r="F42" s="68">
        <v>4.4999999999999998E-2</v>
      </c>
      <c r="G42" s="68"/>
      <c r="H42" s="68">
        <v>1.6E-2</v>
      </c>
      <c r="I42" s="68"/>
      <c r="J42" s="70"/>
      <c r="K42" s="70"/>
    </row>
    <row r="43" spans="1:11" ht="15" customHeight="1">
      <c r="A43" s="72">
        <v>1999</v>
      </c>
      <c r="B43" s="68">
        <v>3.6999999999999998E-2</v>
      </c>
      <c r="C43" s="68"/>
      <c r="D43" s="68">
        <v>4.4999999999999998E-2</v>
      </c>
      <c r="E43" s="68"/>
      <c r="F43" s="68">
        <v>4.2000000000000003E-2</v>
      </c>
      <c r="G43" s="68"/>
      <c r="H43" s="68">
        <v>2.7E-2</v>
      </c>
      <c r="I43" s="68"/>
    </row>
    <row r="44" spans="1:11" ht="15" customHeight="1">
      <c r="A44" s="72">
        <v>2000</v>
      </c>
      <c r="B44" s="68">
        <v>4.1000000000000002E-2</v>
      </c>
      <c r="C44" s="68"/>
      <c r="D44" s="68">
        <v>0.04</v>
      </c>
      <c r="E44" s="68"/>
      <c r="F44" s="68">
        <v>0.04</v>
      </c>
      <c r="G44" s="68"/>
      <c r="H44" s="68">
        <v>3.4000000000000002E-2</v>
      </c>
      <c r="I44" s="68"/>
    </row>
    <row r="45" spans="1:11" ht="15" customHeight="1">
      <c r="A45" s="72">
        <v>2001</v>
      </c>
      <c r="B45" s="68">
        <v>1.0999999999999999E-2</v>
      </c>
      <c r="C45" s="68"/>
      <c r="D45" s="68">
        <v>-3.4000000000000002E-2</v>
      </c>
      <c r="E45" s="68"/>
      <c r="F45" s="68">
        <v>4.7E-2</v>
      </c>
      <c r="G45" s="68"/>
      <c r="H45" s="68">
        <v>1.6E-2</v>
      </c>
      <c r="I45" s="68"/>
    </row>
    <row r="46" spans="1:11" ht="15" customHeight="1">
      <c r="A46" s="64" t="s">
        <v>51</v>
      </c>
      <c r="B46" s="166">
        <f>AVERAGE(B36:B45)</f>
        <v>3.549999999999999E-2</v>
      </c>
      <c r="C46" s="166"/>
      <c r="D46" s="166">
        <f>AVERAGE(D36:D45)</f>
        <v>3.9299999999999988E-2</v>
      </c>
      <c r="E46" s="166"/>
      <c r="F46" s="166">
        <f>AVERAGE(F36:F45)</f>
        <v>5.3799999999999994E-2</v>
      </c>
      <c r="G46" s="166"/>
      <c r="H46" s="166">
        <f>AVERAGE(H36:H45)</f>
        <v>2.5100000000000004E-2</v>
      </c>
      <c r="I46" s="68"/>
    </row>
    <row r="47" spans="1:11" ht="15" customHeight="1">
      <c r="A47" s="67"/>
      <c r="B47" s="68"/>
      <c r="C47" s="68"/>
      <c r="D47" s="68"/>
      <c r="E47" s="68"/>
      <c r="F47" s="68"/>
      <c r="G47" s="68"/>
      <c r="H47" s="68"/>
      <c r="I47" s="68"/>
    </row>
    <row r="48" spans="1:11" ht="15" customHeight="1">
      <c r="A48" s="192" t="s">
        <v>70</v>
      </c>
      <c r="B48" s="192"/>
      <c r="C48" s="192"/>
      <c r="D48" s="192"/>
      <c r="E48" s="192"/>
      <c r="F48" s="192"/>
      <c r="G48" s="192"/>
      <c r="H48" s="192"/>
      <c r="I48" s="192"/>
      <c r="J48" s="61"/>
    </row>
    <row r="49" spans="1:10" ht="15" customHeight="1">
      <c r="A49" s="72">
        <v>2002</v>
      </c>
      <c r="B49" s="68">
        <v>1.7999999999999999E-2</v>
      </c>
      <c r="C49" s="68"/>
      <c r="D49" s="73">
        <v>2E-3</v>
      </c>
      <c r="E49" s="68"/>
      <c r="F49" s="68">
        <v>5.8000000000000003E-2</v>
      </c>
      <c r="G49" s="68"/>
      <c r="H49" s="73">
        <v>2.4E-2</v>
      </c>
      <c r="I49" s="73"/>
      <c r="J49" s="73"/>
    </row>
    <row r="50" spans="1:10" ht="15" customHeight="1">
      <c r="A50" s="72">
        <v>2003</v>
      </c>
      <c r="B50" s="68">
        <v>2.8000000000000001E-2</v>
      </c>
      <c r="C50" s="68"/>
      <c r="D50" s="73">
        <v>1.2E-2</v>
      </c>
      <c r="E50" s="68"/>
      <c r="F50" s="68">
        <v>0.06</v>
      </c>
      <c r="G50" s="68"/>
      <c r="H50" s="73">
        <v>1.9E-2</v>
      </c>
      <c r="I50" s="73"/>
      <c r="J50" s="73"/>
    </row>
    <row r="51" spans="1:10" ht="15" customHeight="1">
      <c r="A51" s="72">
        <v>2004</v>
      </c>
      <c r="B51" s="68">
        <v>3.7999999999999999E-2</v>
      </c>
      <c r="C51" s="68"/>
      <c r="D51" s="73">
        <v>2.3E-2</v>
      </c>
      <c r="E51" s="68"/>
      <c r="F51" s="68">
        <v>5.5E-2</v>
      </c>
      <c r="G51" s="68"/>
      <c r="H51" s="73">
        <v>3.3000000000000002E-2</v>
      </c>
      <c r="I51" s="73"/>
      <c r="J51" s="73"/>
    </row>
    <row r="52" spans="1:10" ht="15" customHeight="1">
      <c r="A52" s="72">
        <v>2005</v>
      </c>
      <c r="B52" s="68">
        <v>3.3000000000000002E-2</v>
      </c>
      <c r="C52" s="68"/>
      <c r="D52" s="73">
        <v>3.2000000000000001E-2</v>
      </c>
      <c r="E52" s="68"/>
      <c r="F52" s="68">
        <v>5.0999999999999997E-2</v>
      </c>
      <c r="G52" s="68"/>
      <c r="H52" s="73">
        <v>3.4000000000000002E-2</v>
      </c>
      <c r="I52" s="73"/>
      <c r="J52" s="73"/>
    </row>
    <row r="53" spans="1:10" ht="15" customHeight="1">
      <c r="A53" s="72">
        <v>2006</v>
      </c>
      <c r="B53" s="68">
        <v>2.7E-2</v>
      </c>
      <c r="C53" s="68"/>
      <c r="D53" s="73">
        <v>2.1999999999999999E-2</v>
      </c>
      <c r="E53" s="68"/>
      <c r="F53" s="68">
        <v>4.5999999999999999E-2</v>
      </c>
      <c r="G53" s="68"/>
      <c r="H53" s="73">
        <v>2.5000000000000001E-2</v>
      </c>
      <c r="I53" s="73"/>
      <c r="J53" s="73"/>
    </row>
    <row r="54" spans="1:10" ht="15" customHeight="1">
      <c r="A54" s="72">
        <v>2007</v>
      </c>
      <c r="B54" s="68">
        <v>1.7999999999999999E-2</v>
      </c>
      <c r="C54" s="68"/>
      <c r="D54" s="73">
        <v>2.5000000000000001E-2</v>
      </c>
      <c r="E54" s="68"/>
      <c r="F54" s="68">
        <v>4.5999999999999999E-2</v>
      </c>
      <c r="G54" s="68"/>
      <c r="H54" s="73">
        <v>4.1000000000000002E-2</v>
      </c>
      <c r="I54" s="73"/>
      <c r="J54" s="73"/>
    </row>
    <row r="55" spans="1:10" ht="15" customHeight="1">
      <c r="A55" s="72">
        <v>2008</v>
      </c>
      <c r="B55" s="68">
        <v>-3.0000000000000001E-3</v>
      </c>
      <c r="C55" s="68"/>
      <c r="D55" s="73">
        <v>-3.4000000000000002E-2</v>
      </c>
      <c r="E55" s="68"/>
      <c r="F55" s="68">
        <v>5.8000000000000003E-2</v>
      </c>
      <c r="G55" s="68"/>
      <c r="H55" s="73">
        <v>1E-3</v>
      </c>
      <c r="I55" s="73"/>
      <c r="J55" s="73"/>
    </row>
    <row r="56" spans="1:10" ht="15" customHeight="1">
      <c r="A56" s="72">
        <v>2009</v>
      </c>
      <c r="B56" s="68">
        <v>-2.8000000000000001E-2</v>
      </c>
      <c r="C56" s="68"/>
      <c r="D56" s="73">
        <v>-0.113</v>
      </c>
      <c r="E56" s="68"/>
      <c r="F56" s="68">
        <v>9.2999999999999999E-2</v>
      </c>
      <c r="G56" s="68"/>
      <c r="H56" s="73">
        <v>2.7E-2</v>
      </c>
      <c r="I56" s="73"/>
      <c r="J56" s="73"/>
    </row>
    <row r="57" spans="1:10" ht="15" customHeight="1">
      <c r="A57" s="64" t="s">
        <v>51</v>
      </c>
      <c r="B57" s="166">
        <f>AVERAGE(B49:B56)</f>
        <v>1.6374999999999997E-2</v>
      </c>
      <c r="C57" s="166"/>
      <c r="D57" s="166">
        <f>AVERAGE(D49:D56)</f>
        <v>-3.8750000000000017E-3</v>
      </c>
      <c r="E57" s="166"/>
      <c r="F57" s="166">
        <f>AVERAGE(F49:F56)</f>
        <v>5.8374999999999996E-2</v>
      </c>
      <c r="G57" s="166"/>
      <c r="H57" s="166">
        <f>AVERAGE(H49:H56)</f>
        <v>2.5500000000000002E-2</v>
      </c>
      <c r="I57" s="73"/>
      <c r="J57" s="73"/>
    </row>
    <row r="58" spans="1:10" ht="15" customHeight="1">
      <c r="A58" s="72"/>
      <c r="B58" s="68"/>
      <c r="C58" s="68"/>
      <c r="D58" s="73"/>
      <c r="E58" s="68"/>
      <c r="F58" s="68"/>
      <c r="G58" s="68"/>
      <c r="H58" s="73"/>
      <c r="I58" s="73"/>
      <c r="J58" s="73"/>
    </row>
    <row r="59" spans="1:10" ht="15" customHeight="1">
      <c r="A59" s="190" t="s">
        <v>71</v>
      </c>
      <c r="B59" s="190"/>
      <c r="C59" s="190"/>
      <c r="D59" s="190"/>
      <c r="E59" s="190"/>
      <c r="F59" s="190"/>
      <c r="G59" s="190"/>
      <c r="H59" s="190"/>
      <c r="I59" s="190"/>
      <c r="J59" s="73"/>
    </row>
    <row r="60" spans="1:10" ht="15" customHeight="1">
      <c r="A60" s="72">
        <v>2010</v>
      </c>
      <c r="B60" s="68">
        <v>2.5999999999999999E-2</v>
      </c>
      <c r="C60" s="68"/>
      <c r="D60" s="73">
        <v>5.5E-2</v>
      </c>
      <c r="E60" s="68"/>
      <c r="F60" s="68">
        <v>9.6000000000000002E-2</v>
      </c>
      <c r="G60" s="68"/>
      <c r="H60" s="73">
        <v>1.4999999999999999E-2</v>
      </c>
      <c r="I60" s="73"/>
    </row>
    <row r="61" spans="1:10" ht="15" customHeight="1">
      <c r="A61" s="72">
        <v>2011</v>
      </c>
      <c r="B61" s="68">
        <v>1.6E-2</v>
      </c>
      <c r="C61" s="68"/>
      <c r="D61" s="73">
        <v>3.1E-2</v>
      </c>
      <c r="E61" s="68"/>
      <c r="F61" s="68">
        <v>8.8999999999999996E-2</v>
      </c>
      <c r="G61" s="68"/>
      <c r="H61" s="73">
        <v>0.03</v>
      </c>
      <c r="I61" s="73"/>
    </row>
    <row r="62" spans="1:10" ht="15" customHeight="1">
      <c r="A62" s="72">
        <v>2012</v>
      </c>
      <c r="B62" s="68">
        <v>2.1999999999999999E-2</v>
      </c>
      <c r="C62" s="68"/>
      <c r="D62" s="73">
        <v>0.03</v>
      </c>
      <c r="E62" s="68"/>
      <c r="F62" s="68">
        <v>8.1000000000000003E-2</v>
      </c>
      <c r="G62" s="68"/>
      <c r="H62" s="73">
        <v>1.7000000000000001E-2</v>
      </c>
      <c r="I62" s="73"/>
    </row>
    <row r="63" spans="1:10" ht="15" customHeight="1">
      <c r="A63" s="72">
        <v>2013</v>
      </c>
      <c r="B63" s="68">
        <v>1.7999999999999999E-2</v>
      </c>
      <c r="C63" s="68"/>
      <c r="D63" s="73">
        <v>0.02</v>
      </c>
      <c r="E63" s="68"/>
      <c r="F63" s="68">
        <v>7.3999999999999996E-2</v>
      </c>
      <c r="G63" s="68"/>
      <c r="H63" s="73">
        <v>1.4999999999999999E-2</v>
      </c>
      <c r="I63" s="73"/>
    </row>
    <row r="64" spans="1:10" ht="15" customHeight="1">
      <c r="A64" s="72">
        <v>2014</v>
      </c>
      <c r="B64" s="68">
        <v>2.3E-2</v>
      </c>
      <c r="C64" s="68"/>
      <c r="D64" s="73">
        <v>0.03</v>
      </c>
      <c r="E64" s="68"/>
      <c r="F64" s="68">
        <v>6.2E-2</v>
      </c>
      <c r="G64" s="68"/>
      <c r="H64" s="73">
        <v>8.0000000000000002E-3</v>
      </c>
      <c r="I64" s="73"/>
    </row>
    <row r="65" spans="1:9" ht="15" customHeight="1">
      <c r="A65" s="72">
        <v>2015</v>
      </c>
      <c r="B65" s="68">
        <v>2.7E-2</v>
      </c>
      <c r="C65" s="68"/>
      <c r="D65" s="73">
        <v>-1.4E-2</v>
      </c>
      <c r="E65" s="68"/>
      <c r="F65" s="68">
        <v>5.2999999999999999E-2</v>
      </c>
      <c r="G65" s="68"/>
      <c r="H65" s="73">
        <v>7.0000000000000001E-3</v>
      </c>
      <c r="I65" s="73"/>
    </row>
    <row r="66" spans="1:9" ht="15" customHeight="1">
      <c r="A66" s="72">
        <v>2016</v>
      </c>
      <c r="B66" s="68">
        <v>1.7000000000000001E-2</v>
      </c>
      <c r="C66" s="68"/>
      <c r="D66" s="73">
        <v>-2.1999999999999999E-2</v>
      </c>
      <c r="E66" s="68"/>
      <c r="F66" s="68">
        <v>4.9000000000000002E-2</v>
      </c>
      <c r="G66" s="68"/>
      <c r="H66" s="73">
        <v>2.1000000000000001E-2</v>
      </c>
      <c r="I66" s="73"/>
    </row>
    <row r="67" spans="1:9" ht="15" customHeight="1">
      <c r="A67" s="72">
        <v>2017</v>
      </c>
      <c r="B67" s="68">
        <v>2.1999999999999999E-2</v>
      </c>
      <c r="C67" s="68"/>
      <c r="D67" s="73">
        <v>1.2999999999999999E-2</v>
      </c>
      <c r="E67" s="68"/>
      <c r="F67" s="68">
        <v>4.3999999999999997E-2</v>
      </c>
      <c r="G67" s="68"/>
      <c r="H67" s="73">
        <v>2.1000000000000001E-2</v>
      </c>
      <c r="I67" s="73"/>
    </row>
    <row r="68" spans="1:9" ht="15" customHeight="1">
      <c r="A68" s="72">
        <v>2018</v>
      </c>
      <c r="B68" s="68">
        <v>2.9000000000000001E-2</v>
      </c>
      <c r="C68" s="68"/>
      <c r="D68" s="73">
        <v>3.2000000000000001E-2</v>
      </c>
      <c r="E68" s="68"/>
      <c r="F68" s="68">
        <v>3.9E-2</v>
      </c>
      <c r="G68" s="68"/>
      <c r="H68" s="73">
        <v>1.9E-2</v>
      </c>
      <c r="I68" s="73"/>
    </row>
    <row r="69" spans="1:9" ht="15" customHeight="1">
      <c r="A69" s="72">
        <v>2019</v>
      </c>
      <c r="B69" s="68">
        <v>2.3E-2</v>
      </c>
      <c r="C69" s="68"/>
      <c r="D69" s="73">
        <v>-7.0000000000000001E-3</v>
      </c>
      <c r="E69" s="68"/>
      <c r="F69" s="68">
        <v>3.6999999999999998E-2</v>
      </c>
      <c r="G69" s="68"/>
      <c r="H69" s="73">
        <v>2.3E-2</v>
      </c>
      <c r="I69" s="73"/>
    </row>
    <row r="70" spans="1:9" ht="15" customHeight="1">
      <c r="A70" s="72">
        <v>2020</v>
      </c>
      <c r="B70" s="68">
        <v>-2.8000000000000001E-2</v>
      </c>
      <c r="C70" s="68"/>
      <c r="D70" s="73">
        <v>-7.1999999999999995E-2</v>
      </c>
      <c r="E70" s="68"/>
      <c r="F70" s="68">
        <v>8.1000000000000003E-2</v>
      </c>
      <c r="G70" s="68"/>
      <c r="H70" s="73">
        <v>1.4E-2</v>
      </c>
      <c r="I70" s="73"/>
    </row>
    <row r="71" spans="1:9" ht="15" customHeight="1">
      <c r="A71" s="64" t="s">
        <v>51</v>
      </c>
      <c r="B71" s="166">
        <f>AVERAGE(B60:B70)</f>
        <v>1.7727272727272727E-2</v>
      </c>
      <c r="C71" s="166"/>
      <c r="D71" s="166">
        <f>AVERAGE(D60:D70)</f>
        <v>8.7272727272727259E-3</v>
      </c>
      <c r="E71" s="166"/>
      <c r="F71" s="166">
        <f>AVERAGE(F60:F70)</f>
        <v>6.4090909090909101E-2</v>
      </c>
      <c r="G71" s="166"/>
      <c r="H71" s="166">
        <f>AVERAGE(H60:H70)</f>
        <v>1.7272727272727273E-2</v>
      </c>
      <c r="I71" s="73"/>
    </row>
    <row r="72" spans="1:9" ht="15" customHeight="1">
      <c r="A72" s="64"/>
      <c r="B72" s="166"/>
      <c r="C72" s="166"/>
      <c r="D72" s="166"/>
      <c r="E72" s="166"/>
      <c r="F72" s="166"/>
      <c r="G72" s="166"/>
      <c r="H72" s="166"/>
      <c r="I72" s="73"/>
    </row>
    <row r="73" spans="1:9" ht="15" customHeight="1">
      <c r="A73" s="190" t="s">
        <v>72</v>
      </c>
      <c r="B73" s="190"/>
      <c r="C73" s="190"/>
      <c r="D73" s="190"/>
      <c r="E73" s="190"/>
      <c r="F73" s="190"/>
      <c r="G73" s="190"/>
      <c r="H73" s="190"/>
      <c r="I73" s="73"/>
    </row>
    <row r="74" spans="1:9" ht="15" customHeight="1">
      <c r="A74" s="72">
        <v>2021</v>
      </c>
      <c r="B74" s="68">
        <v>5.8999999999999997E-2</v>
      </c>
      <c r="C74" s="68"/>
      <c r="D74" s="73">
        <v>4.3999999999999997E-2</v>
      </c>
      <c r="E74" s="68"/>
      <c r="F74" s="68">
        <v>5.2999999999999999E-2</v>
      </c>
      <c r="G74" s="68"/>
      <c r="H74" s="73">
        <v>7.0000000000000007E-2</v>
      </c>
      <c r="I74" s="73"/>
    </row>
    <row r="75" spans="1:9" ht="15" customHeight="1">
      <c r="A75" s="72">
        <v>2022</v>
      </c>
      <c r="B75" s="68">
        <v>2.1000000000000001E-2</v>
      </c>
      <c r="C75" s="68"/>
      <c r="D75" s="73">
        <v>3.4000000000000002E-2</v>
      </c>
      <c r="E75" s="68"/>
      <c r="F75" s="68">
        <v>3.5999999999999997E-2</v>
      </c>
      <c r="G75" s="68"/>
      <c r="H75" s="73">
        <v>6.5000000000000002E-2</v>
      </c>
      <c r="I75" s="73"/>
    </row>
    <row r="76" spans="1:9" ht="15" customHeight="1">
      <c r="A76" s="72">
        <v>2023</v>
      </c>
      <c r="B76" s="68"/>
      <c r="C76" s="68"/>
      <c r="D76" s="73"/>
      <c r="E76" s="68"/>
      <c r="F76" s="68"/>
      <c r="G76" s="68"/>
      <c r="H76" s="73"/>
      <c r="I76" s="73"/>
    </row>
    <row r="77" spans="1:9" ht="15" customHeight="1">
      <c r="A77" s="72" t="s">
        <v>73</v>
      </c>
      <c r="B77" s="68">
        <v>0.02</v>
      </c>
      <c r="C77" s="68"/>
      <c r="D77" s="73">
        <v>8.9999999999999993E-3</v>
      </c>
      <c r="E77" s="68"/>
      <c r="F77" s="68">
        <v>3.5000000000000003E-2</v>
      </c>
      <c r="G77" s="68"/>
      <c r="H77" s="73">
        <v>0.04</v>
      </c>
      <c r="I77" s="73"/>
    </row>
    <row r="78" spans="1:9" ht="15" customHeight="1">
      <c r="A78" s="72" t="s">
        <v>74</v>
      </c>
      <c r="B78" s="68">
        <v>2.4E-2</v>
      </c>
      <c r="C78" s="68"/>
      <c r="D78" s="73">
        <v>0</v>
      </c>
      <c r="E78" s="68"/>
      <c r="F78" s="68">
        <v>3.5999999999999997E-2</v>
      </c>
      <c r="G78" s="68"/>
      <c r="H78" s="73">
        <v>2.8000000000000001E-2</v>
      </c>
      <c r="I78" s="73"/>
    </row>
    <row r="79" spans="1:9" ht="15" customHeight="1" thickBot="1">
      <c r="A79" s="74"/>
      <c r="B79" s="75"/>
      <c r="C79" s="75"/>
      <c r="D79" s="75"/>
      <c r="E79" s="75"/>
      <c r="F79" s="75"/>
      <c r="G79" s="75"/>
      <c r="H79" s="75"/>
      <c r="I79" s="75"/>
    </row>
    <row r="80" spans="1:9" ht="15" customHeight="1" thickTop="1">
      <c r="B80" s="68"/>
      <c r="C80" s="68"/>
      <c r="D80" s="68"/>
      <c r="E80" s="68"/>
      <c r="F80" s="68"/>
      <c r="G80" s="68"/>
      <c r="H80" s="68"/>
      <c r="I80" s="68"/>
    </row>
    <row r="81" spans="1:9">
      <c r="A81" s="60" t="s">
        <v>75</v>
      </c>
    </row>
    <row r="83" spans="1:9">
      <c r="A83" s="60" t="s">
        <v>76</v>
      </c>
    </row>
    <row r="84" spans="1:9">
      <c r="A84" s="60" t="s">
        <v>77</v>
      </c>
    </row>
    <row r="86" spans="1:9">
      <c r="A86" s="60" t="s">
        <v>78</v>
      </c>
      <c r="B86" s="68"/>
      <c r="C86" s="68"/>
      <c r="D86" s="68"/>
      <c r="E86" s="68"/>
      <c r="F86" s="68"/>
      <c r="G86" s="68"/>
      <c r="H86" s="68"/>
      <c r="I86" s="68"/>
    </row>
    <row r="87" spans="1:9">
      <c r="A87" s="60" t="s">
        <v>79</v>
      </c>
      <c r="B87" s="68"/>
      <c r="C87" s="68"/>
      <c r="D87" s="68"/>
      <c r="E87" s="68"/>
      <c r="F87" s="68"/>
      <c r="G87" s="68"/>
      <c r="H87" s="68"/>
      <c r="I87" s="68"/>
    </row>
    <row r="88" spans="1:9">
      <c r="A88" s="60" t="s">
        <v>80</v>
      </c>
      <c r="B88" s="68"/>
      <c r="C88" s="68"/>
      <c r="D88" s="68"/>
      <c r="E88" s="68"/>
      <c r="F88" s="68"/>
      <c r="G88" s="68"/>
      <c r="H88" s="68"/>
      <c r="I88" s="68"/>
    </row>
  </sheetData>
  <mergeCells count="7">
    <mergeCell ref="A73:H73"/>
    <mergeCell ref="A59:I59"/>
    <mergeCell ref="A4:I4"/>
    <mergeCell ref="A12:I12"/>
    <mergeCell ref="A23:I23"/>
    <mergeCell ref="A35:I35"/>
    <mergeCell ref="A48:I48"/>
  </mergeCells>
  <printOptions horizontalCentered="1" verticalCentered="1"/>
  <pageMargins left="0.5" right="0.5" top="0.5" bottom="0.5" header="0.5" footer="0.5"/>
  <pageSetup scale="5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64"/>
  <sheetViews>
    <sheetView showOutlineSymbols="0" topLeftCell="A12" zoomScaleNormal="100" workbookViewId="0">
      <selection activeCell="A40" sqref="A40:A41"/>
    </sheetView>
  </sheetViews>
  <sheetFormatPr defaultColWidth="9.76953125" defaultRowHeight="15"/>
  <cols>
    <col min="1" max="1" width="27.08984375" style="11" customWidth="1"/>
    <col min="2" max="6" width="7.54296875" style="11" customWidth="1"/>
    <col min="7" max="7" width="7.54296875" style="49" customWidth="1"/>
    <col min="8" max="20" width="7.54296875" style="11" customWidth="1"/>
    <col min="21" max="22" width="9.76953125" style="11"/>
    <col min="23" max="24" width="7.54296875" style="11" customWidth="1"/>
    <col min="25" max="16384" width="9.76953125" style="11"/>
  </cols>
  <sheetData>
    <row r="1" spans="1:24">
      <c r="A1" s="3"/>
      <c r="B1" s="3"/>
      <c r="C1" s="3"/>
      <c r="D1" s="3"/>
      <c r="E1" s="3"/>
      <c r="F1" s="3"/>
      <c r="G1" s="180"/>
      <c r="H1" s="3"/>
      <c r="I1" s="3"/>
      <c r="J1" s="3"/>
      <c r="K1" s="3"/>
      <c r="L1" s="3"/>
      <c r="M1" s="3"/>
      <c r="N1" s="3"/>
      <c r="O1" s="3"/>
      <c r="P1" s="1"/>
      <c r="Q1" s="1"/>
      <c r="R1" s="1"/>
      <c r="S1" s="3"/>
      <c r="T1" s="1"/>
      <c r="U1" s="3"/>
      <c r="V1" s="1" t="str">
        <f>+'DCP-12, P 1'!Z1</f>
        <v>Exh. DCP-12</v>
      </c>
      <c r="W1" s="3"/>
      <c r="X1" s="3"/>
    </row>
    <row r="2" spans="1:24">
      <c r="A2" s="3"/>
      <c r="B2" s="3"/>
      <c r="C2" s="3"/>
      <c r="D2" s="3"/>
      <c r="E2" s="3"/>
      <c r="F2" s="3"/>
      <c r="G2" s="180"/>
      <c r="H2" s="3"/>
      <c r="I2" s="3"/>
      <c r="J2" s="3"/>
      <c r="K2" s="3"/>
      <c r="L2" s="3"/>
      <c r="M2" s="3"/>
      <c r="N2" s="1"/>
      <c r="O2" s="3"/>
      <c r="P2" s="1"/>
      <c r="Q2" s="1"/>
      <c r="R2" s="1"/>
      <c r="S2" s="3"/>
      <c r="T2" s="1"/>
      <c r="U2" s="3"/>
      <c r="V2" s="1" t="s">
        <v>81</v>
      </c>
      <c r="W2" s="3"/>
      <c r="X2" s="3"/>
    </row>
    <row r="4" spans="1:24" ht="20.100000000000001">
      <c r="A4" s="2" t="str">
        <f>'DCP-12, P 1'!A4</f>
        <v>PROXY COMPANIES</v>
      </c>
      <c r="B4" s="2"/>
      <c r="C4" s="2"/>
      <c r="D4" s="2"/>
      <c r="E4" s="2"/>
      <c r="F4" s="2"/>
      <c r="G4" s="5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  <c r="W4" s="3"/>
      <c r="X4" s="3"/>
    </row>
    <row r="5" spans="1:24" ht="20.100000000000001">
      <c r="A5" s="2" t="s">
        <v>333</v>
      </c>
      <c r="B5" s="2"/>
      <c r="C5" s="2"/>
      <c r="D5" s="2"/>
      <c r="E5" s="2"/>
      <c r="F5" s="2"/>
      <c r="G5" s="5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3"/>
      <c r="X5" s="3"/>
    </row>
    <row r="8" spans="1:24" ht="15.3" thickBot="1">
      <c r="A8" s="3"/>
      <c r="B8" s="3"/>
      <c r="C8" s="3"/>
      <c r="D8" s="3"/>
      <c r="E8" s="3"/>
      <c r="F8" s="3"/>
      <c r="G8" s="18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92"/>
      <c r="W8" s="92"/>
      <c r="X8" s="92"/>
    </row>
    <row r="9" spans="1:24" ht="15.3" thickTop="1">
      <c r="A9" s="12"/>
      <c r="B9" s="12"/>
      <c r="C9" s="12"/>
      <c r="D9" s="12"/>
      <c r="E9" s="12"/>
      <c r="F9" s="12"/>
      <c r="G9" s="5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3"/>
      <c r="W9" s="3"/>
      <c r="X9" s="3"/>
    </row>
    <row r="10" spans="1:24">
      <c r="A10" s="1"/>
      <c r="B10" s="93"/>
      <c r="C10" s="93"/>
      <c r="D10" s="93"/>
      <c r="E10" s="93"/>
      <c r="F10" s="93"/>
      <c r="G10" s="32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 t="s">
        <v>330</v>
      </c>
      <c r="V10" s="1" t="s">
        <v>331</v>
      </c>
      <c r="W10" s="3"/>
      <c r="X10" s="3"/>
    </row>
    <row r="11" spans="1:24">
      <c r="A11" s="93" t="s">
        <v>184</v>
      </c>
      <c r="B11" s="93">
        <v>2002</v>
      </c>
      <c r="C11" s="93">
        <v>2003</v>
      </c>
      <c r="D11" s="93">
        <v>2004</v>
      </c>
      <c r="E11" s="93">
        <v>2005</v>
      </c>
      <c r="F11" s="93">
        <v>2006</v>
      </c>
      <c r="G11" s="93">
        <v>2007</v>
      </c>
      <c r="H11" s="93">
        <v>2008</v>
      </c>
      <c r="I11" s="93">
        <v>2009</v>
      </c>
      <c r="J11" s="93">
        <v>2010</v>
      </c>
      <c r="K11" s="93">
        <v>2011</v>
      </c>
      <c r="L11" s="93">
        <v>2012</v>
      </c>
      <c r="M11" s="93">
        <v>2013</v>
      </c>
      <c r="N11" s="93">
        <v>2014</v>
      </c>
      <c r="O11" s="93">
        <v>2015</v>
      </c>
      <c r="P11" s="93">
        <v>2016</v>
      </c>
      <c r="Q11" s="93">
        <v>2017</v>
      </c>
      <c r="R11" s="93">
        <v>2018</v>
      </c>
      <c r="S11" s="93">
        <v>2019</v>
      </c>
      <c r="T11" s="93">
        <v>2020</v>
      </c>
      <c r="U11" s="93" t="str">
        <f>'DCP-12, P 1'!U11</f>
        <v>Average</v>
      </c>
      <c r="V11" s="93" t="str">
        <f>'DCP-12, P 1'!V11</f>
        <v>Average</v>
      </c>
      <c r="W11" s="93">
        <v>2021</v>
      </c>
      <c r="X11" s="93">
        <v>2022</v>
      </c>
    </row>
    <row r="12" spans="1:24" ht="15.3" thickBot="1">
      <c r="A12" s="3"/>
      <c r="B12" s="4"/>
      <c r="C12" s="4"/>
      <c r="D12" s="4"/>
      <c r="E12" s="4"/>
      <c r="F12" s="4"/>
      <c r="G12" s="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92"/>
      <c r="W12" s="92"/>
      <c r="X12" s="92"/>
    </row>
    <row r="13" spans="1:24" ht="15.3" thickTop="1">
      <c r="A13" s="12"/>
      <c r="B13" s="14"/>
      <c r="C13" s="14"/>
      <c r="D13" s="14"/>
      <c r="E13" s="14"/>
      <c r="F13" s="14"/>
      <c r="G13" s="52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3"/>
      <c r="W13" s="3"/>
      <c r="X13" s="3"/>
    </row>
    <row r="14" spans="1:24">
      <c r="A14" s="3"/>
      <c r="B14" s="4"/>
      <c r="C14" s="4"/>
      <c r="D14" s="4"/>
      <c r="E14" s="4"/>
      <c r="F14" s="4"/>
      <c r="G14" s="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3"/>
      <c r="W14" s="3"/>
      <c r="X14" s="3"/>
    </row>
    <row r="15" spans="1:24">
      <c r="A15" s="1" t="str">
        <f>'DCP-12, P 1'!A15</f>
        <v>Parcell Proxy Group</v>
      </c>
      <c r="B15" s="4"/>
      <c r="C15" s="4"/>
      <c r="D15" s="4"/>
      <c r="E15" s="4"/>
      <c r="F15" s="4"/>
      <c r="G15" s="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3"/>
      <c r="W15" s="3"/>
      <c r="X15" s="3"/>
    </row>
    <row r="16" spans="1:24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3"/>
      <c r="X16" s="3"/>
    </row>
    <row r="17" spans="1:24">
      <c r="A17" s="3" t="str">
        <f>+'DCP-12, P 1'!A17</f>
        <v>ALLETE</v>
      </c>
      <c r="B17" s="9"/>
      <c r="C17" s="9"/>
      <c r="D17" s="9"/>
      <c r="E17" s="9">
        <v>2.12</v>
      </c>
      <c r="F17" s="9">
        <v>2.19</v>
      </c>
      <c r="G17" s="9">
        <v>1.95</v>
      </c>
      <c r="H17" s="9">
        <v>1.56</v>
      </c>
      <c r="I17" s="9">
        <v>1.1299999999999999</v>
      </c>
      <c r="J17" s="9">
        <v>1.27</v>
      </c>
      <c r="K17" s="9">
        <v>1.38</v>
      </c>
      <c r="L17" s="9">
        <v>1.36</v>
      </c>
      <c r="M17" s="9">
        <v>1.52</v>
      </c>
      <c r="N17" s="9">
        <v>1.51</v>
      </c>
      <c r="O17" s="9">
        <v>1.46</v>
      </c>
      <c r="P17" s="9">
        <v>1.53</v>
      </c>
      <c r="Q17" s="9">
        <v>1.82</v>
      </c>
      <c r="R17" s="9">
        <v>1.81</v>
      </c>
      <c r="S17" s="9">
        <v>1.89</v>
      </c>
      <c r="T17" s="9">
        <v>1.52</v>
      </c>
      <c r="U17" s="9"/>
      <c r="V17" s="9">
        <f>AVERAGE(I17:T17)</f>
        <v>1.5166666666666666</v>
      </c>
      <c r="W17" s="9">
        <v>1.45</v>
      </c>
      <c r="X17" s="9">
        <v>1.26</v>
      </c>
    </row>
    <row r="18" spans="1:24">
      <c r="A18" s="3" t="str">
        <f>+'DCP-12, P 1'!A18</f>
        <v>Alliant Energy Corp</v>
      </c>
      <c r="B18" s="9">
        <v>1.1000000000000001</v>
      </c>
      <c r="C18" s="9">
        <v>0.97</v>
      </c>
      <c r="D18" s="9">
        <v>1.2</v>
      </c>
      <c r="E18" s="9">
        <v>1.31</v>
      </c>
      <c r="F18" s="9">
        <v>1.55</v>
      </c>
      <c r="G18" s="9">
        <v>1.73</v>
      </c>
      <c r="H18" s="9">
        <v>1.31</v>
      </c>
      <c r="I18" s="9">
        <v>1.03</v>
      </c>
      <c r="J18" s="9">
        <v>1.31</v>
      </c>
      <c r="K18" s="9">
        <v>1.47</v>
      </c>
      <c r="L18" s="9">
        <v>1.61</v>
      </c>
      <c r="M18" s="9">
        <v>1.69</v>
      </c>
      <c r="N18" s="9">
        <v>1.97</v>
      </c>
      <c r="O18" s="9">
        <v>1.96</v>
      </c>
      <c r="P18" s="9">
        <v>2.14</v>
      </c>
      <c r="Q18" s="9">
        <v>2.35</v>
      </c>
      <c r="R18" s="9">
        <v>2.23</v>
      </c>
      <c r="S18" s="9">
        <v>2.37</v>
      </c>
      <c r="T18" s="9">
        <v>2.23</v>
      </c>
      <c r="U18" s="9">
        <f t="shared" ref="U18:U31" si="0">AVERAGE(B18:H18)</f>
        <v>1.31</v>
      </c>
      <c r="V18" s="9">
        <f t="shared" ref="V18:V30" si="1">AVERAGE(I18:T18)</f>
        <v>1.8633333333333333</v>
      </c>
      <c r="W18" s="9">
        <v>2.3199999999999998</v>
      </c>
      <c r="X18" s="9">
        <v>2.2999999999999998</v>
      </c>
    </row>
    <row r="19" spans="1:24">
      <c r="A19" s="3" t="str">
        <f>+'DCP-12, P 1'!A19</f>
        <v>Ameren Corp</v>
      </c>
      <c r="B19" s="9">
        <v>1.63</v>
      </c>
      <c r="C19" s="9">
        <v>1.62</v>
      </c>
      <c r="D19" s="9">
        <v>1.61</v>
      </c>
      <c r="E19" s="9">
        <v>1.72</v>
      </c>
      <c r="F19" s="9">
        <v>1.64</v>
      </c>
      <c r="G19" s="9">
        <v>1.59</v>
      </c>
      <c r="H19" s="9">
        <v>1.22</v>
      </c>
      <c r="I19" s="9">
        <v>0.83</v>
      </c>
      <c r="J19" s="9">
        <v>0.81</v>
      </c>
      <c r="K19" s="9">
        <v>0.92</v>
      </c>
      <c r="L19" s="9">
        <v>1.06</v>
      </c>
      <c r="M19" s="9">
        <v>1.25</v>
      </c>
      <c r="N19" s="9">
        <v>1.52</v>
      </c>
      <c r="O19" s="9">
        <v>1.49</v>
      </c>
      <c r="P19" s="9">
        <v>1.65</v>
      </c>
      <c r="Q19" s="9">
        <v>1.98</v>
      </c>
      <c r="R19" s="9">
        <v>2.02</v>
      </c>
      <c r="S19" s="9">
        <v>2.25</v>
      </c>
      <c r="T19" s="9">
        <v>2.15</v>
      </c>
      <c r="U19" s="9">
        <f t="shared" si="0"/>
        <v>1.5757142857142858</v>
      </c>
      <c r="V19" s="9">
        <f t="shared" si="1"/>
        <v>1.4941666666666666</v>
      </c>
      <c r="W19" s="9">
        <v>2.2000000000000002</v>
      </c>
      <c r="X19" s="9">
        <v>2.2200000000000002</v>
      </c>
    </row>
    <row r="20" spans="1:24">
      <c r="A20" s="3" t="str">
        <f>+'DCP-12, P 1'!A20</f>
        <v>Avista Corp</v>
      </c>
      <c r="B20" s="9">
        <v>0.85</v>
      </c>
      <c r="C20" s="9">
        <v>0.94</v>
      </c>
      <c r="D20" s="9">
        <v>1.1100000000000001</v>
      </c>
      <c r="E20" s="9">
        <v>1.1499999999999999</v>
      </c>
      <c r="F20" s="9">
        <v>1.35</v>
      </c>
      <c r="G20" s="9">
        <v>1.27</v>
      </c>
      <c r="H20" s="9">
        <v>1.1000000000000001</v>
      </c>
      <c r="I20" s="9">
        <v>0.94</v>
      </c>
      <c r="J20" s="9">
        <v>1.06</v>
      </c>
      <c r="K20" s="9">
        <v>1.19</v>
      </c>
      <c r="L20" s="9">
        <v>1.23</v>
      </c>
      <c r="M20" s="9">
        <v>1.25</v>
      </c>
      <c r="N20" s="9">
        <v>1.43</v>
      </c>
      <c r="O20" s="9">
        <v>1.41</v>
      </c>
      <c r="P20" s="9">
        <v>1.58</v>
      </c>
      <c r="Q20" s="9">
        <v>1.74</v>
      </c>
      <c r="R20" s="9">
        <v>1.78</v>
      </c>
      <c r="S20" s="9">
        <v>1.6</v>
      </c>
      <c r="T20" s="9">
        <v>1.46</v>
      </c>
      <c r="U20" s="9">
        <f t="shared" si="0"/>
        <v>1.1099999999999999</v>
      </c>
      <c r="V20" s="9">
        <f t="shared" si="1"/>
        <v>1.3891666666666664</v>
      </c>
      <c r="W20" s="9">
        <v>1.44</v>
      </c>
      <c r="X20" s="9">
        <v>1.35</v>
      </c>
    </row>
    <row r="21" spans="1:24">
      <c r="A21" s="3" t="str">
        <f>+'DCP-12, P 1'!A21</f>
        <v>Black Hills Corp</v>
      </c>
      <c r="B21" s="9">
        <v>1.43</v>
      </c>
      <c r="C21" s="9">
        <v>1.34</v>
      </c>
      <c r="D21" s="9">
        <v>1.34</v>
      </c>
      <c r="E21" s="9">
        <v>1.65</v>
      </c>
      <c r="F21" s="9">
        <v>1.53</v>
      </c>
      <c r="G21" s="9">
        <v>1.64</v>
      </c>
      <c r="H21" s="9">
        <v>1.24</v>
      </c>
      <c r="I21" s="9">
        <v>0.77</v>
      </c>
      <c r="J21" s="9">
        <v>1.08</v>
      </c>
      <c r="K21" s="9">
        <v>1.0900000000000001</v>
      </c>
      <c r="L21" s="9">
        <v>1.21</v>
      </c>
      <c r="M21" s="9">
        <v>1.61</v>
      </c>
      <c r="N21" s="9">
        <v>1.81</v>
      </c>
      <c r="O21" s="9">
        <v>1.52</v>
      </c>
      <c r="P21" s="9">
        <v>1.86</v>
      </c>
      <c r="Q21" s="9">
        <v>2.0699999999999998</v>
      </c>
      <c r="R21" s="9">
        <v>1.74</v>
      </c>
      <c r="S21" s="9">
        <v>1.91</v>
      </c>
      <c r="T21" s="9">
        <v>1.71</v>
      </c>
      <c r="U21" s="9">
        <f t="shared" si="0"/>
        <v>1.4528571428571428</v>
      </c>
      <c r="V21" s="9">
        <f t="shared" si="1"/>
        <v>1.5316666666666665</v>
      </c>
      <c r="W21" s="9">
        <v>1.56</v>
      </c>
      <c r="X21" s="9">
        <v>1.58</v>
      </c>
    </row>
    <row r="22" spans="1:24">
      <c r="A22" s="3" t="str">
        <f>+'DCP-12, P 1'!A22</f>
        <v>Evergy, Inc.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v>1.59</v>
      </c>
      <c r="T22" s="9">
        <v>1.55</v>
      </c>
      <c r="U22" s="9"/>
      <c r="V22" s="9"/>
      <c r="W22" s="9">
        <v>1.64</v>
      </c>
      <c r="X22" s="9">
        <v>1.55</v>
      </c>
    </row>
    <row r="23" spans="1:24">
      <c r="A23" s="3" t="str">
        <f>+'DCP-12, P 1'!A23</f>
        <v>Eversource Energy</v>
      </c>
      <c r="B23" s="9">
        <v>0.99</v>
      </c>
      <c r="C23" s="9">
        <v>0.95</v>
      </c>
      <c r="D23" s="9">
        <v>1.06</v>
      </c>
      <c r="E23" s="9">
        <v>1.08</v>
      </c>
      <c r="F23" s="9">
        <v>1.31</v>
      </c>
      <c r="G23" s="9">
        <v>1.63</v>
      </c>
      <c r="H23" s="9">
        <v>1.28</v>
      </c>
      <c r="I23" s="9">
        <v>1.1399999999999999</v>
      </c>
      <c r="J23" s="9">
        <v>1.36</v>
      </c>
      <c r="K23" s="9">
        <v>1.5</v>
      </c>
      <c r="L23" s="9">
        <v>1.43</v>
      </c>
      <c r="M23" s="9">
        <v>1.41</v>
      </c>
      <c r="N23" s="9">
        <v>1.58</v>
      </c>
      <c r="O23" s="9">
        <v>1.58</v>
      </c>
      <c r="P23" s="9">
        <v>1.66</v>
      </c>
      <c r="Q23" s="9">
        <v>1.75</v>
      </c>
      <c r="R23" s="9">
        <v>1.73</v>
      </c>
      <c r="S23" s="9">
        <v>2.0099999999999998</v>
      </c>
      <c r="T23" s="9">
        <v>2.02</v>
      </c>
      <c r="U23" s="9">
        <f t="shared" si="0"/>
        <v>1.1857142857142857</v>
      </c>
      <c r="V23" s="9">
        <f t="shared" si="1"/>
        <v>1.5974999999999999</v>
      </c>
      <c r="W23" s="9">
        <v>2.0299999999999998</v>
      </c>
      <c r="X23" s="9">
        <v>1.9</v>
      </c>
    </row>
    <row r="24" spans="1:24">
      <c r="A24" s="3" t="str">
        <f>+'DCP-12, P 1'!A24</f>
        <v>Fortis, Inc.</v>
      </c>
      <c r="B24" s="9"/>
      <c r="C24" s="9"/>
      <c r="D24" s="9">
        <v>1.65</v>
      </c>
      <c r="E24" s="9">
        <v>1.92</v>
      </c>
      <c r="F24" s="9">
        <v>2.1</v>
      </c>
      <c r="G24" s="9">
        <v>1.87</v>
      </c>
      <c r="H24" s="9">
        <v>1.46</v>
      </c>
      <c r="I24" s="9">
        <v>1.39</v>
      </c>
      <c r="J24" s="9">
        <v>1.5</v>
      </c>
      <c r="K24" s="9">
        <v>1.61</v>
      </c>
      <c r="L24" s="9">
        <v>1.72</v>
      </c>
      <c r="M24" s="9">
        <v>1.5</v>
      </c>
      <c r="N24" s="9">
        <v>1.49</v>
      </c>
      <c r="O24" s="9">
        <v>1.43</v>
      </c>
      <c r="P24" s="9">
        <v>1.33</v>
      </c>
      <c r="Q24" s="9">
        <v>1.39</v>
      </c>
      <c r="R24" s="9">
        <v>1.3</v>
      </c>
      <c r="S24" s="9">
        <v>1.42</v>
      </c>
      <c r="T24" s="9">
        <v>1.38</v>
      </c>
      <c r="U24" s="9">
        <f t="shared" si="0"/>
        <v>1.8</v>
      </c>
      <c r="V24" s="9">
        <f t="shared" ref="V24" si="2">AVERAGE(I24:T24)</f>
        <v>1.4549999999999998</v>
      </c>
      <c r="W24" s="9">
        <v>1.49</v>
      </c>
      <c r="X24" s="9">
        <v>1.54</v>
      </c>
    </row>
    <row r="25" spans="1:24">
      <c r="A25" s="3" t="str">
        <f>+'DCP-12, P 1'!A25</f>
        <v>IDACORP</v>
      </c>
      <c r="B25" s="9">
        <v>1.34</v>
      </c>
      <c r="C25" s="9">
        <v>1.1200000000000001</v>
      </c>
      <c r="D25" s="9">
        <v>1.25</v>
      </c>
      <c r="E25" s="9">
        <v>1.22</v>
      </c>
      <c r="F25" s="9">
        <v>1.39</v>
      </c>
      <c r="G25" s="9">
        <v>1.32</v>
      </c>
      <c r="H25" s="9">
        <v>1.04</v>
      </c>
      <c r="I25" s="9">
        <v>0.94</v>
      </c>
      <c r="J25" s="9">
        <v>1.1299999999999999</v>
      </c>
      <c r="K25" s="9">
        <v>1.19</v>
      </c>
      <c r="L25" s="9">
        <v>1.23</v>
      </c>
      <c r="M25" s="9">
        <v>1.36</v>
      </c>
      <c r="N25" s="9">
        <v>1.59</v>
      </c>
      <c r="O25" s="9">
        <v>1.58</v>
      </c>
      <c r="P25" s="9">
        <v>1.77</v>
      </c>
      <c r="Q25" s="9">
        <v>2.0299999999999998</v>
      </c>
      <c r="R25" s="9">
        <v>1.99</v>
      </c>
      <c r="S25" s="9">
        <v>2.12</v>
      </c>
      <c r="T25" s="9">
        <v>1.83</v>
      </c>
      <c r="U25" s="9">
        <f t="shared" si="0"/>
        <v>1.24</v>
      </c>
      <c r="V25" s="9">
        <f t="shared" si="1"/>
        <v>1.5633333333333332</v>
      </c>
      <c r="W25" s="9">
        <v>1.92</v>
      </c>
      <c r="X25" s="9">
        <v>1.96</v>
      </c>
    </row>
    <row r="26" spans="1:24">
      <c r="A26" s="3" t="str">
        <f>+'DCP-12, P 1'!A26</f>
        <v>Northwestern Corp</v>
      </c>
      <c r="B26" s="9"/>
      <c r="C26" s="9"/>
      <c r="D26" s="9"/>
      <c r="E26" s="9"/>
      <c r="F26" s="9">
        <v>1.6</v>
      </c>
      <c r="G26" s="9">
        <v>1.47</v>
      </c>
      <c r="H26" s="9">
        <v>1.0900000000000001</v>
      </c>
      <c r="I26" s="9">
        <v>1.05</v>
      </c>
      <c r="J26" s="9">
        <v>1.22</v>
      </c>
      <c r="K26" s="9">
        <v>1.38</v>
      </c>
      <c r="L26" s="9">
        <v>1.46</v>
      </c>
      <c r="M26" s="9">
        <v>1.59</v>
      </c>
      <c r="N26" s="9">
        <v>1.74</v>
      </c>
      <c r="O26" s="9">
        <v>1.67</v>
      </c>
      <c r="P26" s="9">
        <v>1.71</v>
      </c>
      <c r="Q26" s="9">
        <v>1.69</v>
      </c>
      <c r="R26" s="9">
        <v>1.54</v>
      </c>
      <c r="S26" s="9">
        <v>1.7</v>
      </c>
      <c r="T26" s="9">
        <v>1.54</v>
      </c>
      <c r="U26" s="9"/>
      <c r="V26" s="9">
        <f t="shared" si="1"/>
        <v>1.5241666666666667</v>
      </c>
      <c r="W26" s="9">
        <v>1.47</v>
      </c>
      <c r="X26" s="9">
        <v>1.27</v>
      </c>
    </row>
    <row r="27" spans="1:24">
      <c r="A27" s="3" t="str">
        <f>+'DCP-12, P 1'!A27</f>
        <v>OGE Energy</v>
      </c>
      <c r="B27" s="9">
        <v>1.47</v>
      </c>
      <c r="C27" s="9">
        <v>1.54</v>
      </c>
      <c r="D27" s="9">
        <v>1.78</v>
      </c>
      <c r="E27" s="9">
        <v>1.87</v>
      </c>
      <c r="F27" s="9">
        <v>2.0499999999999998</v>
      </c>
      <c r="G27" s="9">
        <v>1.97</v>
      </c>
      <c r="H27" s="9">
        <v>1.45</v>
      </c>
      <c r="I27" s="9">
        <v>1.39</v>
      </c>
      <c r="J27" s="9">
        <v>1.8</v>
      </c>
      <c r="K27" s="9">
        <v>1.97</v>
      </c>
      <c r="L27" s="9">
        <v>2.04</v>
      </c>
      <c r="M27" s="9">
        <v>2.31</v>
      </c>
      <c r="N27" s="9">
        <v>2.2799999999999998</v>
      </c>
      <c r="O27" s="9">
        <v>1.84</v>
      </c>
      <c r="P27" s="9">
        <v>1.7</v>
      </c>
      <c r="Q27" s="9">
        <v>1.92</v>
      </c>
      <c r="R27" s="9">
        <v>1.81</v>
      </c>
      <c r="S27" s="9">
        <v>2.06</v>
      </c>
      <c r="T27" s="9">
        <v>1.79</v>
      </c>
      <c r="U27" s="9">
        <f t="shared" si="0"/>
        <v>1.7328571428571429</v>
      </c>
      <c r="V27" s="9">
        <f t="shared" si="1"/>
        <v>1.9091666666666665</v>
      </c>
      <c r="W27" s="9">
        <v>1.76</v>
      </c>
      <c r="X27" s="9">
        <v>1.8</v>
      </c>
    </row>
    <row r="28" spans="1:24">
      <c r="A28" s="3" t="str">
        <f>+'DCP-12, P 1'!A28</f>
        <v>Otter Tail Corp</v>
      </c>
      <c r="B28" s="9">
        <v>2.4500000000000002</v>
      </c>
      <c r="C28" s="9">
        <v>2.09</v>
      </c>
      <c r="D28" s="9">
        <v>1.85</v>
      </c>
      <c r="E28" s="9">
        <v>1.83</v>
      </c>
      <c r="F28" s="9">
        <v>1.78</v>
      </c>
      <c r="G28" s="9">
        <v>2</v>
      </c>
      <c r="H28" s="9">
        <v>1.67</v>
      </c>
      <c r="I28" s="9">
        <v>1.08</v>
      </c>
      <c r="J28" s="9">
        <v>1.2</v>
      </c>
      <c r="K28" s="9">
        <v>1.23</v>
      </c>
      <c r="L28" s="9">
        <v>1.52</v>
      </c>
      <c r="M28" s="9">
        <v>1.96</v>
      </c>
      <c r="N28" s="9">
        <v>1.96</v>
      </c>
      <c r="O28" s="9">
        <v>1.86</v>
      </c>
      <c r="P28" s="9">
        <v>2.0699999999999998</v>
      </c>
      <c r="Q28" s="9">
        <v>2.44</v>
      </c>
      <c r="R28" s="9">
        <v>2.5299999999999998</v>
      </c>
      <c r="S28" s="9">
        <v>2.74</v>
      </c>
      <c r="T28" s="9">
        <v>2.17</v>
      </c>
      <c r="U28" s="9">
        <f t="shared" si="0"/>
        <v>1.9528571428571428</v>
      </c>
      <c r="V28" s="9">
        <f t="shared" si="1"/>
        <v>1.8966666666666665</v>
      </c>
      <c r="W28" s="9">
        <v>2.48</v>
      </c>
      <c r="X28" s="9">
        <v>2.5499999999999998</v>
      </c>
    </row>
    <row r="29" spans="1:24">
      <c r="A29" s="3" t="str">
        <f>+'DCP-12, P 1'!A29</f>
        <v>Pinnacle West Capital Corp</v>
      </c>
      <c r="B29" s="9">
        <v>1.1599999999999999</v>
      </c>
      <c r="C29" s="9">
        <v>1.1399999999999999</v>
      </c>
      <c r="D29" s="9">
        <v>1.3</v>
      </c>
      <c r="E29" s="9">
        <v>1.3</v>
      </c>
      <c r="F29" s="9">
        <v>1.29</v>
      </c>
      <c r="G29" s="9">
        <v>1.27</v>
      </c>
      <c r="H29" s="9">
        <v>1</v>
      </c>
      <c r="I29" s="9">
        <v>0.9</v>
      </c>
      <c r="J29" s="9">
        <v>1.1299999999999999</v>
      </c>
      <c r="K29" s="9">
        <v>1.25</v>
      </c>
      <c r="L29" s="9">
        <v>1.41</v>
      </c>
      <c r="M29" s="9">
        <v>1.53</v>
      </c>
      <c r="N29" s="9">
        <v>1.58</v>
      </c>
      <c r="O29" s="9">
        <v>1.6</v>
      </c>
      <c r="P29" s="9">
        <v>1.72</v>
      </c>
      <c r="Q29" s="9">
        <v>1.91</v>
      </c>
      <c r="R29" s="9">
        <v>1.82</v>
      </c>
      <c r="S29" s="9">
        <v>1.91</v>
      </c>
      <c r="T29" s="9">
        <v>1.69</v>
      </c>
      <c r="U29" s="9">
        <f t="shared" si="0"/>
        <v>1.2085714285714284</v>
      </c>
      <c r="V29" s="9">
        <f t="shared" si="1"/>
        <v>1.5375000000000003</v>
      </c>
      <c r="W29" s="9">
        <v>1.48</v>
      </c>
      <c r="X29" s="9">
        <v>1.32</v>
      </c>
    </row>
    <row r="30" spans="1:24">
      <c r="A30" s="3" t="str">
        <f>+'DCP-12, P 1'!A30</f>
        <v>Portland General Electric</v>
      </c>
      <c r="B30" s="9"/>
      <c r="C30" s="9"/>
      <c r="D30" s="9"/>
      <c r="E30" s="9"/>
      <c r="F30" s="9">
        <v>1.53</v>
      </c>
      <c r="G30" s="9">
        <v>1.4</v>
      </c>
      <c r="H30" s="9">
        <v>1.01</v>
      </c>
      <c r="I30" s="9">
        <v>0.83</v>
      </c>
      <c r="J30" s="9">
        <v>0.97</v>
      </c>
      <c r="K30" s="9">
        <v>1.0900000000000001</v>
      </c>
      <c r="L30" s="9">
        <v>1.17</v>
      </c>
      <c r="M30" s="9">
        <v>1.31</v>
      </c>
      <c r="N30" s="9">
        <v>1.45</v>
      </c>
      <c r="O30" s="9">
        <v>1.48</v>
      </c>
      <c r="P30" s="9">
        <v>1.55</v>
      </c>
      <c r="Q30" s="9">
        <v>1.73</v>
      </c>
      <c r="R30" s="9">
        <v>1.62</v>
      </c>
      <c r="S30" s="9">
        <v>1.79</v>
      </c>
      <c r="T30" s="9">
        <v>1.63</v>
      </c>
      <c r="U30" s="9"/>
      <c r="V30" s="9">
        <f t="shared" si="1"/>
        <v>1.3849999999999998</v>
      </c>
      <c r="W30" s="9">
        <v>1.58</v>
      </c>
      <c r="X30" s="9">
        <v>1.61</v>
      </c>
    </row>
    <row r="31" spans="1:24">
      <c r="A31" s="3" t="str">
        <f>+'DCP-12, P 1'!A31</f>
        <v>WEC Energy Group</v>
      </c>
      <c r="B31" s="9">
        <v>1.29</v>
      </c>
      <c r="C31" s="9">
        <v>1.47</v>
      </c>
      <c r="D31" s="9">
        <v>1.56</v>
      </c>
      <c r="E31" s="9">
        <v>1.68</v>
      </c>
      <c r="F31" s="9">
        <v>1.82</v>
      </c>
      <c r="G31" s="9">
        <v>1.79</v>
      </c>
      <c r="H31" s="9">
        <v>1.53</v>
      </c>
      <c r="I31" s="9">
        <v>1.47</v>
      </c>
      <c r="J31" s="9">
        <v>1.71</v>
      </c>
      <c r="K31" s="9">
        <v>1.86</v>
      </c>
      <c r="L31" s="9">
        <v>2.13</v>
      </c>
      <c r="M31" s="9">
        <v>2.23</v>
      </c>
      <c r="N31" s="9">
        <v>2.4900000000000002</v>
      </c>
      <c r="O31" s="9">
        <v>2.19</v>
      </c>
      <c r="P31" s="9">
        <v>2.09</v>
      </c>
      <c r="Q31" s="9">
        <v>2.17</v>
      </c>
      <c r="R31" s="9">
        <v>2.2000000000000002</v>
      </c>
      <c r="S31" s="9">
        <v>0.26</v>
      </c>
      <c r="T31" s="9">
        <v>2.72</v>
      </c>
      <c r="U31" s="9">
        <f t="shared" si="0"/>
        <v>1.5914285714285712</v>
      </c>
      <c r="V31" s="9">
        <f>AVERAGE(I31:T31)</f>
        <v>1.9600000000000002</v>
      </c>
      <c r="W31" s="9">
        <v>2.66</v>
      </c>
      <c r="X31" s="9">
        <v>2.65</v>
      </c>
    </row>
    <row r="32" spans="1:24">
      <c r="A32" s="38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181"/>
      <c r="W32" s="31"/>
      <c r="X32" s="31"/>
    </row>
    <row r="33" spans="1:24">
      <c r="A33" s="3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80"/>
      <c r="W33" s="9"/>
      <c r="X33" s="9"/>
    </row>
    <row r="34" spans="1:24">
      <c r="A34" s="3" t="str">
        <f>'DCP-12, P 1'!A34</f>
        <v>Average</v>
      </c>
      <c r="B34" s="9">
        <f t="shared" ref="B34:X34" si="3">AVERAGE(B17:B31)</f>
        <v>1.371</v>
      </c>
      <c r="C34" s="9">
        <f t="shared" si="3"/>
        <v>1.3180000000000001</v>
      </c>
      <c r="D34" s="9">
        <f t="shared" si="3"/>
        <v>1.4281818181818182</v>
      </c>
      <c r="E34" s="9">
        <f t="shared" si="3"/>
        <v>1.5708333333333335</v>
      </c>
      <c r="F34" s="9">
        <f t="shared" si="3"/>
        <v>1.6521428571428574</v>
      </c>
      <c r="G34" s="9">
        <f t="shared" si="3"/>
        <v>1.6357142857142857</v>
      </c>
      <c r="H34" s="9">
        <f t="shared" si="3"/>
        <v>1.2828571428571429</v>
      </c>
      <c r="I34" s="9">
        <f t="shared" si="3"/>
        <v>1.0635714285714288</v>
      </c>
      <c r="J34" s="9">
        <f t="shared" si="3"/>
        <v>1.2535714285714286</v>
      </c>
      <c r="K34" s="9">
        <f t="shared" si="3"/>
        <v>1.3664285714285713</v>
      </c>
      <c r="L34" s="9">
        <f t="shared" si="3"/>
        <v>1.4699999999999995</v>
      </c>
      <c r="M34" s="9">
        <f t="shared" si="3"/>
        <v>1.6085714285714285</v>
      </c>
      <c r="N34" s="9">
        <f t="shared" si="3"/>
        <v>1.7428571428571427</v>
      </c>
      <c r="O34" s="9">
        <f t="shared" si="3"/>
        <v>1.6478571428571431</v>
      </c>
      <c r="P34" s="9">
        <f t="shared" si="3"/>
        <v>1.74</v>
      </c>
      <c r="Q34" s="9">
        <f t="shared" si="3"/>
        <v>1.9278571428571429</v>
      </c>
      <c r="R34" s="9">
        <f t="shared" si="3"/>
        <v>1.8657142857142859</v>
      </c>
      <c r="S34" s="9">
        <f t="shared" si="3"/>
        <v>1.8413333333333333</v>
      </c>
      <c r="T34" s="9">
        <f t="shared" si="3"/>
        <v>1.8260000000000001</v>
      </c>
      <c r="U34" s="32">
        <f t="shared" si="3"/>
        <v>1.469090909090909</v>
      </c>
      <c r="V34" s="32">
        <f t="shared" si="3"/>
        <v>1.6159523809523806</v>
      </c>
      <c r="W34" s="9">
        <f t="shared" si="3"/>
        <v>1.8320000000000001</v>
      </c>
      <c r="X34" s="9">
        <f t="shared" si="3"/>
        <v>1.7906666666666666</v>
      </c>
    </row>
    <row r="35" spans="1:24">
      <c r="A35" s="38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181"/>
      <c r="W35" s="31"/>
      <c r="X35" s="31"/>
    </row>
    <row r="36" spans="1:24">
      <c r="A36" s="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180"/>
      <c r="W36" s="9"/>
      <c r="X36" s="9"/>
    </row>
    <row r="37" spans="1:24">
      <c r="A37" s="3" t="str">
        <f>'DCP-12, P 1'!A37</f>
        <v>Median</v>
      </c>
      <c r="B37" s="9">
        <f t="shared" ref="B37:T37" si="4">MEDIAN(B17:B31)</f>
        <v>1.3149999999999999</v>
      </c>
      <c r="C37" s="9">
        <f t="shared" si="4"/>
        <v>1.24</v>
      </c>
      <c r="D37" s="9">
        <f t="shared" si="4"/>
        <v>1.34</v>
      </c>
      <c r="E37" s="9">
        <f t="shared" si="4"/>
        <v>1.665</v>
      </c>
      <c r="F37" s="9">
        <f t="shared" si="4"/>
        <v>1.5750000000000002</v>
      </c>
      <c r="G37" s="9">
        <f t="shared" si="4"/>
        <v>1.6349999999999998</v>
      </c>
      <c r="H37" s="9">
        <f t="shared" si="4"/>
        <v>1.26</v>
      </c>
      <c r="I37" s="9">
        <f t="shared" si="4"/>
        <v>1.04</v>
      </c>
      <c r="J37" s="9">
        <f t="shared" si="4"/>
        <v>1.21</v>
      </c>
      <c r="K37" s="9">
        <f t="shared" si="4"/>
        <v>1.3149999999999999</v>
      </c>
      <c r="L37" s="9">
        <f t="shared" si="4"/>
        <v>1.42</v>
      </c>
      <c r="M37" s="9">
        <f t="shared" si="4"/>
        <v>1.5249999999999999</v>
      </c>
      <c r="N37" s="9">
        <f t="shared" si="4"/>
        <v>1.585</v>
      </c>
      <c r="O37" s="9">
        <f t="shared" si="4"/>
        <v>1.58</v>
      </c>
      <c r="P37" s="9">
        <f t="shared" si="4"/>
        <v>1.7050000000000001</v>
      </c>
      <c r="Q37" s="9">
        <f t="shared" si="4"/>
        <v>1.915</v>
      </c>
      <c r="R37" s="9">
        <f t="shared" si="4"/>
        <v>1.81</v>
      </c>
      <c r="S37" s="9">
        <f t="shared" si="4"/>
        <v>1.91</v>
      </c>
      <c r="T37" s="9">
        <f t="shared" si="4"/>
        <v>1.71</v>
      </c>
      <c r="U37" s="32">
        <f t="shared" ref="U37" si="5">AVERAGE(B37:H37)</f>
        <v>1.4328571428571428</v>
      </c>
      <c r="V37" s="32">
        <f>AVERAGE(I37:T37)</f>
        <v>1.5604166666666666</v>
      </c>
      <c r="W37" s="9">
        <f t="shared" ref="W37:X37" si="6">MEDIAN(W17:W31)</f>
        <v>1.64</v>
      </c>
      <c r="X37" s="9">
        <f t="shared" si="6"/>
        <v>1.61</v>
      </c>
    </row>
    <row r="38" spans="1:24" ht="15.3" thickBot="1">
      <c r="A38" s="38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182"/>
      <c r="V38" s="38"/>
      <c r="W38" s="92"/>
      <c r="X38" s="92"/>
    </row>
    <row r="39" spans="1:24" ht="15.3" thickTop="1">
      <c r="A39" s="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32"/>
      <c r="V39" s="3"/>
      <c r="W39" s="3"/>
      <c r="X39" s="3"/>
    </row>
    <row r="40" spans="1:24">
      <c r="A40" s="3" t="str">
        <f>+'DCP-12, P 1'!A41</f>
        <v>Note -- blanks in individual years and average column indicates that Value Line annual data is not available for all years of the indicated period.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3"/>
      <c r="W40" s="3"/>
      <c r="X40" s="3"/>
    </row>
    <row r="41" spans="1:24">
      <c r="A41" s="3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3"/>
      <c r="W41" s="3"/>
      <c r="X41" s="3"/>
    </row>
    <row r="42" spans="1:24">
      <c r="A42" s="3" t="str">
        <f>+'DCP-12, P 1'!A43</f>
        <v>Source:  Calculations made from data contained in Value Line Investment Survey.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3"/>
      <c r="W42" s="3"/>
      <c r="X42" s="3"/>
    </row>
    <row r="43" spans="1:24">
      <c r="A43" s="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3"/>
      <c r="W43" s="3"/>
      <c r="X43" s="3"/>
    </row>
    <row r="44" spans="1:24">
      <c r="A44" s="3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3"/>
      <c r="W44" s="3"/>
      <c r="X44" s="3"/>
    </row>
    <row r="45" spans="1:24">
      <c r="A45" s="3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3"/>
      <c r="W45" s="3"/>
      <c r="X45" s="3"/>
    </row>
    <row r="46" spans="1:24">
      <c r="A46" s="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3"/>
      <c r="W46" s="3"/>
      <c r="X46" s="3"/>
    </row>
    <row r="47" spans="1:24">
      <c r="A47" s="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4">
      <c r="A48" s="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>
      <c r="A49" s="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>
      <c r="A50" s="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>
      <c r="A51" s="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>
      <c r="A52" s="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>
      <c r="A53" s="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>
      <c r="A54" s="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>
      <c r="A55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>
      <c r="A56" s="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>
      <c r="A57" s="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>
      <c r="A5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>
      <c r="A59" s="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32"/>
    </row>
    <row r="60" spans="1:21">
      <c r="A60" s="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>
      <c r="A6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>
      <c r="A62" s="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32"/>
    </row>
    <row r="64" spans="1:21">
      <c r="A64"/>
      <c r="B64"/>
      <c r="C64"/>
      <c r="D64"/>
      <c r="E64"/>
      <c r="F64"/>
      <c r="G64" s="43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</sheetData>
  <phoneticPr fontId="0" type="noConversion"/>
  <printOptions horizontalCentered="1"/>
  <pageMargins left="0.5" right="0.5" top="0.5" bottom="0.55000000000000004" header="0" footer="0"/>
  <pageSetup scale="5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5C22-4B2A-4028-AE66-653AD54968C4}">
  <sheetPr>
    <pageSetUpPr fitToPage="1"/>
  </sheetPr>
  <dimension ref="A1:J39"/>
  <sheetViews>
    <sheetView topLeftCell="A21" workbookViewId="0">
      <selection activeCell="H1" sqref="H1:H2"/>
    </sheetView>
  </sheetViews>
  <sheetFormatPr defaultRowHeight="15"/>
  <cols>
    <col min="1" max="1" width="25" customWidth="1"/>
    <col min="2" max="2" width="2" customWidth="1"/>
    <col min="8" max="8" width="2.76953125" customWidth="1"/>
  </cols>
  <sheetData>
    <row r="1" spans="1:10">
      <c r="H1" s="1" t="str">
        <f>+'DCP-12, P 2'!V1</f>
        <v>Exh. DCP-12</v>
      </c>
    </row>
    <row r="2" spans="1:10">
      <c r="H2" s="1" t="s">
        <v>104</v>
      </c>
    </row>
    <row r="3" spans="1:10">
      <c r="A3" s="205" t="s">
        <v>334</v>
      </c>
      <c r="B3" s="205"/>
      <c r="C3" s="205"/>
      <c r="D3" s="205"/>
      <c r="E3" s="205"/>
      <c r="F3" s="205"/>
      <c r="G3" s="205"/>
      <c r="H3" s="205"/>
      <c r="I3" s="205"/>
    </row>
    <row r="4" spans="1:10">
      <c r="A4" s="205" t="s">
        <v>335</v>
      </c>
      <c r="B4" s="205"/>
      <c r="C4" s="205"/>
      <c r="D4" s="205"/>
      <c r="E4" s="205"/>
      <c r="F4" s="205"/>
      <c r="G4" s="205"/>
      <c r="H4" s="205"/>
      <c r="I4" s="205"/>
    </row>
    <row r="6" spans="1:10" ht="15.3" thickBot="1">
      <c r="A6" s="36"/>
      <c r="B6" s="36"/>
      <c r="C6" s="36"/>
      <c r="D6" s="36"/>
      <c r="E6" s="36"/>
      <c r="F6" s="36"/>
      <c r="G6" s="36"/>
      <c r="H6" s="36"/>
      <c r="I6" s="36"/>
    </row>
    <row r="7" spans="1:10" ht="15.3" thickTop="1"/>
    <row r="8" spans="1:10">
      <c r="C8" s="204" t="s">
        <v>336</v>
      </c>
      <c r="D8" s="204"/>
      <c r="E8" s="204" t="s">
        <v>337</v>
      </c>
      <c r="F8" s="204"/>
      <c r="G8" s="204"/>
      <c r="I8" s="17" t="s">
        <v>338</v>
      </c>
      <c r="J8" s="17"/>
    </row>
    <row r="9" spans="1:10">
      <c r="C9" s="204" t="s">
        <v>339</v>
      </c>
      <c r="D9" s="204"/>
      <c r="E9" s="204" t="s">
        <v>340</v>
      </c>
      <c r="F9" s="204"/>
      <c r="G9" s="204"/>
    </row>
    <row r="10" spans="1:10">
      <c r="A10" t="s">
        <v>143</v>
      </c>
      <c r="C10" s="17">
        <v>2021</v>
      </c>
      <c r="D10" s="17">
        <v>2022</v>
      </c>
      <c r="E10" s="17">
        <v>2023</v>
      </c>
      <c r="F10" s="17">
        <v>2024</v>
      </c>
      <c r="G10" s="17" t="s">
        <v>197</v>
      </c>
      <c r="I10" s="17">
        <v>2022</v>
      </c>
    </row>
    <row r="11" spans="1:10">
      <c r="A11" s="18"/>
      <c r="B11" s="18"/>
      <c r="C11" s="18"/>
      <c r="D11" s="18"/>
      <c r="E11" s="18"/>
      <c r="F11" s="18"/>
      <c r="G11" s="18"/>
      <c r="H11" s="18"/>
      <c r="I11" s="18"/>
    </row>
    <row r="13" spans="1:10">
      <c r="A13" s="1" t="str">
        <f>+'DCP-8'!A35</f>
        <v>Bulkley Proxy Group</v>
      </c>
    </row>
    <row r="15" spans="1:10">
      <c r="A15" t="str">
        <f>+'DCP-8'!A37</f>
        <v>ALLETE, Inc.</v>
      </c>
      <c r="C15" s="134">
        <v>7.1999999999999995E-2</v>
      </c>
      <c r="D15" s="134">
        <v>7.2999999999999995E-2</v>
      </c>
      <c r="E15" s="134">
        <v>0.08</v>
      </c>
      <c r="F15" s="134">
        <v>0.08</v>
      </c>
      <c r="G15" s="134">
        <v>0.09</v>
      </c>
      <c r="H15" s="17"/>
      <c r="I15" s="90">
        <v>1.26</v>
      </c>
    </row>
    <row r="16" spans="1:10">
      <c r="A16" t="str">
        <f>+'DCP-8'!A38</f>
        <v>Alliant Energy Corp</v>
      </c>
      <c r="C16" s="134">
        <f>+'DCP-12, P 1'!X18</f>
        <v>0.112</v>
      </c>
      <c r="D16" s="134">
        <f>+'DCP-12, P 1'!Y18</f>
        <v>0.105</v>
      </c>
      <c r="E16" s="134">
        <f>+'DCP-12, P 1'!Z18</f>
        <v>0.11</v>
      </c>
      <c r="F16" s="134">
        <f>+'DCP-12, P 1'!AA18</f>
        <v>0.12</v>
      </c>
      <c r="G16" s="134">
        <f>+'DCP-12, P 1'!AB18</f>
        <v>0.11200000000000002</v>
      </c>
      <c r="I16" s="90">
        <f>+'DCP-12, P 2'!X18</f>
        <v>2.2999999999999998</v>
      </c>
    </row>
    <row r="17" spans="1:9">
      <c r="A17" t="str">
        <f>+'DCP-8'!A39</f>
        <v>Ameren Corp</v>
      </c>
      <c r="C17" s="134">
        <v>0.105</v>
      </c>
      <c r="D17" s="134">
        <v>0.106</v>
      </c>
      <c r="E17" s="134">
        <v>0.11</v>
      </c>
      <c r="F17" s="134">
        <v>0.11</v>
      </c>
      <c r="G17" s="134">
        <v>0.1</v>
      </c>
      <c r="I17" s="90">
        <v>2.2200000000000002</v>
      </c>
    </row>
    <row r="18" spans="1:9">
      <c r="A18" t="str">
        <f>+'DCP-8'!A40</f>
        <v>American Electric Power Corp</v>
      </c>
      <c r="C18" s="134">
        <v>0.11600000000000001</v>
      </c>
      <c r="D18" s="134">
        <v>0.112</v>
      </c>
      <c r="E18" s="134">
        <v>0.1</v>
      </c>
      <c r="F18" s="134">
        <v>0.1</v>
      </c>
      <c r="G18" s="134">
        <v>0.11</v>
      </c>
      <c r="I18" s="90">
        <v>2.04</v>
      </c>
    </row>
    <row r="19" spans="1:9">
      <c r="A19" t="str">
        <f>+'DCP-8'!A41</f>
        <v>Avista Corp</v>
      </c>
      <c r="C19" s="134">
        <f>+'DCP-12, P 1'!X20</f>
        <v>6.9000000000000006E-2</v>
      </c>
      <c r="D19" s="134">
        <f>+'DCP-12, P 1'!Y20</f>
        <v>7.4999999999999997E-2</v>
      </c>
      <c r="E19" s="134">
        <f>+'DCP-12, P 1'!Z20</f>
        <v>7.4999999999999997E-2</v>
      </c>
      <c r="F19" s="134">
        <f>+'DCP-12, P 1'!AA20</f>
        <v>7.4999999999999997E-2</v>
      </c>
      <c r="G19" s="134">
        <f>+'DCP-12, P 1'!AB20</f>
        <v>7.3000000000000009E-2</v>
      </c>
      <c r="I19" s="90">
        <f>+'DCP-12, P 2'!X20</f>
        <v>1.35</v>
      </c>
    </row>
    <row r="20" spans="1:9">
      <c r="A20" t="str">
        <f>+'DCP-8'!A42</f>
        <v>CMS Energy</v>
      </c>
      <c r="C20" s="134">
        <v>0.125</v>
      </c>
      <c r="D20" s="134">
        <v>0.125</v>
      </c>
      <c r="E20" s="134">
        <v>0.12</v>
      </c>
      <c r="F20" s="134">
        <v>0.13</v>
      </c>
      <c r="G20" s="134">
        <v>0.14000000000000001</v>
      </c>
      <c r="I20" s="90">
        <v>2.78</v>
      </c>
    </row>
    <row r="21" spans="1:9">
      <c r="A21" t="str">
        <f>+'DCP-8'!A43</f>
        <v>Duke Energy Corp.</v>
      </c>
      <c r="C21" s="134">
        <v>8.5999999999999993E-2</v>
      </c>
      <c r="D21" s="134">
        <v>8.5999999999999993E-2</v>
      </c>
      <c r="E21" s="134">
        <v>0.09</v>
      </c>
      <c r="F21" s="134">
        <v>0.09</v>
      </c>
      <c r="G21" s="134">
        <v>0.09</v>
      </c>
      <c r="I21" s="90">
        <v>1.63</v>
      </c>
    </row>
    <row r="22" spans="1:9">
      <c r="A22" t="str">
        <f>+'DCP-8'!A44</f>
        <v>Entergy Corp.</v>
      </c>
      <c r="C22" s="134">
        <v>0.123</v>
      </c>
      <c r="D22" s="134">
        <v>0.09</v>
      </c>
      <c r="E22" s="134">
        <v>0.09</v>
      </c>
      <c r="F22" s="134">
        <v>0.09</v>
      </c>
      <c r="G22" s="134">
        <v>8.5000000000000006E-2</v>
      </c>
      <c r="I22" s="90">
        <v>1.87</v>
      </c>
    </row>
    <row r="23" spans="1:9">
      <c r="A23" t="str">
        <f>+'DCP-8'!A45</f>
        <v>Evergy, Inc.</v>
      </c>
      <c r="C23" s="134">
        <f>+'DCP-12, P 1'!X22</f>
        <v>7.9000000000000001E-2</v>
      </c>
      <c r="D23" s="134">
        <f>+'DCP-12, P 1'!Y22</f>
        <v>0.09</v>
      </c>
      <c r="E23" s="134">
        <f>+'DCP-12, P 1'!Z22</f>
        <v>0.09</v>
      </c>
      <c r="F23" s="134">
        <f>+'DCP-12, P 1'!AA22</f>
        <v>0.1</v>
      </c>
      <c r="G23" s="134">
        <f>+'DCP-12, P 1'!AB22</f>
        <v>9.1199999999999989E-2</v>
      </c>
      <c r="I23" s="90">
        <f>+'DCP-12, P 2'!X22</f>
        <v>1.55</v>
      </c>
    </row>
    <row r="24" spans="1:9">
      <c r="A24" t="str">
        <f>+'DCP-8'!A46</f>
        <v>IDACORP, Inc.</v>
      </c>
      <c r="C24" s="134">
        <f>+'DCP-12, P 1'!X25</f>
        <v>9.4E-2</v>
      </c>
      <c r="D24" s="134">
        <f>+'DCP-12, P 1'!Y25</f>
        <v>0.09</v>
      </c>
      <c r="E24" s="134">
        <f>+'DCP-12, P 1'!Z25</f>
        <v>0.09</v>
      </c>
      <c r="F24" s="134">
        <f>+'DCP-12, P 1'!AA25</f>
        <v>9.5000000000000001E-2</v>
      </c>
      <c r="G24" s="134">
        <f>+'DCP-12, P 1'!AB25</f>
        <v>9.2599999999999988E-2</v>
      </c>
      <c r="I24" s="90">
        <f>+'DCP-12, P 2'!X25</f>
        <v>1.96</v>
      </c>
    </row>
    <row r="25" spans="1:9">
      <c r="A25" t="str">
        <f>+'DCP-8'!A47</f>
        <v>NextEra Energy, Inc.</v>
      </c>
      <c r="C25" s="134">
        <v>0.13</v>
      </c>
      <c r="D25" s="134">
        <v>0.15</v>
      </c>
      <c r="E25" s="134">
        <v>0.14000000000000001</v>
      </c>
      <c r="F25" s="134">
        <v>0.14499999999999999</v>
      </c>
      <c r="G25" s="134">
        <v>0.14499999999999999</v>
      </c>
      <c r="I25" s="90">
        <v>4.16</v>
      </c>
    </row>
    <row r="26" spans="1:9">
      <c r="A26" t="str">
        <f>+'DCP-8'!A48</f>
        <v>Northwestern Corp.</v>
      </c>
      <c r="C26" s="134">
        <f>+'DCP-12, P 1'!X26</f>
        <v>7.4999999999999997E-2</v>
      </c>
      <c r="D26" s="134">
        <f>+'DCP-12, P 1'!Y26</f>
        <v>7.0000000000000007E-2</v>
      </c>
      <c r="E26" s="134">
        <f>+'DCP-12, P 1'!Z26</f>
        <v>7.4999999999999997E-2</v>
      </c>
      <c r="F26" s="134">
        <f>+'DCP-12, P 1'!AA26</f>
        <v>0.08</v>
      </c>
      <c r="G26" s="134">
        <f>+'DCP-12, P 1'!AB26</f>
        <v>7.6600000000000001E-2</v>
      </c>
      <c r="I26" s="90">
        <f>+'DCP-12, P 2'!X27</f>
        <v>1.8</v>
      </c>
    </row>
    <row r="27" spans="1:9">
      <c r="A27" t="str">
        <f>+'DCP-8'!A49</f>
        <v>OGE Energy Corp.</v>
      </c>
      <c r="C27" s="134">
        <f>+'DCP-12, P 1'!X27</f>
        <v>0.107</v>
      </c>
      <c r="D27" s="134">
        <f>+'DCP-12, P 1'!Y27</f>
        <v>0.12</v>
      </c>
      <c r="E27" s="134">
        <f>+'DCP-12, P 1'!Z27</f>
        <v>0.12</v>
      </c>
      <c r="F27" s="134">
        <f>+'DCP-12, P 1'!AA27</f>
        <v>0.13</v>
      </c>
      <c r="G27" s="134">
        <f>+'DCP-12, P 1'!AB27</f>
        <v>0.12</v>
      </c>
      <c r="I27" s="90">
        <f>+'DCP-12, P 2'!X27</f>
        <v>1.8</v>
      </c>
    </row>
    <row r="28" spans="1:9">
      <c r="A28" t="str">
        <f>+'DCP-8'!A50</f>
        <v>Otter Tail Corp.</v>
      </c>
      <c r="C28" s="134">
        <f>+'DCP-12, P 1'!X28</f>
        <v>0.255</v>
      </c>
      <c r="D28" s="134">
        <f>+'DCP-12, P 1'!Y28</f>
        <v>0.13500000000000001</v>
      </c>
      <c r="E28" s="134">
        <f>+'DCP-12, P 1'!Z28</f>
        <v>0.13</v>
      </c>
      <c r="F28" s="134">
        <f>+'DCP-12, P 1'!AA28</f>
        <v>0.115</v>
      </c>
      <c r="G28" s="134">
        <f>+'DCP-12, P 1'!AB28</f>
        <v>0.1648</v>
      </c>
      <c r="I28" s="90">
        <f>+'DCP-12, P 2'!X28</f>
        <v>2.5499999999999998</v>
      </c>
    </row>
    <row r="29" spans="1:9">
      <c r="A29" t="str">
        <f>+'DCP-8'!A51</f>
        <v>Portland General Electric Co.</v>
      </c>
      <c r="C29" s="134">
        <f>+'DCP-12, P 1'!X30</f>
        <v>8.8999999999999996E-2</v>
      </c>
      <c r="D29" s="134">
        <f>+'DCP-12, P 1'!Y30</f>
        <v>0.08</v>
      </c>
      <c r="E29" s="134">
        <f>+'DCP-12, P 1'!Z30</f>
        <v>8.5000000000000006E-2</v>
      </c>
      <c r="F29" s="134">
        <f>+'DCP-12, P 1'!AA30</f>
        <v>9.5000000000000001E-2</v>
      </c>
      <c r="G29" s="134">
        <f>+'DCP-12, P 1'!AB30</f>
        <v>8.8000000000000009E-2</v>
      </c>
      <c r="I29" s="90">
        <f>+'DCP-12, P 2'!X30</f>
        <v>1.61</v>
      </c>
    </row>
    <row r="30" spans="1:9">
      <c r="A30" t="str">
        <f>+'DCP-8'!A52</f>
        <v>Southern Co.</v>
      </c>
      <c r="C30" s="134">
        <v>0.13</v>
      </c>
      <c r="D30" s="134">
        <v>0.13300000000000001</v>
      </c>
      <c r="E30" s="134">
        <v>0.13</v>
      </c>
      <c r="F30" s="134">
        <v>0.13</v>
      </c>
      <c r="G30" s="134">
        <v>0.14499999999999999</v>
      </c>
      <c r="I30" s="90">
        <v>2.61</v>
      </c>
    </row>
    <row r="31" spans="1:9">
      <c r="A31" t="str">
        <f>+'DCP-8'!A53</f>
        <v>Xcel Energy, Inc.</v>
      </c>
      <c r="C31" s="134">
        <v>0.106</v>
      </c>
      <c r="D31" s="134">
        <v>0.107</v>
      </c>
      <c r="E31" s="134">
        <v>0.105</v>
      </c>
      <c r="F31" s="134">
        <v>0.105</v>
      </c>
      <c r="G31" s="134">
        <v>0.11</v>
      </c>
      <c r="I31" s="90">
        <v>2.2799999999999998</v>
      </c>
    </row>
    <row r="32" spans="1:9">
      <c r="A32" s="18"/>
      <c r="B32" s="18"/>
      <c r="C32" s="169"/>
      <c r="D32" s="169"/>
      <c r="E32" s="169"/>
      <c r="F32" s="169"/>
      <c r="G32" s="169"/>
      <c r="H32" s="18"/>
      <c r="I32" s="173"/>
    </row>
    <row r="33" spans="1:9">
      <c r="C33" s="134"/>
      <c r="D33" s="134"/>
      <c r="E33" s="134"/>
      <c r="F33" s="134"/>
      <c r="G33" s="134"/>
    </row>
    <row r="34" spans="1:9">
      <c r="A34" s="3" t="s">
        <v>196</v>
      </c>
      <c r="C34" s="134">
        <f>AVERAGE(C15:C31)</f>
        <v>0.11017647058823526</v>
      </c>
      <c r="D34" s="134">
        <f t="shared" ref="D34:G34" si="0">AVERAGE(D15:D31)</f>
        <v>0.10276470588235294</v>
      </c>
      <c r="E34" s="134">
        <f t="shared" si="0"/>
        <v>0.10235294117647055</v>
      </c>
      <c r="F34" s="134">
        <f t="shared" si="0"/>
        <v>0.1052941176470588</v>
      </c>
      <c r="G34" s="134">
        <f t="shared" si="0"/>
        <v>0.10783529411764706</v>
      </c>
      <c r="I34" s="90">
        <f t="shared" ref="I34" si="1">AVERAGE(I15:I31)</f>
        <v>2.1041176470588239</v>
      </c>
    </row>
    <row r="35" spans="1:9">
      <c r="C35" s="134"/>
      <c r="D35" s="134"/>
      <c r="E35" s="134"/>
      <c r="F35" s="134"/>
      <c r="G35" s="134"/>
      <c r="I35" s="90"/>
    </row>
    <row r="36" spans="1:9">
      <c r="A36" s="3" t="s">
        <v>198</v>
      </c>
      <c r="C36" s="134">
        <f>MEDIAN(C15:C31)</f>
        <v>0.106</v>
      </c>
      <c r="D36" s="134">
        <f t="shared" ref="D36:G36" si="2">MEDIAN(D15:D31)</f>
        <v>0.105</v>
      </c>
      <c r="E36" s="134">
        <f t="shared" si="2"/>
        <v>0.1</v>
      </c>
      <c r="F36" s="134">
        <f t="shared" si="2"/>
        <v>0.1</v>
      </c>
      <c r="G36" s="134">
        <f t="shared" si="2"/>
        <v>0.1</v>
      </c>
      <c r="I36" s="90">
        <f t="shared" ref="I36" si="3">MEDIAN(I15:I31)</f>
        <v>1.96</v>
      </c>
    </row>
    <row r="37" spans="1:9" ht="15.3" thickBot="1">
      <c r="A37" s="36"/>
      <c r="B37" s="36"/>
      <c r="C37" s="36"/>
      <c r="D37" s="36"/>
      <c r="E37" s="36"/>
      <c r="F37" s="36"/>
      <c r="G37" s="36"/>
      <c r="H37" s="36"/>
      <c r="I37" s="36"/>
    </row>
    <row r="38" spans="1:9" ht="15.3" thickTop="1"/>
    <row r="39" spans="1:9">
      <c r="A39" s="3" t="s">
        <v>341</v>
      </c>
    </row>
  </sheetData>
  <mergeCells count="6">
    <mergeCell ref="C8:D8"/>
    <mergeCell ref="C9:D9"/>
    <mergeCell ref="E8:G8"/>
    <mergeCell ref="E9:G9"/>
    <mergeCell ref="A3:I3"/>
    <mergeCell ref="A4:I4"/>
  </mergeCells>
  <pageMargins left="0.7" right="0.7" top="0.75" bottom="0.75" header="0.3" footer="0.3"/>
  <pageSetup scale="92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G63"/>
  <sheetViews>
    <sheetView showOutlineSymbols="0" zoomScaleNormal="100" workbookViewId="0">
      <selection activeCell="F2" sqref="F2"/>
    </sheetView>
  </sheetViews>
  <sheetFormatPr defaultColWidth="9.76953125" defaultRowHeight="15"/>
  <cols>
    <col min="1" max="1" width="9.76953125" style="16" customWidth="1"/>
    <col min="2" max="2" width="9.6796875" style="16" customWidth="1"/>
    <col min="3" max="3" width="12.76953125" style="16" customWidth="1"/>
    <col min="4" max="4" width="15.76953125" style="16" customWidth="1"/>
    <col min="5" max="5" width="12.76953125" style="16" customWidth="1"/>
    <col min="6" max="6" width="13.76953125" style="16" customWidth="1"/>
    <col min="7" max="7" width="2.76953125" style="16" customWidth="1"/>
    <col min="8" max="16384" width="9.76953125" style="16"/>
  </cols>
  <sheetData>
    <row r="1" spans="2:7">
      <c r="B1" s="3"/>
      <c r="C1" s="46"/>
      <c r="D1" s="46"/>
      <c r="E1" s="3"/>
      <c r="F1" s="1" t="s">
        <v>342</v>
      </c>
      <c r="G1" s="3"/>
    </row>
    <row r="2" spans="2:7" ht="16" customHeight="1">
      <c r="B2" s="2"/>
      <c r="C2" s="183"/>
      <c r="D2" s="183"/>
      <c r="E2" s="183"/>
      <c r="F2" s="183"/>
      <c r="G2" s="183"/>
    </row>
    <row r="3" spans="2:7" ht="20.100000000000001">
      <c r="B3" s="2" t="s">
        <v>308</v>
      </c>
      <c r="C3" s="183"/>
      <c r="D3" s="183"/>
      <c r="E3" s="183"/>
      <c r="F3" s="183"/>
      <c r="G3" s="183"/>
    </row>
    <row r="4" spans="2:7" ht="20.100000000000001">
      <c r="B4" s="2" t="s">
        <v>343</v>
      </c>
      <c r="C4" s="183"/>
      <c r="D4" s="183"/>
      <c r="E4" s="183"/>
      <c r="F4" s="183"/>
      <c r="G4" s="183"/>
    </row>
    <row r="5" spans="2:7" ht="20.100000000000001">
      <c r="B5" s="2" t="s">
        <v>344</v>
      </c>
      <c r="C5" s="183"/>
      <c r="D5" s="183"/>
      <c r="E5" s="183"/>
      <c r="F5" s="183"/>
      <c r="G5" s="183"/>
    </row>
    <row r="7" spans="2:7" ht="15.3" thickBot="1">
      <c r="B7" s="92"/>
      <c r="C7" s="92"/>
      <c r="D7" s="92"/>
      <c r="E7" s="92"/>
      <c r="F7" s="92"/>
      <c r="G7" s="92"/>
    </row>
    <row r="8" spans="2:7" ht="15.3" thickTop="1">
      <c r="B8" s="3"/>
      <c r="C8" s="3"/>
      <c r="D8" s="3"/>
      <c r="E8" s="3"/>
      <c r="F8" s="3"/>
      <c r="G8" s="3"/>
    </row>
    <row r="9" spans="2:7">
      <c r="B9" s="93"/>
      <c r="C9" s="93"/>
      <c r="D9" s="93" t="s">
        <v>345</v>
      </c>
      <c r="E9" s="93"/>
      <c r="F9" s="93" t="s">
        <v>346</v>
      </c>
      <c r="G9" s="93"/>
    </row>
    <row r="10" spans="2:7">
      <c r="B10" s="93" t="s">
        <v>162</v>
      </c>
      <c r="C10" s="93"/>
      <c r="D10" s="93" t="s">
        <v>347</v>
      </c>
      <c r="E10" s="93"/>
      <c r="F10" s="93" t="s">
        <v>348</v>
      </c>
      <c r="G10" s="93"/>
    </row>
    <row r="11" spans="2:7">
      <c r="B11" s="30"/>
      <c r="C11" s="30"/>
      <c r="D11" s="30"/>
      <c r="E11" s="30"/>
      <c r="F11" s="30"/>
      <c r="G11" s="30"/>
    </row>
    <row r="12" spans="2:7">
      <c r="B12" s="4"/>
      <c r="C12" s="4"/>
      <c r="D12" s="5"/>
      <c r="E12" s="4"/>
      <c r="F12" s="9"/>
      <c r="G12" s="4"/>
    </row>
    <row r="13" spans="2:7">
      <c r="B13" s="4">
        <v>2002</v>
      </c>
      <c r="C13" s="4"/>
      <c r="D13" s="5">
        <v>8.4000000000000005E-2</v>
      </c>
      <c r="E13" s="4"/>
      <c r="F13" s="9">
        <v>2.95</v>
      </c>
      <c r="G13" s="4"/>
    </row>
    <row r="14" spans="2:7">
      <c r="B14" s="4"/>
      <c r="C14" s="4"/>
      <c r="D14" s="5"/>
      <c r="E14" s="4"/>
      <c r="F14" s="9"/>
      <c r="G14" s="4"/>
    </row>
    <row r="15" spans="2:7">
      <c r="B15" s="4">
        <v>2003</v>
      </c>
      <c r="C15" s="4"/>
      <c r="D15" s="5">
        <v>0.14199999999999999</v>
      </c>
      <c r="E15" s="4"/>
      <c r="F15" s="9">
        <v>2.78</v>
      </c>
      <c r="G15" s="4"/>
    </row>
    <row r="16" spans="2:7">
      <c r="B16" s="4"/>
      <c r="C16" s="4"/>
      <c r="D16" s="5"/>
      <c r="E16" s="4"/>
      <c r="F16" s="9"/>
      <c r="G16" s="4"/>
    </row>
    <row r="17" spans="2:7">
      <c r="B17" s="4">
        <v>2004</v>
      </c>
      <c r="C17" s="4"/>
      <c r="D17" s="5">
        <v>0.15</v>
      </c>
      <c r="E17" s="4"/>
      <c r="F17" s="9">
        <v>2.91</v>
      </c>
      <c r="G17" s="4"/>
    </row>
    <row r="18" spans="2:7">
      <c r="B18" s="4"/>
      <c r="C18" s="4"/>
      <c r="D18" s="5"/>
      <c r="E18" s="4"/>
      <c r="F18" s="9"/>
      <c r="G18" s="4"/>
    </row>
    <row r="19" spans="2:7">
      <c r="B19" s="4">
        <v>2005</v>
      </c>
      <c r="C19" s="4"/>
      <c r="D19" s="5">
        <v>0.161</v>
      </c>
      <c r="E19" s="4"/>
      <c r="F19" s="9">
        <v>2.78</v>
      </c>
      <c r="G19" s="4"/>
    </row>
    <row r="20" spans="2:7">
      <c r="B20" s="4"/>
      <c r="C20" s="4"/>
      <c r="D20" s="5"/>
      <c r="E20" s="4"/>
      <c r="F20" s="9"/>
      <c r="G20" s="4"/>
    </row>
    <row r="21" spans="2:7">
      <c r="B21" s="4">
        <v>2006</v>
      </c>
      <c r="C21" s="4"/>
      <c r="D21" s="5">
        <v>0.17</v>
      </c>
      <c r="E21" s="4"/>
      <c r="F21" s="9">
        <v>2.77</v>
      </c>
      <c r="G21" s="4"/>
    </row>
    <row r="22" spans="2:7">
      <c r="B22" s="4"/>
      <c r="C22" s="4"/>
      <c r="D22" s="5"/>
      <c r="E22" s="4"/>
      <c r="F22" s="9"/>
      <c r="G22" s="4"/>
    </row>
    <row r="23" spans="2:7">
      <c r="B23" s="4">
        <v>2007</v>
      </c>
      <c r="C23" s="4"/>
      <c r="D23" s="5">
        <v>0.128</v>
      </c>
      <c r="E23" s="4"/>
      <c r="F23" s="9">
        <v>2.84</v>
      </c>
      <c r="G23" s="4"/>
    </row>
    <row r="24" spans="2:7">
      <c r="B24" s="4"/>
      <c r="C24" s="4"/>
      <c r="D24" s="5"/>
      <c r="E24" s="4"/>
      <c r="F24" s="9"/>
      <c r="G24" s="4"/>
    </row>
    <row r="25" spans="2:7">
      <c r="B25" s="4">
        <v>2008</v>
      </c>
      <c r="C25" s="4"/>
      <c r="D25" s="5">
        <v>0.03</v>
      </c>
      <c r="E25" s="4"/>
      <c r="F25" s="9">
        <v>2.2400000000000002</v>
      </c>
      <c r="G25" s="4"/>
    </row>
    <row r="26" spans="2:7">
      <c r="B26" s="4"/>
      <c r="C26" s="4"/>
      <c r="D26" s="5"/>
      <c r="E26" s="4"/>
      <c r="F26" s="9"/>
      <c r="G26" s="4"/>
    </row>
    <row r="27" spans="2:7">
      <c r="B27" s="4">
        <v>2009</v>
      </c>
      <c r="C27" s="4"/>
      <c r="D27" s="5">
        <v>0.106</v>
      </c>
      <c r="E27" s="4"/>
      <c r="F27" s="9">
        <v>1.87</v>
      </c>
      <c r="G27" s="4"/>
    </row>
    <row r="28" spans="2:7">
      <c r="B28" s="4"/>
      <c r="C28" s="4"/>
      <c r="D28" s="5"/>
      <c r="E28" s="4"/>
      <c r="F28" s="9"/>
      <c r="G28" s="4"/>
    </row>
    <row r="29" spans="2:7">
      <c r="B29" s="4">
        <v>2010</v>
      </c>
      <c r="C29" s="4"/>
      <c r="D29" s="5">
        <v>0.14199999999999999</v>
      </c>
      <c r="E29" s="4"/>
      <c r="F29" s="9">
        <v>2.08</v>
      </c>
      <c r="G29" s="4"/>
    </row>
    <row r="30" spans="2:7">
      <c r="B30" s="4"/>
      <c r="C30" s="4"/>
      <c r="D30" s="5"/>
      <c r="E30" s="4"/>
      <c r="F30" s="9"/>
      <c r="G30" s="4"/>
    </row>
    <row r="31" spans="2:7">
      <c r="B31" s="4">
        <v>2011</v>
      </c>
      <c r="C31" s="4"/>
      <c r="D31" s="5">
        <v>0.14599999999999999</v>
      </c>
      <c r="E31" s="4"/>
      <c r="F31" s="9">
        <v>2.0699999999999998</v>
      </c>
      <c r="G31" s="4"/>
    </row>
    <row r="32" spans="2:7">
      <c r="B32" s="4"/>
      <c r="C32" s="4"/>
      <c r="D32" s="5"/>
      <c r="E32" s="4"/>
      <c r="F32" s="9"/>
      <c r="G32" s="4"/>
    </row>
    <row r="33" spans="2:7">
      <c r="B33" s="4">
        <v>2012</v>
      </c>
      <c r="C33" s="4"/>
      <c r="D33" s="5">
        <v>0.13500000000000001</v>
      </c>
      <c r="E33" s="4"/>
      <c r="F33" s="9">
        <v>2.14</v>
      </c>
      <c r="G33" s="4"/>
    </row>
    <row r="34" spans="2:7">
      <c r="B34" s="4"/>
      <c r="C34" s="4"/>
      <c r="D34" s="5"/>
      <c r="E34" s="4"/>
      <c r="F34" s="9"/>
      <c r="G34" s="4"/>
    </row>
    <row r="35" spans="2:7">
      <c r="B35" s="4">
        <v>2013</v>
      </c>
      <c r="C35" s="4"/>
      <c r="D35" s="5">
        <v>0.14499999999999999</v>
      </c>
      <c r="E35" s="4"/>
      <c r="F35" s="9">
        <v>2.37</v>
      </c>
      <c r="G35" s="4"/>
    </row>
    <row r="36" spans="2:7">
      <c r="B36" s="4"/>
      <c r="C36" s="4"/>
      <c r="D36" s="5"/>
      <c r="E36" s="4"/>
      <c r="F36" s="9"/>
      <c r="G36" s="4"/>
    </row>
    <row r="37" spans="2:7">
      <c r="B37" s="4">
        <v>2014</v>
      </c>
      <c r="C37" s="4"/>
      <c r="D37" s="5">
        <v>0.14199999999999999</v>
      </c>
      <c r="E37" s="4"/>
      <c r="F37" s="9">
        <v>2.68</v>
      </c>
      <c r="G37" s="4"/>
    </row>
    <row r="38" spans="2:7">
      <c r="B38" s="4"/>
      <c r="C38" s="4"/>
      <c r="D38" s="5"/>
      <c r="E38" s="4"/>
      <c r="F38" s="9"/>
      <c r="G38" s="4"/>
    </row>
    <row r="39" spans="2:7">
      <c r="B39" s="4">
        <v>2015</v>
      </c>
      <c r="C39" s="4"/>
      <c r="D39" s="5">
        <v>0.11799999999999999</v>
      </c>
      <c r="E39" s="4"/>
      <c r="F39" s="9">
        <v>2.7273999999999998</v>
      </c>
      <c r="G39" s="4"/>
    </row>
    <row r="40" spans="2:7">
      <c r="B40" s="4"/>
      <c r="C40" s="4"/>
      <c r="D40" s="5"/>
      <c r="E40" s="4"/>
      <c r="F40" s="9"/>
      <c r="G40" s="4"/>
    </row>
    <row r="41" spans="2:7">
      <c r="B41" s="4">
        <v>2016</v>
      </c>
      <c r="C41" s="4"/>
      <c r="D41" s="5">
        <v>0.125</v>
      </c>
      <c r="E41" s="4"/>
      <c r="F41" s="9">
        <v>2.7082999999999999</v>
      </c>
      <c r="G41" s="4"/>
    </row>
    <row r="42" spans="2:7">
      <c r="B42" s="4"/>
      <c r="C42" s="4"/>
      <c r="D42" s="5"/>
      <c r="E42" s="4"/>
      <c r="F42" s="9"/>
      <c r="G42" s="4"/>
    </row>
    <row r="43" spans="2:7">
      <c r="B43" s="4">
        <v>2017</v>
      </c>
      <c r="C43" s="4"/>
      <c r="D43" s="5">
        <v>0.13800000000000001</v>
      </c>
      <c r="E43" s="4"/>
      <c r="F43" s="9">
        <v>3.0962999999999998</v>
      </c>
      <c r="G43" s="4"/>
    </row>
    <row r="44" spans="2:7">
      <c r="B44" s="4"/>
      <c r="C44" s="4"/>
      <c r="D44" s="5"/>
      <c r="E44" s="4"/>
      <c r="F44" s="9"/>
      <c r="G44" s="4"/>
    </row>
    <row r="45" spans="2:7">
      <c r="B45" s="4">
        <v>2018</v>
      </c>
      <c r="C45" s="4"/>
      <c r="D45" s="5">
        <v>0.158</v>
      </c>
      <c r="E45" s="4"/>
      <c r="F45" s="9">
        <v>3.1587000000000001</v>
      </c>
      <c r="G45" s="4"/>
    </row>
    <row r="46" spans="2:7">
      <c r="B46" s="4"/>
      <c r="C46" s="4"/>
      <c r="D46" s="5"/>
      <c r="E46" s="4"/>
      <c r="F46" s="9"/>
      <c r="G46" s="4"/>
    </row>
    <row r="47" spans="2:7">
      <c r="B47" s="4">
        <v>2019</v>
      </c>
      <c r="C47" s="4"/>
      <c r="D47" s="5">
        <v>0.158</v>
      </c>
      <c r="E47" s="4"/>
      <c r="F47" s="9">
        <v>3.2227999999999999</v>
      </c>
      <c r="G47" s="4"/>
    </row>
    <row r="48" spans="2:7">
      <c r="B48" s="4"/>
      <c r="C48" s="4"/>
      <c r="D48" s="5"/>
      <c r="E48" s="4"/>
      <c r="F48" s="9"/>
      <c r="G48" s="4"/>
    </row>
    <row r="49" spans="2:7">
      <c r="B49" s="4">
        <v>2020</v>
      </c>
      <c r="C49" s="4"/>
      <c r="D49" s="5">
        <v>0.10199999999999999</v>
      </c>
      <c r="E49" s="4"/>
      <c r="F49" s="9">
        <v>3.78</v>
      </c>
      <c r="G49" s="4"/>
    </row>
    <row r="50" spans="2:7">
      <c r="B50" s="4"/>
      <c r="C50" s="4"/>
      <c r="D50" s="5"/>
      <c r="E50" s="4"/>
      <c r="F50" s="9"/>
      <c r="G50" s="4"/>
    </row>
    <row r="51" spans="2:7">
      <c r="B51" s="4">
        <v>2021</v>
      </c>
      <c r="C51" s="4"/>
      <c r="D51" s="5">
        <v>0.20499999999999999</v>
      </c>
      <c r="E51" s="4"/>
      <c r="F51" s="9">
        <v>4.38</v>
      </c>
      <c r="G51" s="4"/>
    </row>
    <row r="52" spans="2:7">
      <c r="B52" s="4"/>
      <c r="C52" s="4"/>
      <c r="D52" s="5"/>
      <c r="E52" s="4"/>
      <c r="F52" s="9"/>
      <c r="G52" s="4"/>
    </row>
    <row r="53" spans="2:7">
      <c r="B53" s="4">
        <v>2022</v>
      </c>
      <c r="C53" s="4"/>
      <c r="D53" s="5">
        <v>0.17</v>
      </c>
      <c r="E53" s="4"/>
      <c r="F53" s="9">
        <v>4.09</v>
      </c>
      <c r="G53" s="4"/>
    </row>
    <row r="54" spans="2:7">
      <c r="B54" s="30"/>
      <c r="C54" s="30"/>
      <c r="D54" s="19"/>
      <c r="E54" s="30"/>
      <c r="F54" s="31"/>
      <c r="G54" s="30"/>
    </row>
    <row r="55" spans="2:7">
      <c r="B55" s="4"/>
      <c r="C55" s="4"/>
      <c r="D55" s="5"/>
      <c r="E55" s="4"/>
      <c r="F55" s="9"/>
      <c r="G55" s="4"/>
    </row>
    <row r="56" spans="2:7">
      <c r="B56" s="4" t="s">
        <v>349</v>
      </c>
      <c r="C56" s="4"/>
      <c r="D56" s="5"/>
      <c r="E56" s="4"/>
      <c r="F56" s="9"/>
      <c r="G56" s="4"/>
    </row>
    <row r="57" spans="2:7">
      <c r="B57" s="4"/>
      <c r="C57" s="4"/>
      <c r="D57" s="5"/>
      <c r="E57" s="4"/>
      <c r="F57" s="9"/>
      <c r="G57" s="4"/>
    </row>
    <row r="58" spans="2:7">
      <c r="B58" s="4" t="s">
        <v>330</v>
      </c>
      <c r="C58" s="4"/>
      <c r="D58" s="5">
        <f>AVERAGE(D13:D25)</f>
        <v>0.12357142857142858</v>
      </c>
      <c r="E58" s="8"/>
      <c r="F58" s="9">
        <f>AVERAGE(F13:F25)</f>
        <v>2.7528571428571431</v>
      </c>
      <c r="G58" s="8"/>
    </row>
    <row r="59" spans="2:7">
      <c r="B59" s="4"/>
      <c r="C59" s="4"/>
      <c r="D59" s="5"/>
      <c r="E59" s="8"/>
      <c r="F59" s="9"/>
      <c r="G59" s="8"/>
    </row>
    <row r="60" spans="2:7">
      <c r="B60" s="4" t="s">
        <v>350</v>
      </c>
      <c r="C60" s="4"/>
      <c r="D60" s="5">
        <f>AVERAGE(D27:D53)</f>
        <v>0.14214285714285715</v>
      </c>
      <c r="E60" s="8"/>
      <c r="F60" s="9">
        <f>AVERAGE(F27:F53)</f>
        <v>2.8838214285714292</v>
      </c>
      <c r="G60" s="8"/>
    </row>
    <row r="61" spans="2:7" ht="15.3" thickBot="1">
      <c r="B61" s="92"/>
      <c r="C61" s="92"/>
      <c r="D61" s="184"/>
      <c r="E61" s="92"/>
      <c r="F61" s="185"/>
      <c r="G61" s="92"/>
    </row>
    <row r="62" spans="2:7" ht="15.3" thickTop="1">
      <c r="B62" s="3"/>
      <c r="C62" s="3"/>
      <c r="D62" s="3"/>
      <c r="E62" s="3"/>
      <c r="F62" s="3"/>
      <c r="G62" s="3"/>
    </row>
    <row r="63" spans="2:7">
      <c r="B63" s="3" t="s">
        <v>351</v>
      </c>
      <c r="C63" s="3"/>
      <c r="D63" s="3"/>
      <c r="E63" s="3"/>
      <c r="F63" s="3"/>
      <c r="G63" s="3"/>
    </row>
  </sheetData>
  <phoneticPr fontId="0" type="noConversion"/>
  <printOptions horizontalCentered="1"/>
  <pageMargins left="0.5" right="0.5" top="0.5" bottom="0.55000000000000004" header="0" footer="0"/>
  <pageSetup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38"/>
  <sheetViews>
    <sheetView showOutlineSymbols="0" zoomScaleNormal="100" workbookViewId="0">
      <selection activeCell="A24" sqref="A24:H24"/>
    </sheetView>
  </sheetViews>
  <sheetFormatPr defaultColWidth="9.76953125" defaultRowHeight="15"/>
  <cols>
    <col min="1" max="1" width="23.76953125" style="11" customWidth="1"/>
    <col min="2" max="2" width="2.76953125" style="11" customWidth="1"/>
    <col min="3" max="3" width="12.76953125" style="11" customWidth="1"/>
    <col min="4" max="4" width="2.76953125" style="11" customWidth="1"/>
    <col min="5" max="5" width="12.76953125" style="11" customWidth="1"/>
    <col min="6" max="6" width="2.76953125" style="11" customWidth="1"/>
    <col min="7" max="7" width="12.76953125" style="11" customWidth="1"/>
    <col min="8" max="8" width="7.76953125" style="11" customWidth="1"/>
    <col min="9" max="9" width="2.76953125" style="11" customWidth="1"/>
    <col min="10" max="16384" width="9.76953125" style="11"/>
  </cols>
  <sheetData>
    <row r="1" spans="1:9">
      <c r="A1" s="3"/>
      <c r="B1" s="3"/>
      <c r="C1" s="3"/>
      <c r="D1" s="3"/>
      <c r="E1" s="3"/>
      <c r="F1" s="3"/>
      <c r="G1" s="1" t="s">
        <v>352</v>
      </c>
      <c r="H1" s="3"/>
      <c r="I1" s="3"/>
    </row>
    <row r="2" spans="1:9">
      <c r="A2" s="3"/>
      <c r="B2" s="3"/>
      <c r="C2" s="3"/>
      <c r="D2" s="3"/>
      <c r="E2" s="3"/>
      <c r="F2" s="3"/>
      <c r="G2" s="1" t="s">
        <v>118</v>
      </c>
      <c r="H2" s="3"/>
      <c r="I2" s="3"/>
    </row>
    <row r="4" spans="1:9" ht="20.100000000000001">
      <c r="A4" s="202" t="s">
        <v>353</v>
      </c>
      <c r="B4" s="202"/>
      <c r="C4" s="202"/>
      <c r="D4" s="202"/>
      <c r="E4" s="202"/>
      <c r="F4" s="202"/>
      <c r="G4" s="202"/>
      <c r="H4" s="202"/>
      <c r="I4" s="202"/>
    </row>
    <row r="5" spans="1:9" ht="20.100000000000001">
      <c r="A5" s="202"/>
      <c r="B5" s="202"/>
      <c r="C5" s="202"/>
      <c r="D5" s="202"/>
      <c r="E5" s="202"/>
      <c r="F5" s="202"/>
      <c r="G5" s="202"/>
      <c r="H5" s="202"/>
      <c r="I5" s="202"/>
    </row>
    <row r="6" spans="1:9" ht="15.3" thickBot="1">
      <c r="A6" s="92"/>
      <c r="B6" s="92"/>
      <c r="C6" s="92"/>
      <c r="D6" s="92"/>
      <c r="E6" s="92"/>
      <c r="F6" s="92"/>
      <c r="G6" s="92"/>
      <c r="H6" s="92"/>
      <c r="I6" s="92"/>
    </row>
    <row r="7" spans="1:9" ht="15.3" thickTop="1">
      <c r="A7" s="3"/>
      <c r="B7" s="3"/>
      <c r="C7" s="3"/>
      <c r="D7" s="3"/>
      <c r="E7" s="3"/>
      <c r="F7" s="3"/>
      <c r="G7" s="3"/>
      <c r="H7" s="3"/>
      <c r="I7" s="3"/>
    </row>
    <row r="8" spans="1:9">
      <c r="A8" s="1"/>
      <c r="B8" s="1"/>
      <c r="C8" s="93"/>
      <c r="D8" s="93"/>
      <c r="E8" s="93"/>
      <c r="F8" s="93"/>
      <c r="G8" s="93" t="s">
        <v>354</v>
      </c>
      <c r="H8" s="93"/>
      <c r="I8" s="93"/>
    </row>
    <row r="9" spans="1:9">
      <c r="A9" s="1"/>
      <c r="B9" s="1"/>
      <c r="C9" s="93" t="s">
        <v>354</v>
      </c>
      <c r="D9" s="93"/>
      <c r="E9" s="93" t="s">
        <v>354</v>
      </c>
      <c r="F9" s="93"/>
      <c r="G9" s="93" t="s">
        <v>355</v>
      </c>
      <c r="H9" s="93"/>
      <c r="I9" s="93"/>
    </row>
    <row r="10" spans="1:9">
      <c r="A10" s="1" t="str">
        <f>+'DCP-12, P 2'!A11</f>
        <v>COMPANY</v>
      </c>
      <c r="B10" s="1"/>
      <c r="C10" s="93" t="s">
        <v>356</v>
      </c>
      <c r="D10" s="93"/>
      <c r="E10" s="93" t="s">
        <v>322</v>
      </c>
      <c r="F10" s="93"/>
      <c r="G10" s="93" t="s">
        <v>357</v>
      </c>
      <c r="H10" s="93"/>
      <c r="I10" s="93"/>
    </row>
    <row r="11" spans="1:9" ht="15.3" thickBot="1">
      <c r="A11" s="3"/>
      <c r="B11" s="3"/>
      <c r="C11" s="4"/>
      <c r="D11" s="4"/>
      <c r="E11" s="4"/>
      <c r="F11" s="4"/>
      <c r="G11" s="4"/>
      <c r="H11" s="4"/>
      <c r="I11" s="4"/>
    </row>
    <row r="12" spans="1:9" ht="15.3" thickTop="1">
      <c r="A12" s="12"/>
      <c r="B12" s="12"/>
      <c r="C12" s="14"/>
      <c r="D12" s="14"/>
      <c r="E12" s="14"/>
      <c r="F12" s="14"/>
      <c r="G12" s="14"/>
      <c r="H12" s="14"/>
      <c r="I12" s="14"/>
    </row>
    <row r="13" spans="1:9">
      <c r="A13" s="3"/>
      <c r="B13" s="3"/>
      <c r="C13" s="4"/>
      <c r="D13" s="4"/>
      <c r="E13" s="4"/>
      <c r="F13" s="4"/>
      <c r="G13" s="4"/>
      <c r="H13" s="4"/>
      <c r="I13" s="4"/>
    </row>
    <row r="14" spans="1:9">
      <c r="A14" s="1" t="str">
        <f>+'DCP-12, P 2'!A15</f>
        <v>Parcell Proxy Group</v>
      </c>
      <c r="B14" s="3"/>
      <c r="C14" s="4"/>
      <c r="D14" s="4"/>
      <c r="E14" s="4"/>
      <c r="F14" s="4"/>
      <c r="G14" s="4"/>
      <c r="H14" s="4"/>
      <c r="I14" s="4"/>
    </row>
    <row r="15" spans="1:9">
      <c r="A15" s="3"/>
      <c r="B15" s="3"/>
      <c r="C15" s="4"/>
      <c r="D15" s="4"/>
      <c r="E15" s="4"/>
      <c r="F15" s="4"/>
      <c r="G15" s="4"/>
      <c r="H15" s="4"/>
      <c r="I15" s="4"/>
    </row>
    <row r="16" spans="1:9">
      <c r="A16" s="3" t="str">
        <f>+'DCP-12, P 2'!A17</f>
        <v>ALLETE</v>
      </c>
      <c r="B16" s="3"/>
      <c r="C16" s="4">
        <v>2</v>
      </c>
      <c r="D16" s="4"/>
      <c r="E16" s="8">
        <v>0.9</v>
      </c>
      <c r="F16" s="4"/>
      <c r="G16" s="4" t="s">
        <v>128</v>
      </c>
      <c r="H16" s="8">
        <v>4</v>
      </c>
      <c r="I16" s="4"/>
    </row>
    <row r="17" spans="1:9">
      <c r="A17" s="3" t="str">
        <f>+'DCP-12, P 2'!A18</f>
        <v>Alliant Energy Corp</v>
      </c>
      <c r="B17" s="3"/>
      <c r="C17" s="4">
        <v>2</v>
      </c>
      <c r="D17" s="4"/>
      <c r="E17" s="8">
        <v>0.85</v>
      </c>
      <c r="F17" s="4"/>
      <c r="G17" s="4" t="s">
        <v>128</v>
      </c>
      <c r="H17" s="8">
        <v>4</v>
      </c>
      <c r="I17" s="4"/>
    </row>
    <row r="18" spans="1:9">
      <c r="A18" s="3" t="str">
        <f>+'DCP-12, P 2'!A19</f>
        <v>Ameren Corp</v>
      </c>
      <c r="B18" s="3"/>
      <c r="C18" s="4">
        <v>1</v>
      </c>
      <c r="D18" s="4"/>
      <c r="E18" s="8">
        <v>0.85</v>
      </c>
      <c r="F18" s="4"/>
      <c r="G18" s="4" t="s">
        <v>128</v>
      </c>
      <c r="H18" s="8">
        <v>4</v>
      </c>
      <c r="I18" s="4"/>
    </row>
    <row r="19" spans="1:9">
      <c r="A19" s="3" t="str">
        <f>+'DCP-12, P 2'!A20</f>
        <v>Avista Corp</v>
      </c>
      <c r="B19" s="3"/>
      <c r="C19" s="4">
        <v>2</v>
      </c>
      <c r="D19" s="4"/>
      <c r="E19" s="8">
        <v>0.9</v>
      </c>
      <c r="F19" s="4"/>
      <c r="G19" s="4" t="s">
        <v>358</v>
      </c>
      <c r="H19" s="8">
        <v>3.67</v>
      </c>
      <c r="I19" s="4"/>
    </row>
    <row r="20" spans="1:9">
      <c r="A20" s="3" t="str">
        <f>+'DCP-12, P 2'!A21</f>
        <v>Black Hills Corp</v>
      </c>
      <c r="B20" s="3"/>
      <c r="C20" s="4">
        <v>2</v>
      </c>
      <c r="D20" s="4"/>
      <c r="E20" s="8">
        <v>1</v>
      </c>
      <c r="F20" s="4"/>
      <c r="G20" s="4" t="s">
        <v>128</v>
      </c>
      <c r="H20" s="8">
        <v>4</v>
      </c>
      <c r="I20" s="4"/>
    </row>
    <row r="21" spans="1:9">
      <c r="A21" s="3" t="str">
        <f>+'DCP-12, P 2'!A22</f>
        <v>Evergy, Inc.</v>
      </c>
      <c r="B21" s="3"/>
      <c r="C21" s="4">
        <v>2</v>
      </c>
      <c r="D21" s="4"/>
      <c r="E21" s="8">
        <v>0.9</v>
      </c>
      <c r="F21" s="4"/>
      <c r="G21" s="4" t="s">
        <v>358</v>
      </c>
      <c r="H21" s="8">
        <v>3.67</v>
      </c>
      <c r="I21" s="4"/>
    </row>
    <row r="22" spans="1:9">
      <c r="A22" s="3" t="str">
        <f>+'DCP-12, P 2'!A23</f>
        <v>Eversource Energy</v>
      </c>
      <c r="B22" s="3"/>
      <c r="C22" s="4">
        <v>2</v>
      </c>
      <c r="D22" s="4"/>
      <c r="E22" s="8">
        <v>0.9</v>
      </c>
      <c r="F22" s="4"/>
      <c r="G22" s="4" t="s">
        <v>128</v>
      </c>
      <c r="H22" s="8">
        <v>4</v>
      </c>
      <c r="I22" s="4"/>
    </row>
    <row r="23" spans="1:9">
      <c r="A23" s="3" t="str">
        <f>+'DCP-12, P 2'!A24</f>
        <v>Fortis, Inc.</v>
      </c>
      <c r="B23" s="3"/>
      <c r="C23" s="4">
        <v>2</v>
      </c>
      <c r="D23" s="4"/>
      <c r="E23" s="8">
        <v>0.7</v>
      </c>
      <c r="F23" s="4"/>
      <c r="G23" s="4" t="s">
        <v>358</v>
      </c>
      <c r="H23" s="8">
        <v>3.67</v>
      </c>
      <c r="I23" s="4"/>
    </row>
    <row r="24" spans="1:9">
      <c r="A24" s="3" t="str">
        <f>+'DCP-12, P 2'!A25</f>
        <v>IDACORP</v>
      </c>
      <c r="B24" s="3"/>
      <c r="C24" s="4">
        <v>1</v>
      </c>
      <c r="D24" s="4"/>
      <c r="E24" s="8">
        <v>0.8</v>
      </c>
      <c r="F24" s="4"/>
      <c r="G24" s="4" t="s">
        <v>133</v>
      </c>
      <c r="H24" s="8">
        <v>4.33</v>
      </c>
      <c r="I24" s="4"/>
    </row>
    <row r="25" spans="1:9">
      <c r="A25" s="3" t="str">
        <f>+'DCP-12, P 2'!A26</f>
        <v>Northwestern Corp</v>
      </c>
      <c r="B25" s="3"/>
      <c r="C25" s="4">
        <v>2</v>
      </c>
      <c r="D25" s="4"/>
      <c r="E25" s="8">
        <v>0.95</v>
      </c>
      <c r="F25" s="4"/>
      <c r="G25" s="4" t="s">
        <v>358</v>
      </c>
      <c r="H25" s="8">
        <v>3.67</v>
      </c>
      <c r="I25" s="4"/>
    </row>
    <row r="26" spans="1:9">
      <c r="A26" s="3" t="str">
        <f>+'DCP-12, P 2'!A27</f>
        <v>OGE Energy</v>
      </c>
      <c r="B26" s="3"/>
      <c r="C26" s="4">
        <v>2</v>
      </c>
      <c r="D26" s="4"/>
      <c r="E26" s="8">
        <v>1</v>
      </c>
      <c r="F26" s="4"/>
      <c r="G26" s="4" t="s">
        <v>128</v>
      </c>
      <c r="H26" s="8">
        <v>4</v>
      </c>
      <c r="I26" s="4"/>
    </row>
    <row r="27" spans="1:9">
      <c r="A27" s="3" t="str">
        <f>+'DCP-12, P 2'!A28</f>
        <v>Otter Tail Corp</v>
      </c>
      <c r="B27" s="3"/>
      <c r="C27" s="4">
        <v>2</v>
      </c>
      <c r="D27" s="4"/>
      <c r="E27" s="8">
        <v>0.85</v>
      </c>
      <c r="F27" s="4"/>
      <c r="G27" s="4" t="s">
        <v>128</v>
      </c>
      <c r="H27" s="8">
        <v>4</v>
      </c>
      <c r="I27" s="4"/>
    </row>
    <row r="28" spans="1:9">
      <c r="A28" s="3" t="str">
        <f>+'DCP-12, P 2'!A29</f>
        <v>Pinnacle West Capital Corp</v>
      </c>
      <c r="B28" s="3"/>
      <c r="C28" s="4">
        <v>2</v>
      </c>
      <c r="D28" s="4"/>
      <c r="E28" s="8">
        <v>0.9</v>
      </c>
      <c r="F28" s="4"/>
      <c r="G28" s="4" t="s">
        <v>128</v>
      </c>
      <c r="H28" s="8">
        <v>4</v>
      </c>
      <c r="I28" s="4"/>
    </row>
    <row r="29" spans="1:9">
      <c r="A29" s="3" t="str">
        <f>+'DCP-12, P 2'!A30</f>
        <v>Portland General Electric</v>
      </c>
      <c r="B29" s="3"/>
      <c r="C29" s="4">
        <v>2</v>
      </c>
      <c r="D29" s="4"/>
      <c r="E29" s="8">
        <v>0.9</v>
      </c>
      <c r="F29" s="4"/>
      <c r="G29" s="4" t="s">
        <v>358</v>
      </c>
      <c r="H29" s="8">
        <v>3.67</v>
      </c>
      <c r="I29" s="4"/>
    </row>
    <row r="30" spans="1:9">
      <c r="A30" s="3" t="str">
        <f>+'DCP-12, P 2'!A31</f>
        <v>WEC Energy Group</v>
      </c>
      <c r="B30" s="3"/>
      <c r="C30" s="4">
        <v>1</v>
      </c>
      <c r="D30" s="4"/>
      <c r="E30" s="8">
        <v>0.8</v>
      </c>
      <c r="F30" s="4"/>
      <c r="G30" s="4" t="s">
        <v>133</v>
      </c>
      <c r="H30" s="8">
        <v>4.33</v>
      </c>
      <c r="I30" s="4"/>
    </row>
    <row r="31" spans="1:9">
      <c r="A31" s="38"/>
      <c r="B31" s="38"/>
      <c r="C31" s="30"/>
      <c r="D31" s="30"/>
      <c r="E31" s="27"/>
      <c r="F31" s="30"/>
      <c r="G31" s="30"/>
      <c r="H31" s="27"/>
      <c r="I31" s="30"/>
    </row>
    <row r="32" spans="1:9">
      <c r="A32" s="3"/>
      <c r="B32" s="3"/>
      <c r="C32" s="4"/>
      <c r="D32" s="4"/>
      <c r="E32" s="8"/>
      <c r="F32" s="4"/>
      <c r="G32" s="4"/>
      <c r="H32" s="8"/>
      <c r="I32" s="4"/>
    </row>
    <row r="33" spans="1:9">
      <c r="A33" s="3"/>
      <c r="B33" s="3"/>
      <c r="C33" s="15">
        <f>AVERAGE(C16:C30)</f>
        <v>1.8</v>
      </c>
      <c r="D33" s="4"/>
      <c r="E33" s="8">
        <f>AVERAGE(E16:E30)</f>
        <v>0.88000000000000012</v>
      </c>
      <c r="F33" s="4"/>
      <c r="G33" s="4" t="s">
        <v>128</v>
      </c>
      <c r="H33" s="8">
        <f>AVERAGE(H16:H30)</f>
        <v>3.9340000000000002</v>
      </c>
      <c r="I33" s="15"/>
    </row>
    <row r="34" spans="1:9" ht="15.3" thickBot="1">
      <c r="A34" s="92"/>
      <c r="B34" s="92"/>
      <c r="C34" s="33"/>
      <c r="D34" s="33"/>
      <c r="E34" s="29"/>
      <c r="F34" s="33"/>
      <c r="G34" s="33"/>
      <c r="H34" s="29"/>
      <c r="I34" s="33"/>
    </row>
    <row r="35" spans="1:9" ht="15.3" thickTop="1">
      <c r="A35" s="3"/>
      <c r="B35" s="3"/>
      <c r="C35" s="4"/>
      <c r="D35" s="4"/>
      <c r="E35" s="8"/>
      <c r="F35" s="4"/>
      <c r="G35" s="4"/>
      <c r="H35" s="8"/>
      <c r="I35" s="4"/>
    </row>
    <row r="36" spans="1:9" ht="15.3" thickBot="1">
      <c r="A36" s="92"/>
      <c r="B36" s="92"/>
      <c r="C36" s="33"/>
      <c r="D36" s="33"/>
      <c r="E36" s="29"/>
      <c r="F36" s="33"/>
      <c r="G36" s="33"/>
      <c r="H36" s="29"/>
      <c r="I36" s="33"/>
    </row>
    <row r="37" spans="1:9" ht="15.3" thickTop="1">
      <c r="A37" s="3"/>
      <c r="B37" s="3"/>
      <c r="C37" s="4"/>
      <c r="D37" s="4"/>
      <c r="E37" s="8"/>
      <c r="F37" s="4"/>
      <c r="G37" s="4"/>
      <c r="H37" s="8"/>
      <c r="I37" s="4"/>
    </row>
    <row r="38" spans="1:9">
      <c r="A38" s="3" t="str">
        <f>+'DCP-9, P 2'!A35</f>
        <v>Source:  Value Line Investment Survey, June 9, 2023, July 21, 2023, August 11, 2023.</v>
      </c>
      <c r="B38" s="3"/>
      <c r="C38" s="3"/>
      <c r="D38" s="3"/>
      <c r="E38" s="3"/>
      <c r="F38" s="3"/>
      <c r="G38" s="3"/>
      <c r="H38" s="3"/>
      <c r="I38" s="3"/>
    </row>
  </sheetData>
  <mergeCells count="2">
    <mergeCell ref="A4:I4"/>
    <mergeCell ref="A5:I5"/>
  </mergeCells>
  <phoneticPr fontId="0" type="noConversion"/>
  <printOptions horizontalCentered="1"/>
  <pageMargins left="0.5" right="0.5" top="0.5" bottom="0.55000000000000004" header="0" footer="0"/>
  <pageSetup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31"/>
  <sheetViews>
    <sheetView workbookViewId="0">
      <selection activeCell="A31" sqref="A31"/>
    </sheetView>
  </sheetViews>
  <sheetFormatPr defaultRowHeight="15"/>
  <cols>
    <col min="4" max="4" width="11.08984375" customWidth="1"/>
    <col min="5" max="5" width="2.76953125" customWidth="1"/>
    <col min="6" max="6" width="11" customWidth="1"/>
    <col min="7" max="7" width="2.453125" customWidth="1"/>
    <col min="8" max="8" width="11.86328125" customWidth="1"/>
  </cols>
  <sheetData>
    <row r="1" spans="1:8">
      <c r="G1" s="1" t="str">
        <f>+'DCP-14, P 1'!G1</f>
        <v>Exh. DCP-14</v>
      </c>
    </row>
    <row r="2" spans="1:8">
      <c r="G2" s="1" t="s">
        <v>139</v>
      </c>
    </row>
    <row r="5" spans="1:8" ht="17.7">
      <c r="A5" s="200" t="s">
        <v>353</v>
      </c>
      <c r="B5" s="200"/>
      <c r="C5" s="200"/>
      <c r="D5" s="200"/>
      <c r="E5" s="200"/>
      <c r="F5" s="200"/>
      <c r="G5" s="200"/>
      <c r="H5" s="200"/>
    </row>
    <row r="6" spans="1:8" ht="17.7">
      <c r="A6" s="139"/>
      <c r="B6" s="139"/>
      <c r="C6" s="139"/>
      <c r="D6" s="139"/>
      <c r="E6" s="139"/>
      <c r="F6" s="139"/>
      <c r="G6" s="139"/>
      <c r="H6" s="139"/>
    </row>
    <row r="7" spans="1:8" ht="15.3" thickBot="1">
      <c r="A7" s="36"/>
      <c r="B7" s="36"/>
      <c r="C7" s="36"/>
      <c r="D7" s="36"/>
      <c r="E7" s="36"/>
      <c r="F7" s="36"/>
      <c r="G7" s="36"/>
      <c r="H7" s="36"/>
    </row>
    <row r="8" spans="1:8" ht="15.3" thickTop="1"/>
    <row r="9" spans="1:8">
      <c r="B9" s="1"/>
      <c r="C9" s="1"/>
      <c r="D9" s="1" t="s">
        <v>354</v>
      </c>
      <c r="E9" s="1"/>
      <c r="F9" s="1" t="s">
        <v>354</v>
      </c>
      <c r="G9" s="1"/>
      <c r="H9" s="1" t="s">
        <v>354</v>
      </c>
    </row>
    <row r="10" spans="1:8">
      <c r="B10" s="1" t="s">
        <v>359</v>
      </c>
      <c r="C10" s="1"/>
      <c r="D10" s="93" t="s">
        <v>356</v>
      </c>
      <c r="E10" s="1"/>
      <c r="F10" s="93" t="s">
        <v>322</v>
      </c>
      <c r="G10" s="1"/>
      <c r="H10" s="93" t="s">
        <v>360</v>
      </c>
    </row>
    <row r="11" spans="1:8">
      <c r="A11" s="18"/>
      <c r="B11" s="18"/>
      <c r="C11" s="18"/>
      <c r="D11" s="18"/>
      <c r="E11" s="18"/>
      <c r="F11" s="18"/>
      <c r="G11" s="18"/>
      <c r="H11" s="18"/>
    </row>
    <row r="13" spans="1:8">
      <c r="A13" s="3" t="s">
        <v>361</v>
      </c>
      <c r="D13" s="17">
        <v>2.4</v>
      </c>
      <c r="E13" s="17"/>
      <c r="F13" s="17">
        <v>1.04</v>
      </c>
      <c r="G13" s="17"/>
      <c r="H13" s="4" t="s">
        <v>358</v>
      </c>
    </row>
    <row r="14" spans="1:8">
      <c r="D14" s="17"/>
      <c r="E14" s="17"/>
      <c r="F14" s="17"/>
      <c r="G14" s="17"/>
      <c r="H14" s="17"/>
    </row>
    <row r="15" spans="1:8">
      <c r="A15" s="3" t="s">
        <v>362</v>
      </c>
      <c r="D15" s="141">
        <f>+'DCP-14, P 1'!C33</f>
        <v>1.8</v>
      </c>
      <c r="E15" s="17"/>
      <c r="F15" s="142">
        <f>+'DCP-14, P 1'!E33</f>
        <v>0.88000000000000012</v>
      </c>
      <c r="G15" s="17"/>
      <c r="H15" s="17" t="str">
        <f>+'DCP-14, P 1'!G33</f>
        <v>A</v>
      </c>
    </row>
    <row r="16" spans="1:8">
      <c r="D16" s="17"/>
      <c r="E16" s="17"/>
      <c r="F16" s="17"/>
      <c r="G16" s="17"/>
      <c r="H16" s="17"/>
    </row>
    <row r="17" spans="1:8" ht="15.3" thickBot="1">
      <c r="A17" s="36"/>
      <c r="B17" s="36"/>
      <c r="C17" s="36"/>
      <c r="D17" s="36"/>
      <c r="E17" s="36"/>
      <c r="F17" s="36"/>
      <c r="G17" s="36"/>
      <c r="H17" s="36"/>
    </row>
    <row r="18" spans="1:8" ht="15.3" thickTop="1"/>
    <row r="19" spans="1:8">
      <c r="A19" s="3" t="s">
        <v>363</v>
      </c>
    </row>
    <row r="21" spans="1:8">
      <c r="A21" t="s">
        <v>364</v>
      </c>
    </row>
    <row r="23" spans="1:8">
      <c r="A23" t="s">
        <v>365</v>
      </c>
    </row>
    <row r="24" spans="1:8">
      <c r="A24" t="s">
        <v>366</v>
      </c>
    </row>
    <row r="26" spans="1:8">
      <c r="A26" t="s">
        <v>367</v>
      </c>
    </row>
    <row r="27" spans="1:8">
      <c r="A27" t="s">
        <v>368</v>
      </c>
    </row>
    <row r="28" spans="1:8">
      <c r="A28" t="s">
        <v>369</v>
      </c>
    </row>
    <row r="29" spans="1:8">
      <c r="A29" t="s">
        <v>370</v>
      </c>
    </row>
    <row r="31" spans="1:8">
      <c r="A31" t="s">
        <v>371</v>
      </c>
    </row>
  </sheetData>
  <mergeCells count="1">
    <mergeCell ref="A5:H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18EC3-38DD-48CF-9DDB-ED8C082FF732}">
  <dimension ref="A1:N38"/>
  <sheetViews>
    <sheetView workbookViewId="0">
      <selection activeCell="F28" sqref="F28"/>
    </sheetView>
  </sheetViews>
  <sheetFormatPr defaultColWidth="8.76953125" defaultRowHeight="14.4"/>
  <cols>
    <col min="1" max="1" width="5.76953125" style="143" customWidth="1"/>
    <col min="2" max="2" width="24.76953125" style="143" customWidth="1"/>
    <col min="3" max="3" width="3.2265625" style="143" customWidth="1"/>
    <col min="4" max="4" width="8.76953125" style="143"/>
    <col min="5" max="5" width="2" style="143" customWidth="1"/>
    <col min="6" max="6" width="8.76953125" style="143"/>
    <col min="7" max="7" width="1.6796875" style="143" customWidth="1"/>
    <col min="8" max="8" width="5.2265625" style="143" customWidth="1"/>
    <col min="9" max="11" width="8.76953125" style="143"/>
    <col min="12" max="12" width="7.76953125" style="143" customWidth="1"/>
    <col min="13" max="16384" width="8.76953125" style="143"/>
  </cols>
  <sheetData>
    <row r="1" spans="1:14" ht="15.6">
      <c r="F1" s="144" t="s">
        <v>372</v>
      </c>
    </row>
    <row r="2" spans="1:14" ht="15.6">
      <c r="F2" s="144" t="s">
        <v>29</v>
      </c>
    </row>
    <row r="3" spans="1:14" ht="15.6">
      <c r="F3" s="144"/>
    </row>
    <row r="5" spans="1:14" ht="18.3">
      <c r="B5" s="206" t="s">
        <v>373</v>
      </c>
      <c r="C5" s="206"/>
      <c r="D5" s="206"/>
      <c r="E5" s="206"/>
      <c r="F5" s="206"/>
      <c r="G5" s="206"/>
      <c r="H5" s="206"/>
    </row>
    <row r="6" spans="1:14" ht="14.7" thickBot="1">
      <c r="A6" s="145"/>
      <c r="B6" s="145"/>
      <c r="C6" s="145"/>
      <c r="D6" s="145"/>
      <c r="E6" s="145"/>
      <c r="F6" s="145"/>
      <c r="G6" s="145"/>
      <c r="H6" s="145"/>
    </row>
    <row r="7" spans="1:14" ht="14.7" thickTop="1"/>
    <row r="8" spans="1:14" ht="15.6">
      <c r="A8" s="146" t="s">
        <v>374</v>
      </c>
      <c r="B8" s="146"/>
      <c r="C8" s="146"/>
      <c r="D8" s="147" t="s">
        <v>375</v>
      </c>
      <c r="E8" s="146"/>
      <c r="F8" s="147" t="s">
        <v>376</v>
      </c>
      <c r="G8" s="146"/>
      <c r="H8" s="146" t="s">
        <v>377</v>
      </c>
    </row>
    <row r="9" spans="1:14" ht="15.6">
      <c r="A9" s="148"/>
      <c r="B9" s="148"/>
      <c r="C9" s="148"/>
      <c r="D9" s="149"/>
      <c r="E9" s="148"/>
      <c r="F9" s="149"/>
      <c r="G9" s="148"/>
      <c r="H9" s="148"/>
    </row>
    <row r="10" spans="1:14" ht="15.6">
      <c r="A10" s="146"/>
      <c r="B10" s="146"/>
      <c r="C10" s="146"/>
      <c r="D10" s="147"/>
      <c r="E10" s="147"/>
      <c r="F10" s="147"/>
      <c r="G10" s="147"/>
      <c r="H10" s="147"/>
      <c r="I10" s="150"/>
      <c r="J10" s="150"/>
      <c r="K10" s="150"/>
      <c r="L10" s="150"/>
    </row>
    <row r="11" spans="1:14" ht="15.6">
      <c r="A11" s="147">
        <v>1</v>
      </c>
      <c r="B11" s="146" t="s">
        <v>378</v>
      </c>
      <c r="C11" s="146"/>
      <c r="D11" s="151">
        <v>5.4300000000000001E-2</v>
      </c>
      <c r="E11" s="151"/>
      <c r="F11" s="151">
        <v>5.5899999999999998E-2</v>
      </c>
      <c r="G11" s="151"/>
      <c r="H11" s="152" t="s">
        <v>9</v>
      </c>
      <c r="I11" s="153"/>
      <c r="J11" s="153"/>
      <c r="K11" s="153"/>
      <c r="L11" s="153"/>
      <c r="M11" s="154"/>
      <c r="N11" s="154"/>
    </row>
    <row r="12" spans="1:14" ht="15.6">
      <c r="A12" s="147"/>
      <c r="B12" s="146"/>
      <c r="C12" s="146"/>
      <c r="D12" s="151"/>
      <c r="E12" s="151"/>
      <c r="F12" s="151"/>
      <c r="G12" s="151"/>
      <c r="H12" s="152"/>
      <c r="I12" s="153"/>
      <c r="J12" s="153"/>
      <c r="K12" s="153"/>
      <c r="L12" s="153"/>
      <c r="M12" s="154"/>
      <c r="N12" s="154"/>
    </row>
    <row r="13" spans="1:14" ht="15.6">
      <c r="A13" s="147"/>
      <c r="B13" s="146"/>
      <c r="C13" s="146"/>
      <c r="D13" s="151"/>
      <c r="E13" s="151"/>
      <c r="F13" s="151"/>
      <c r="G13" s="151"/>
      <c r="H13" s="152"/>
      <c r="I13" s="153"/>
      <c r="J13" s="153"/>
      <c r="K13" s="153"/>
      <c r="L13" s="153"/>
      <c r="M13" s="154"/>
      <c r="N13" s="154"/>
    </row>
    <row r="14" spans="1:14" ht="15.6">
      <c r="A14" s="147">
        <v>2</v>
      </c>
      <c r="B14" s="146" t="s">
        <v>379</v>
      </c>
      <c r="C14" s="146"/>
      <c r="D14" s="151">
        <v>5.3800000000000001E-2</v>
      </c>
      <c r="E14" s="151"/>
      <c r="F14" s="151">
        <f>+D14</f>
        <v>5.3800000000000001E-2</v>
      </c>
      <c r="G14" s="151"/>
      <c r="H14" s="152" t="s">
        <v>15</v>
      </c>
      <c r="I14" s="153"/>
      <c r="J14" s="153"/>
      <c r="K14" s="153"/>
      <c r="L14" s="153"/>
      <c r="M14" s="154"/>
      <c r="N14" s="154"/>
    </row>
    <row r="15" spans="1:14" ht="15.6">
      <c r="A15" s="147"/>
      <c r="B15" s="146"/>
      <c r="C15" s="146"/>
      <c r="D15" s="151"/>
      <c r="E15" s="151"/>
      <c r="F15" s="151"/>
      <c r="G15" s="151"/>
      <c r="H15" s="152"/>
      <c r="I15" s="153"/>
      <c r="J15" s="153"/>
      <c r="K15" s="153"/>
      <c r="L15" s="153"/>
      <c r="M15" s="154"/>
    </row>
    <row r="16" spans="1:14" ht="15.6">
      <c r="A16" s="147">
        <v>3</v>
      </c>
      <c r="B16" s="146" t="s">
        <v>380</v>
      </c>
      <c r="C16" s="146"/>
      <c r="D16" s="151">
        <v>3.9800000000000002E-2</v>
      </c>
      <c r="E16" s="151"/>
      <c r="F16" s="151">
        <v>4.5199999999999997E-2</v>
      </c>
      <c r="G16" s="151"/>
      <c r="H16" s="152" t="s">
        <v>10</v>
      </c>
      <c r="I16" s="153"/>
      <c r="J16" s="153"/>
      <c r="K16" s="153"/>
      <c r="L16" s="153"/>
      <c r="M16" s="154"/>
    </row>
    <row r="17" spans="1:13" ht="15.6">
      <c r="A17" s="147"/>
      <c r="B17" s="146"/>
      <c r="C17" s="146"/>
      <c r="D17" s="151"/>
      <c r="E17" s="151"/>
      <c r="F17" s="151"/>
      <c r="G17" s="151"/>
      <c r="H17" s="152"/>
      <c r="I17" s="153"/>
      <c r="J17" s="153"/>
      <c r="K17" s="153"/>
      <c r="L17" s="153"/>
      <c r="M17" s="154"/>
    </row>
    <row r="18" spans="1:13" ht="15.6">
      <c r="A18" s="147">
        <v>4</v>
      </c>
      <c r="B18" s="146" t="s">
        <v>381</v>
      </c>
      <c r="C18" s="146"/>
      <c r="D18" s="151">
        <f>+D14-D16</f>
        <v>1.3999999999999999E-2</v>
      </c>
      <c r="E18" s="151"/>
      <c r="F18" s="151">
        <f>+F14-F16</f>
        <v>8.6000000000000035E-3</v>
      </c>
      <c r="G18" s="151"/>
      <c r="H18" s="152" t="s">
        <v>12</v>
      </c>
      <c r="I18" s="153"/>
      <c r="J18" s="153"/>
      <c r="K18" s="153"/>
      <c r="L18" s="153"/>
      <c r="M18" s="154"/>
    </row>
    <row r="19" spans="1:13" ht="15.6">
      <c r="A19" s="147"/>
      <c r="B19" s="146"/>
      <c r="C19" s="146"/>
      <c r="D19" s="151"/>
      <c r="E19" s="151"/>
      <c r="F19" s="151"/>
      <c r="G19" s="151"/>
      <c r="H19" s="152"/>
      <c r="I19" s="153"/>
      <c r="J19" s="153"/>
      <c r="K19" s="153"/>
      <c r="L19" s="153"/>
      <c r="M19" s="154"/>
    </row>
    <row r="20" spans="1:13" ht="15.6">
      <c r="A20" s="147">
        <v>5</v>
      </c>
      <c r="B20" s="146" t="s">
        <v>382</v>
      </c>
      <c r="C20" s="146"/>
      <c r="D20" s="155">
        <v>-0.56330000000000002</v>
      </c>
      <c r="E20" s="155"/>
      <c r="F20" s="155">
        <f>+D20</f>
        <v>-0.56330000000000002</v>
      </c>
      <c r="G20" s="151"/>
      <c r="H20" s="152" t="s">
        <v>383</v>
      </c>
      <c r="I20" s="153"/>
      <c r="J20" s="153"/>
      <c r="K20" s="153"/>
      <c r="L20" s="153"/>
      <c r="M20" s="154"/>
    </row>
    <row r="21" spans="1:13" ht="15.6">
      <c r="A21" s="147"/>
      <c r="B21" s="146" t="s">
        <v>384</v>
      </c>
      <c r="C21" s="146"/>
      <c r="D21" s="151"/>
      <c r="E21" s="151"/>
      <c r="F21" s="151"/>
      <c r="G21" s="151"/>
      <c r="H21" s="152"/>
      <c r="I21" s="153"/>
      <c r="J21" s="153"/>
      <c r="K21" s="153"/>
      <c r="L21" s="153"/>
      <c r="M21" s="154"/>
    </row>
    <row r="22" spans="1:13" ht="15.6">
      <c r="A22" s="147"/>
      <c r="B22" s="146"/>
      <c r="C22" s="146"/>
      <c r="D22" s="151"/>
      <c r="E22" s="151"/>
      <c r="F22" s="151"/>
      <c r="G22" s="151"/>
      <c r="H22" s="152"/>
      <c r="I22" s="153"/>
      <c r="J22" s="153"/>
      <c r="K22" s="153"/>
      <c r="L22" s="153"/>
      <c r="M22" s="154"/>
    </row>
    <row r="23" spans="1:13" ht="15.6">
      <c r="A23" s="147">
        <v>6</v>
      </c>
      <c r="B23" s="146" t="s">
        <v>385</v>
      </c>
      <c r="C23" s="146"/>
      <c r="D23" s="151">
        <f>+D18*D20</f>
        <v>-7.8861999999999995E-3</v>
      </c>
      <c r="E23" s="151"/>
      <c r="F23" s="151">
        <f>+F18*F20</f>
        <v>-4.8443800000000023E-3</v>
      </c>
      <c r="G23" s="151"/>
      <c r="H23" s="152" t="s">
        <v>21</v>
      </c>
      <c r="I23" s="153"/>
      <c r="J23" s="153"/>
      <c r="K23" s="153"/>
      <c r="L23" s="153"/>
      <c r="M23" s="154"/>
    </row>
    <row r="24" spans="1:13" ht="15.6">
      <c r="A24" s="147"/>
      <c r="B24" s="146"/>
      <c r="C24" s="146"/>
      <c r="D24" s="151"/>
      <c r="E24" s="151"/>
      <c r="F24" s="151"/>
      <c r="G24" s="151"/>
      <c r="H24" s="152"/>
      <c r="I24" s="153"/>
      <c r="J24" s="153"/>
      <c r="K24" s="153"/>
      <c r="L24" s="153"/>
      <c r="M24" s="154"/>
    </row>
    <row r="25" spans="1:13" ht="15.6">
      <c r="A25" s="147">
        <v>7</v>
      </c>
      <c r="B25" s="146" t="s">
        <v>386</v>
      </c>
      <c r="C25" s="146"/>
      <c r="D25" s="151">
        <f>+D11+D23</f>
        <v>4.6413800000000005E-2</v>
      </c>
      <c r="E25" s="151"/>
      <c r="F25" s="151">
        <f>+F11+F23</f>
        <v>5.1055619999999996E-2</v>
      </c>
      <c r="G25" s="151"/>
      <c r="H25" s="152" t="s">
        <v>387</v>
      </c>
      <c r="I25" s="153"/>
      <c r="J25" s="153"/>
      <c r="K25" s="153"/>
      <c r="L25" s="153"/>
      <c r="M25" s="154"/>
    </row>
    <row r="26" spans="1:13" ht="15.6">
      <c r="A26" s="147"/>
      <c r="B26" s="146"/>
      <c r="C26" s="146"/>
      <c r="D26" s="151"/>
      <c r="E26" s="151"/>
      <c r="F26" s="151"/>
      <c r="G26" s="151"/>
      <c r="H26" s="152"/>
      <c r="I26" s="153"/>
      <c r="J26" s="153"/>
      <c r="K26" s="153"/>
      <c r="L26" s="153"/>
      <c r="M26" s="154"/>
    </row>
    <row r="27" spans="1:13" ht="15.6">
      <c r="A27" s="147">
        <v>8</v>
      </c>
      <c r="B27" s="146" t="s">
        <v>388</v>
      </c>
      <c r="C27" s="146"/>
      <c r="D27" s="151">
        <f>+D14+D25</f>
        <v>0.10021380000000001</v>
      </c>
      <c r="E27" s="151"/>
      <c r="F27" s="151">
        <f>+F14+F25</f>
        <v>0.10485562</v>
      </c>
      <c r="G27" s="151"/>
      <c r="H27" s="152" t="s">
        <v>389</v>
      </c>
      <c r="I27" s="153"/>
      <c r="J27" s="153"/>
      <c r="K27" s="153"/>
      <c r="L27" s="153"/>
      <c r="M27" s="154"/>
    </row>
    <row r="28" spans="1:13" ht="15.9" thickBot="1">
      <c r="A28" s="156"/>
      <c r="B28" s="157"/>
      <c r="C28" s="157"/>
      <c r="D28" s="158"/>
      <c r="E28" s="158"/>
      <c r="F28" s="158"/>
      <c r="G28" s="158"/>
      <c r="H28" s="159"/>
      <c r="I28" s="153"/>
      <c r="J28" s="153"/>
      <c r="K28" s="153"/>
      <c r="L28" s="153"/>
      <c r="M28" s="154"/>
    </row>
    <row r="29" spans="1:13" ht="15.9" thickTop="1">
      <c r="A29" s="147"/>
      <c r="B29" s="146"/>
      <c r="C29" s="146"/>
      <c r="D29" s="151"/>
      <c r="E29" s="151"/>
      <c r="F29" s="151"/>
      <c r="G29" s="151"/>
      <c r="H29" s="151"/>
      <c r="I29" s="153"/>
      <c r="J29" s="153"/>
      <c r="K29" s="153"/>
      <c r="L29" s="153"/>
      <c r="M29" s="154"/>
    </row>
    <row r="30" spans="1:13" ht="15.6">
      <c r="A30" s="160" t="s">
        <v>9</v>
      </c>
      <c r="B30" s="146" t="s">
        <v>390</v>
      </c>
      <c r="C30" s="146"/>
      <c r="D30" s="147"/>
      <c r="E30" s="147"/>
      <c r="F30" s="147"/>
      <c r="G30" s="147"/>
      <c r="H30" s="147"/>
      <c r="I30" s="150"/>
      <c r="J30" s="150"/>
      <c r="K30" s="150"/>
      <c r="L30" s="150"/>
    </row>
    <row r="31" spans="1:13" ht="15.6">
      <c r="A31" s="160" t="s">
        <v>15</v>
      </c>
      <c r="B31" s="146" t="s">
        <v>391</v>
      </c>
      <c r="C31" s="146"/>
      <c r="D31" s="146"/>
      <c r="E31" s="146"/>
      <c r="F31" s="146"/>
      <c r="G31" s="146"/>
      <c r="H31" s="146"/>
    </row>
    <row r="32" spans="1:13" ht="15.6">
      <c r="A32" s="160"/>
      <c r="B32" s="146" t="s">
        <v>392</v>
      </c>
      <c r="C32" s="146"/>
      <c r="D32" s="146"/>
      <c r="E32" s="146"/>
      <c r="F32" s="146"/>
      <c r="G32" s="146"/>
      <c r="H32" s="146"/>
    </row>
    <row r="33" spans="1:8" ht="15.6">
      <c r="A33" s="160" t="s">
        <v>10</v>
      </c>
      <c r="B33" s="146" t="s">
        <v>393</v>
      </c>
      <c r="C33" s="146"/>
      <c r="D33" s="146"/>
      <c r="E33" s="146"/>
      <c r="F33" s="146"/>
      <c r="G33" s="146"/>
      <c r="H33" s="146"/>
    </row>
    <row r="34" spans="1:8" ht="15.6">
      <c r="A34" s="160" t="s">
        <v>12</v>
      </c>
      <c r="B34" s="146" t="s">
        <v>394</v>
      </c>
      <c r="C34" s="146"/>
      <c r="D34" s="146"/>
      <c r="E34" s="146"/>
      <c r="F34" s="146"/>
      <c r="G34" s="146"/>
      <c r="H34" s="146"/>
    </row>
    <row r="35" spans="1:8" ht="15.6">
      <c r="A35" s="160" t="s">
        <v>383</v>
      </c>
      <c r="B35" s="146" t="s">
        <v>395</v>
      </c>
      <c r="C35" s="146"/>
      <c r="D35" s="146"/>
      <c r="E35" s="146"/>
      <c r="F35" s="146"/>
      <c r="G35" s="146"/>
      <c r="H35" s="146"/>
    </row>
    <row r="36" spans="1:8" ht="15.6">
      <c r="A36" s="160" t="s">
        <v>21</v>
      </c>
      <c r="B36" s="146" t="s">
        <v>396</v>
      </c>
      <c r="C36" s="146"/>
      <c r="D36" s="146"/>
      <c r="E36" s="146"/>
      <c r="F36" s="146"/>
      <c r="G36" s="146"/>
      <c r="H36" s="146"/>
    </row>
    <row r="37" spans="1:8" ht="15.6">
      <c r="A37" s="160" t="s">
        <v>387</v>
      </c>
      <c r="B37" s="146" t="s">
        <v>397</v>
      </c>
      <c r="C37" s="146"/>
      <c r="D37" s="146"/>
      <c r="E37" s="146"/>
      <c r="F37" s="146"/>
      <c r="G37" s="146"/>
      <c r="H37" s="146"/>
    </row>
    <row r="38" spans="1:8" ht="15.6">
      <c r="A38" s="160" t="s">
        <v>389</v>
      </c>
      <c r="B38" s="146" t="s">
        <v>398</v>
      </c>
      <c r="C38" s="146"/>
      <c r="D38" s="146"/>
      <c r="E38" s="146"/>
      <c r="F38" s="146"/>
      <c r="G38" s="146"/>
      <c r="H38" s="146"/>
    </row>
  </sheetData>
  <mergeCells count="1">
    <mergeCell ref="B5:H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1255B-B83E-4579-8A1B-61C9695022EB}">
  <sheetPr>
    <pageSetUpPr fitToPage="1"/>
  </sheetPr>
  <dimension ref="A1:O56"/>
  <sheetViews>
    <sheetView workbookViewId="0">
      <selection activeCell="O47" sqref="O47"/>
    </sheetView>
  </sheetViews>
  <sheetFormatPr defaultColWidth="8.6796875" defaultRowHeight="15"/>
  <cols>
    <col min="1" max="1" width="20.76953125" style="57" customWidth="1"/>
    <col min="2" max="2" width="1.2265625" style="57" customWidth="1"/>
    <col min="3" max="14" width="8.54296875" style="57" customWidth="1"/>
    <col min="15" max="16384" width="8.6796875" style="57"/>
  </cols>
  <sheetData>
    <row r="1" spans="1:15">
      <c r="N1" s="58" t="str">
        <f>+'DCP-15, P 1'!F1</f>
        <v>Exh. DCP-15</v>
      </c>
    </row>
    <row r="2" spans="1:15">
      <c r="N2" s="58" t="s">
        <v>81</v>
      </c>
    </row>
    <row r="4" spans="1:15" ht="17.7">
      <c r="A4" s="197" t="s">
        <v>373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</row>
    <row r="5" spans="1:15" ht="17.7">
      <c r="A5" s="197" t="s">
        <v>399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5" ht="15.3" thickBo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5" ht="15.3" thickTop="1">
      <c r="H7" s="106"/>
      <c r="I7" s="106"/>
      <c r="J7" s="106"/>
      <c r="K7" s="106"/>
      <c r="L7" s="106"/>
      <c r="M7" s="106"/>
      <c r="N7" s="106"/>
    </row>
    <row r="8" spans="1:15">
      <c r="H8" s="106"/>
      <c r="I8" s="106"/>
      <c r="J8" s="106"/>
      <c r="K8" s="106"/>
      <c r="L8" s="106"/>
      <c r="M8" s="106"/>
      <c r="N8" s="161" t="s">
        <v>400</v>
      </c>
      <c r="O8" s="162" t="s">
        <v>401</v>
      </c>
    </row>
    <row r="9" spans="1:15">
      <c r="C9" s="59">
        <v>2012</v>
      </c>
      <c r="D9" s="59">
        <v>2013</v>
      </c>
      <c r="E9" s="59">
        <v>2014</v>
      </c>
      <c r="F9" s="59">
        <v>2015</v>
      </c>
      <c r="G9" s="59">
        <v>2016</v>
      </c>
      <c r="H9" s="59">
        <v>2017</v>
      </c>
      <c r="I9" s="59">
        <v>2018</v>
      </c>
      <c r="J9" s="59">
        <v>2019</v>
      </c>
      <c r="K9" s="59">
        <v>2020</v>
      </c>
      <c r="L9" s="59">
        <v>2021</v>
      </c>
      <c r="M9" s="59">
        <v>2022</v>
      </c>
      <c r="N9" s="106" t="s">
        <v>196</v>
      </c>
      <c r="O9" s="57" t="s">
        <v>196</v>
      </c>
    </row>
    <row r="10" spans="1:15">
      <c r="A10" s="104"/>
      <c r="B10" s="104"/>
      <c r="C10" s="104"/>
      <c r="D10" s="104"/>
      <c r="E10" s="104"/>
      <c r="F10" s="104"/>
      <c r="G10" s="104"/>
      <c r="H10" s="133"/>
      <c r="I10" s="133"/>
      <c r="J10" s="133"/>
      <c r="K10" s="133"/>
      <c r="L10" s="133"/>
      <c r="M10" s="133"/>
      <c r="N10" s="133"/>
      <c r="O10" s="104"/>
    </row>
    <row r="11" spans="1:15">
      <c r="H11" s="106"/>
      <c r="I11" s="106"/>
      <c r="J11" s="106"/>
      <c r="K11" s="106"/>
      <c r="L11" s="106"/>
      <c r="M11" s="106"/>
      <c r="N11" s="106"/>
    </row>
    <row r="12" spans="1:15">
      <c r="A12" s="57" t="s">
        <v>402</v>
      </c>
      <c r="H12" s="106"/>
      <c r="I12" s="106"/>
      <c r="J12" s="106"/>
      <c r="K12" s="106"/>
      <c r="L12" s="106"/>
      <c r="M12" s="106"/>
      <c r="N12" s="106"/>
    </row>
    <row r="13" spans="1:15">
      <c r="A13" s="57" t="s">
        <v>403</v>
      </c>
      <c r="C13" s="113">
        <v>0.1002</v>
      </c>
      <c r="D13" s="113">
        <v>9.8199999999999996E-2</v>
      </c>
      <c r="E13" s="113">
        <v>9.7600000000000006E-2</v>
      </c>
      <c r="F13" s="113">
        <v>9.6000000000000002E-2</v>
      </c>
      <c r="G13" s="113">
        <v>9.6000000000000002E-2</v>
      </c>
      <c r="H13" s="113">
        <v>9.6799999999999997E-2</v>
      </c>
      <c r="I13" s="113">
        <v>9.5600000000000004E-2</v>
      </c>
      <c r="J13" s="113">
        <v>9.6500000000000002E-2</v>
      </c>
      <c r="K13" s="113">
        <v>9.3899999999999997E-2</v>
      </c>
      <c r="L13" s="113">
        <v>9.3899999999999997E-2</v>
      </c>
      <c r="M13" s="113">
        <v>9.5200000000000007E-2</v>
      </c>
      <c r="N13" s="113">
        <f>AVERAGE(C13:J13)</f>
        <v>9.7112500000000004E-2</v>
      </c>
      <c r="O13" s="113">
        <f>AVERAGE(C13:M13)</f>
        <v>9.6354545454545457E-2</v>
      </c>
    </row>
    <row r="14" spans="1:15"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59"/>
    </row>
    <row r="15" spans="1:15">
      <c r="A15" s="57" t="s">
        <v>404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59"/>
    </row>
    <row r="16" spans="1:15">
      <c r="A16" s="57" t="s">
        <v>405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59"/>
    </row>
    <row r="17" spans="1:15"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59"/>
    </row>
    <row r="18" spans="1:15">
      <c r="A18" s="57" t="s">
        <v>406</v>
      </c>
      <c r="C18" s="106">
        <v>4.1300000000000003E-2</v>
      </c>
      <c r="D18" s="106">
        <v>4.48E-2</v>
      </c>
      <c r="E18" s="106">
        <v>4.2799999999999998E-2</v>
      </c>
      <c r="F18" s="106">
        <v>4.1200000000000001E-2</v>
      </c>
      <c r="G18" s="106">
        <v>3.9300000000000002E-2</v>
      </c>
      <c r="H18" s="106">
        <v>0.04</v>
      </c>
      <c r="I18" s="106">
        <v>4.2500000000000003E-2</v>
      </c>
      <c r="J18" s="106">
        <v>3.7699999999999997E-2</v>
      </c>
      <c r="K18" s="106">
        <v>3.0200000000000001E-2</v>
      </c>
      <c r="L18" s="106">
        <v>3.1099999999999999E-2</v>
      </c>
      <c r="M18" s="106">
        <v>4.7199999999999999E-2</v>
      </c>
      <c r="N18" s="106">
        <f>AVERAGE(C18:J18)</f>
        <v>4.1200000000000007E-2</v>
      </c>
      <c r="O18" s="106">
        <f>AVERAGE(C18:M18)</f>
        <v>3.9827272727272739E-2</v>
      </c>
    </row>
    <row r="19" spans="1:15"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1:15">
      <c r="A20" s="57" t="s">
        <v>407</v>
      </c>
      <c r="C20" s="106">
        <v>4.24E-2</v>
      </c>
      <c r="D20" s="106">
        <v>4.2700000000000002E-2</v>
      </c>
      <c r="E20" s="106">
        <v>4.4600000000000001E-2</v>
      </c>
      <c r="F20" s="106">
        <v>4.0399999999999998E-2</v>
      </c>
      <c r="G20" s="106">
        <v>4.0099999999999997E-2</v>
      </c>
      <c r="H20" s="106">
        <v>4.0500000000000001E-2</v>
      </c>
      <c r="I20" s="106">
        <v>4.1000000000000002E-2</v>
      </c>
      <c r="J20" s="106">
        <v>4.0300000000000002E-2</v>
      </c>
      <c r="K20" s="106">
        <v>3.15E-2</v>
      </c>
      <c r="L20" s="106">
        <v>3.0599999999999999E-2</v>
      </c>
      <c r="M20" s="106">
        <v>4.0800000000000003E-2</v>
      </c>
      <c r="N20" s="106">
        <f>AVERAGE(C20:J20)</f>
        <v>4.1499999999999995E-2</v>
      </c>
      <c r="O20" s="106">
        <f>AVERAGE(C20:M20)</f>
        <v>3.9536363636363633E-2</v>
      </c>
    </row>
    <row r="21" spans="1:15"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1:15">
      <c r="A22" s="57" t="s">
        <v>408</v>
      </c>
      <c r="C22" s="106">
        <v>4.4499999999999998E-2</v>
      </c>
      <c r="D22" s="106">
        <v>4.0800000000000003E-2</v>
      </c>
      <c r="E22" s="106">
        <v>4.5900000000000003E-2</v>
      </c>
      <c r="F22" s="106">
        <v>0.04</v>
      </c>
      <c r="G22" s="106">
        <v>4.19E-2</v>
      </c>
      <c r="H22" s="106">
        <v>3.9699999999999999E-2</v>
      </c>
      <c r="I22" s="106">
        <v>0.04</v>
      </c>
      <c r="J22" s="106">
        <v>4.24E-2</v>
      </c>
      <c r="K22" s="106">
        <v>3.32E-2</v>
      </c>
      <c r="L22" s="106">
        <v>3.0099999999999998E-2</v>
      </c>
      <c r="M22" s="106">
        <v>3.5900000000000001E-2</v>
      </c>
      <c r="N22" s="106">
        <f>AVERAGE(C22:J22)</f>
        <v>4.19E-2</v>
      </c>
      <c r="O22" s="106">
        <f>AVERAGE(C22:M22)</f>
        <v>3.949090909090909E-2</v>
      </c>
    </row>
    <row r="23" spans="1:15"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1:15">
      <c r="A24" s="57" t="s">
        <v>409</v>
      </c>
      <c r="C24" s="106">
        <v>4.7399999999999998E-2</v>
      </c>
      <c r="D24" s="106">
        <v>4.0800000000000003E-2</v>
      </c>
      <c r="E24" s="106">
        <v>4.5699999999999998E-2</v>
      </c>
      <c r="F24" s="106">
        <v>4.0500000000000001E-2</v>
      </c>
      <c r="G24" s="106">
        <v>4.24E-2</v>
      </c>
      <c r="H24" s="106">
        <v>3.9300000000000002E-2</v>
      </c>
      <c r="I24" s="106">
        <v>3.9600000000000003E-2</v>
      </c>
      <c r="J24" s="106">
        <v>4.3099999999999999E-2</v>
      </c>
      <c r="K24" s="106">
        <v>3.5299999999999998E-2</v>
      </c>
      <c r="L24" s="106">
        <v>2.98E-2</v>
      </c>
      <c r="M24" s="106">
        <v>3.2399999999999998E-2</v>
      </c>
      <c r="N24" s="106">
        <f>AVERAGE(C24:J24)</f>
        <v>4.2349999999999999E-2</v>
      </c>
      <c r="O24" s="106">
        <f>AVERAGE(C24:M24)</f>
        <v>3.9663636363636359E-2</v>
      </c>
    </row>
    <row r="25" spans="1:15"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15">
      <c r="A26" s="57" t="s">
        <v>410</v>
      </c>
      <c r="C26" s="106">
        <v>5.04E-2</v>
      </c>
      <c r="D26" s="106">
        <v>4.1300000000000003E-2</v>
      </c>
      <c r="E26" s="106">
        <v>4.48E-2</v>
      </c>
      <c r="F26" s="106">
        <v>4.2799999999999998E-2</v>
      </c>
      <c r="G26" s="106">
        <v>4.1200000000000001E-2</v>
      </c>
      <c r="H26" s="106">
        <v>3.9300000000000002E-2</v>
      </c>
      <c r="I26" s="106">
        <v>0.04</v>
      </c>
      <c r="J26" s="106">
        <v>4.2500000000000003E-2</v>
      </c>
      <c r="K26" s="106">
        <v>3.7699999999999997E-2</v>
      </c>
      <c r="L26" s="106">
        <v>3.0200000000000001E-2</v>
      </c>
      <c r="M26" s="106">
        <v>3.1099999999999999E-2</v>
      </c>
      <c r="N26" s="106">
        <f>AVERAGE(C26:J26)</f>
        <v>4.2787499999999999E-2</v>
      </c>
      <c r="O26" s="106">
        <f>AVERAGE(C26:M26)</f>
        <v>4.0118181818181824E-2</v>
      </c>
    </row>
    <row r="27" spans="1:15"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15">
      <c r="A28" s="57" t="s">
        <v>196</v>
      </c>
      <c r="C28" s="106">
        <f t="shared" ref="C28:N28" si="0">AVERAGE(C18:C26)</f>
        <v>4.5199999999999997E-2</v>
      </c>
      <c r="D28" s="106">
        <f t="shared" si="0"/>
        <v>4.2079999999999999E-2</v>
      </c>
      <c r="E28" s="106">
        <f t="shared" si="0"/>
        <v>4.4760000000000001E-2</v>
      </c>
      <c r="F28" s="106">
        <f t="shared" si="0"/>
        <v>4.0980000000000003E-2</v>
      </c>
      <c r="G28" s="106">
        <f t="shared" si="0"/>
        <v>4.0979999999999996E-2</v>
      </c>
      <c r="H28" s="106">
        <f t="shared" si="0"/>
        <v>3.9760000000000004E-2</v>
      </c>
      <c r="I28" s="106">
        <f t="shared" si="0"/>
        <v>4.0620000000000003E-2</v>
      </c>
      <c r="J28" s="106">
        <f t="shared" si="0"/>
        <v>4.1200000000000001E-2</v>
      </c>
      <c r="K28" s="106">
        <f t="shared" si="0"/>
        <v>3.3579999999999999E-2</v>
      </c>
      <c r="L28" s="106">
        <f t="shared" si="0"/>
        <v>3.0359999999999998E-2</v>
      </c>
      <c r="M28" s="106">
        <f t="shared" si="0"/>
        <v>3.7479999999999999E-2</v>
      </c>
      <c r="N28" s="106">
        <f t="shared" si="0"/>
        <v>4.1947499999999999E-2</v>
      </c>
      <c r="O28" s="106">
        <f>AVERAGE(O18:O26)</f>
        <v>3.9727272727272736E-2</v>
      </c>
    </row>
    <row r="29" spans="1:15"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5">
      <c r="A30" s="57" t="s">
        <v>411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1:15">
      <c r="A31" s="57" t="s">
        <v>405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5"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1:15">
      <c r="A33" s="57" t="s">
        <v>406</v>
      </c>
      <c r="C33" s="106">
        <f t="shared" ref="C33:M33" si="1">+C13-C18</f>
        <v>5.8899999999999994E-2</v>
      </c>
      <c r="D33" s="106">
        <f t="shared" si="1"/>
        <v>5.3399999999999996E-2</v>
      </c>
      <c r="E33" s="106">
        <f t="shared" si="1"/>
        <v>5.4800000000000008E-2</v>
      </c>
      <c r="F33" s="106">
        <f t="shared" si="1"/>
        <v>5.4800000000000001E-2</v>
      </c>
      <c r="G33" s="106">
        <f t="shared" si="1"/>
        <v>5.67E-2</v>
      </c>
      <c r="H33" s="106">
        <f t="shared" si="1"/>
        <v>5.6799999999999996E-2</v>
      </c>
      <c r="I33" s="106">
        <f t="shared" si="1"/>
        <v>5.3100000000000001E-2</v>
      </c>
      <c r="J33" s="106">
        <f t="shared" si="1"/>
        <v>5.8800000000000005E-2</v>
      </c>
      <c r="K33" s="106">
        <f t="shared" si="1"/>
        <v>6.3699999999999993E-2</v>
      </c>
      <c r="L33" s="106">
        <f t="shared" si="1"/>
        <v>6.2799999999999995E-2</v>
      </c>
      <c r="M33" s="106">
        <f t="shared" si="1"/>
        <v>4.8000000000000008E-2</v>
      </c>
      <c r="N33" s="113">
        <f>AVERAGE(C33:J33)</f>
        <v>5.5912499999999997E-2</v>
      </c>
      <c r="O33" s="113">
        <f>AVERAGE(C33:M33)</f>
        <v>5.6527272727272732E-2</v>
      </c>
    </row>
    <row r="34" spans="1:15"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13"/>
      <c r="O34" s="58"/>
    </row>
    <row r="35" spans="1:15">
      <c r="A35" s="57" t="s">
        <v>407</v>
      </c>
      <c r="C35" s="106">
        <f t="shared" ref="C35:M35" si="2">+C13-C20</f>
        <v>5.7799999999999997E-2</v>
      </c>
      <c r="D35" s="106">
        <f t="shared" si="2"/>
        <v>5.5499999999999994E-2</v>
      </c>
      <c r="E35" s="106">
        <f t="shared" si="2"/>
        <v>5.3000000000000005E-2</v>
      </c>
      <c r="F35" s="106">
        <f t="shared" si="2"/>
        <v>5.5600000000000004E-2</v>
      </c>
      <c r="G35" s="106">
        <f t="shared" si="2"/>
        <v>5.5900000000000005E-2</v>
      </c>
      <c r="H35" s="106">
        <f t="shared" si="2"/>
        <v>5.6299999999999996E-2</v>
      </c>
      <c r="I35" s="106">
        <f t="shared" si="2"/>
        <v>5.4600000000000003E-2</v>
      </c>
      <c r="J35" s="106">
        <f t="shared" si="2"/>
        <v>5.62E-2</v>
      </c>
      <c r="K35" s="106">
        <f t="shared" si="2"/>
        <v>6.2399999999999997E-2</v>
      </c>
      <c r="L35" s="106">
        <f t="shared" si="2"/>
        <v>6.3299999999999995E-2</v>
      </c>
      <c r="M35" s="106">
        <f t="shared" si="2"/>
        <v>5.4400000000000004E-2</v>
      </c>
      <c r="N35" s="113">
        <f>AVERAGE(C35:J35)</f>
        <v>5.5612500000000009E-2</v>
      </c>
      <c r="O35" s="113">
        <f>AVERAGE(C35:M35)</f>
        <v>5.681818181818183E-2</v>
      </c>
    </row>
    <row r="36" spans="1:15"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13"/>
      <c r="O36" s="58"/>
    </row>
    <row r="37" spans="1:15">
      <c r="A37" s="57" t="s">
        <v>408</v>
      </c>
      <c r="C37" s="106">
        <f t="shared" ref="C37:M37" si="3">+C13-C22</f>
        <v>5.57E-2</v>
      </c>
      <c r="D37" s="106">
        <f t="shared" si="3"/>
        <v>5.7399999999999993E-2</v>
      </c>
      <c r="E37" s="106">
        <f t="shared" si="3"/>
        <v>5.1700000000000003E-2</v>
      </c>
      <c r="F37" s="106">
        <f t="shared" si="3"/>
        <v>5.6000000000000001E-2</v>
      </c>
      <c r="G37" s="106">
        <f t="shared" si="3"/>
        <v>5.4100000000000002E-2</v>
      </c>
      <c r="H37" s="106">
        <f t="shared" si="3"/>
        <v>5.7099999999999998E-2</v>
      </c>
      <c r="I37" s="106">
        <f t="shared" si="3"/>
        <v>5.5600000000000004E-2</v>
      </c>
      <c r="J37" s="106">
        <f t="shared" si="3"/>
        <v>5.4100000000000002E-2</v>
      </c>
      <c r="K37" s="106">
        <f t="shared" si="3"/>
        <v>6.0699999999999997E-2</v>
      </c>
      <c r="L37" s="106">
        <f t="shared" si="3"/>
        <v>6.3799999999999996E-2</v>
      </c>
      <c r="M37" s="106">
        <f t="shared" si="3"/>
        <v>5.9300000000000005E-2</v>
      </c>
      <c r="N37" s="113">
        <f>AVERAGE(C37:J37)</f>
        <v>5.5212499999999991E-2</v>
      </c>
      <c r="O37" s="113">
        <f>AVERAGE(C37:M37)</f>
        <v>5.6863636363636359E-2</v>
      </c>
    </row>
    <row r="38" spans="1:15"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13"/>
      <c r="O38" s="58"/>
    </row>
    <row r="39" spans="1:15">
      <c r="A39" s="57" t="s">
        <v>409</v>
      </c>
      <c r="C39" s="106">
        <f t="shared" ref="C39:M39" si="4">+C13-C24</f>
        <v>5.28E-2</v>
      </c>
      <c r="D39" s="106">
        <f t="shared" si="4"/>
        <v>5.7399999999999993E-2</v>
      </c>
      <c r="E39" s="106">
        <f t="shared" si="4"/>
        <v>5.1900000000000009E-2</v>
      </c>
      <c r="F39" s="106">
        <f t="shared" si="4"/>
        <v>5.5500000000000001E-2</v>
      </c>
      <c r="G39" s="106">
        <f t="shared" si="4"/>
        <v>5.3600000000000002E-2</v>
      </c>
      <c r="H39" s="106">
        <f t="shared" si="4"/>
        <v>5.7499999999999996E-2</v>
      </c>
      <c r="I39" s="106">
        <f t="shared" si="4"/>
        <v>5.6000000000000001E-2</v>
      </c>
      <c r="J39" s="106">
        <f t="shared" si="4"/>
        <v>5.3400000000000003E-2</v>
      </c>
      <c r="K39" s="106">
        <f t="shared" si="4"/>
        <v>5.8599999999999999E-2</v>
      </c>
      <c r="L39" s="106">
        <f t="shared" si="4"/>
        <v>6.409999999999999E-2</v>
      </c>
      <c r="M39" s="106">
        <f t="shared" si="4"/>
        <v>6.2800000000000009E-2</v>
      </c>
      <c r="N39" s="113">
        <f>AVERAGE(C39:J39)</f>
        <v>5.4762499999999999E-2</v>
      </c>
      <c r="O39" s="113">
        <f>AVERAGE(C39:M39)</f>
        <v>5.6690909090909083E-2</v>
      </c>
    </row>
    <row r="40" spans="1:15"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13"/>
      <c r="O40" s="58"/>
    </row>
    <row r="41" spans="1:15">
      <c r="A41" s="57" t="s">
        <v>410</v>
      </c>
      <c r="C41" s="106">
        <f t="shared" ref="C41:M41" si="5">+C13-C26</f>
        <v>4.9799999999999997E-2</v>
      </c>
      <c r="D41" s="106">
        <f t="shared" si="5"/>
        <v>5.6899999999999992E-2</v>
      </c>
      <c r="E41" s="106">
        <f t="shared" si="5"/>
        <v>5.2800000000000007E-2</v>
      </c>
      <c r="F41" s="106">
        <f t="shared" si="5"/>
        <v>5.3200000000000004E-2</v>
      </c>
      <c r="G41" s="106">
        <f t="shared" si="5"/>
        <v>5.4800000000000001E-2</v>
      </c>
      <c r="H41" s="106">
        <f t="shared" si="5"/>
        <v>5.7499999999999996E-2</v>
      </c>
      <c r="I41" s="106">
        <f t="shared" si="5"/>
        <v>5.5600000000000004E-2</v>
      </c>
      <c r="J41" s="106">
        <f t="shared" si="5"/>
        <v>5.3999999999999999E-2</v>
      </c>
      <c r="K41" s="106">
        <f t="shared" si="5"/>
        <v>5.62E-2</v>
      </c>
      <c r="L41" s="106">
        <f t="shared" si="5"/>
        <v>6.3699999999999993E-2</v>
      </c>
      <c r="M41" s="106">
        <f t="shared" si="5"/>
        <v>6.4100000000000004E-2</v>
      </c>
      <c r="N41" s="113">
        <f>AVERAGE(C41:J41)</f>
        <v>5.4324999999999998E-2</v>
      </c>
      <c r="O41" s="113">
        <f>AVERAGE(C41:M41)</f>
        <v>5.623636363636364E-2</v>
      </c>
    </row>
    <row r="42" spans="1:15" ht="15.3" thickBot="1">
      <c r="A42" s="101"/>
      <c r="B42" s="101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01"/>
    </row>
    <row r="43" spans="1:15" ht="15.3" thickTop="1">
      <c r="H43" s="106"/>
      <c r="I43" s="106"/>
      <c r="J43" s="106"/>
      <c r="K43" s="106"/>
      <c r="L43" s="106"/>
      <c r="M43" s="106"/>
      <c r="N43" s="106"/>
    </row>
    <row r="44" spans="1:15">
      <c r="A44" s="57" t="s">
        <v>412</v>
      </c>
      <c r="H44" s="106"/>
      <c r="I44" s="106"/>
      <c r="J44" s="106"/>
      <c r="K44" s="106"/>
      <c r="L44" s="106"/>
      <c r="M44" s="106"/>
      <c r="N44" s="106"/>
    </row>
    <row r="45" spans="1:15">
      <c r="H45" s="106"/>
      <c r="I45" s="106"/>
      <c r="J45" s="106"/>
      <c r="K45" s="106"/>
      <c r="L45" s="106"/>
      <c r="M45" s="106"/>
      <c r="N45" s="106"/>
    </row>
    <row r="46" spans="1:15">
      <c r="H46" s="106"/>
      <c r="I46" s="106"/>
      <c r="J46" s="106"/>
      <c r="K46" s="106"/>
      <c r="L46" s="106"/>
      <c r="M46" s="106"/>
      <c r="N46" s="106"/>
    </row>
    <row r="47" spans="1:15">
      <c r="H47" s="106"/>
      <c r="I47" s="106"/>
      <c r="J47" s="106"/>
      <c r="K47" s="106"/>
      <c r="L47" s="106"/>
      <c r="M47" s="106"/>
      <c r="N47" s="106"/>
    </row>
    <row r="48" spans="1:15">
      <c r="H48" s="106"/>
      <c r="I48" s="106"/>
      <c r="J48" s="106"/>
      <c r="K48" s="106"/>
      <c r="L48" s="106"/>
      <c r="M48" s="106"/>
      <c r="N48" s="106"/>
    </row>
    <row r="49" spans="8:14">
      <c r="H49" s="106"/>
      <c r="I49" s="106"/>
      <c r="J49" s="106"/>
      <c r="K49" s="106"/>
      <c r="L49" s="106"/>
      <c r="M49" s="106"/>
      <c r="N49" s="106"/>
    </row>
    <row r="50" spans="8:14">
      <c r="H50" s="106"/>
      <c r="I50" s="106"/>
      <c r="J50" s="106"/>
      <c r="K50" s="106"/>
      <c r="L50" s="106"/>
      <c r="M50" s="106"/>
      <c r="N50" s="106"/>
    </row>
    <row r="51" spans="8:14">
      <c r="H51" s="106"/>
      <c r="I51" s="106"/>
      <c r="J51" s="106"/>
      <c r="K51" s="106"/>
      <c r="L51" s="106"/>
      <c r="M51" s="106"/>
      <c r="N51" s="106"/>
    </row>
    <row r="52" spans="8:14">
      <c r="H52" s="106"/>
      <c r="I52" s="106"/>
      <c r="J52" s="106"/>
      <c r="K52" s="106"/>
      <c r="L52" s="106"/>
      <c r="M52" s="106"/>
      <c r="N52" s="106"/>
    </row>
    <row r="53" spans="8:14">
      <c r="H53" s="106"/>
      <c r="I53" s="106"/>
      <c r="J53" s="106"/>
      <c r="K53" s="106"/>
      <c r="L53" s="106"/>
      <c r="M53" s="106"/>
      <c r="N53" s="106"/>
    </row>
    <row r="54" spans="8:14">
      <c r="H54" s="106"/>
      <c r="I54" s="106"/>
      <c r="J54" s="106"/>
      <c r="K54" s="106"/>
      <c r="L54" s="106"/>
      <c r="M54" s="106"/>
      <c r="N54" s="106"/>
    </row>
    <row r="55" spans="8:14">
      <c r="H55" s="106"/>
      <c r="I55" s="106"/>
      <c r="J55" s="106"/>
      <c r="K55" s="106"/>
      <c r="L55" s="106"/>
      <c r="M55" s="106"/>
      <c r="N55" s="106"/>
    </row>
    <row r="56" spans="8:14">
      <c r="H56" s="106"/>
      <c r="I56" s="106"/>
      <c r="J56" s="106"/>
      <c r="K56" s="106"/>
      <c r="L56" s="106"/>
      <c r="M56" s="106"/>
      <c r="N56" s="106"/>
    </row>
  </sheetData>
  <mergeCells count="2">
    <mergeCell ref="A4:N4"/>
    <mergeCell ref="A5:N5"/>
  </mergeCells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22B8C-52BC-4F68-85FE-786922A24539}">
  <sheetPr>
    <pageSetUpPr fitToPage="1"/>
  </sheetPr>
  <dimension ref="A1:AA108"/>
  <sheetViews>
    <sheetView workbookViewId="0">
      <selection activeCell="AA92" sqref="AA92"/>
    </sheetView>
  </sheetViews>
  <sheetFormatPr defaultColWidth="8.6796875" defaultRowHeight="15"/>
  <cols>
    <col min="1" max="1" width="10.54296875" style="57" customWidth="1"/>
    <col min="2" max="2" width="1.76953125" style="57" customWidth="1"/>
    <col min="3" max="3" width="8.6796875" style="57"/>
    <col min="4" max="4" width="2.453125" style="57" customWidth="1"/>
    <col min="5" max="5" width="8.6796875" style="57"/>
    <col min="6" max="6" width="1.453125" style="57" customWidth="1"/>
    <col min="7" max="7" width="8.6796875" style="57"/>
    <col min="8" max="8" width="1.31640625" style="57" customWidth="1"/>
    <col min="9" max="9" width="8.6796875" style="57"/>
    <col min="10" max="10" width="1.54296875" style="57" customWidth="1"/>
    <col min="11" max="11" width="8.6796875" style="57"/>
    <col min="12" max="12" width="1.08984375" style="57" customWidth="1"/>
    <col min="13" max="13" width="8.6796875" style="57"/>
    <col min="14" max="14" width="1.54296875" style="57" customWidth="1"/>
    <col min="15" max="15" width="8.6796875" style="57"/>
    <col min="16" max="16" width="2" style="57" customWidth="1"/>
    <col min="17" max="17" width="8.6796875" style="57"/>
    <col min="18" max="18" width="1.6796875" style="57" customWidth="1"/>
    <col min="19" max="19" width="8.6796875" style="57"/>
    <col min="20" max="20" width="1.54296875" style="57" customWidth="1"/>
    <col min="21" max="21" width="8.6796875" style="57"/>
    <col min="22" max="22" width="1.6796875" style="57" customWidth="1"/>
    <col min="23" max="23" width="8.6796875" style="57"/>
    <col min="24" max="24" width="2.08984375" style="57" customWidth="1"/>
    <col min="25" max="25" width="8.6796875" style="57"/>
    <col min="26" max="26" width="1" style="57" customWidth="1"/>
    <col min="27" max="16384" width="8.6796875" style="57"/>
  </cols>
  <sheetData>
    <row r="1" spans="1:27">
      <c r="Y1" s="58" t="str">
        <f>+'DCP-15, P2'!N1</f>
        <v>Exh. DCP-15</v>
      </c>
    </row>
    <row r="2" spans="1:27">
      <c r="Y2" s="58" t="s">
        <v>104</v>
      </c>
    </row>
    <row r="4" spans="1:27" ht="17.7">
      <c r="A4" s="197" t="s">
        <v>373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</row>
    <row r="5" spans="1:27" ht="17.7">
      <c r="A5" s="197" t="s">
        <v>413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</row>
    <row r="6" spans="1:27" ht="15.3" thickBo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</row>
    <row r="7" spans="1:27" ht="15.3" thickTop="1"/>
    <row r="8" spans="1:27">
      <c r="G8" s="59" t="s">
        <v>414</v>
      </c>
      <c r="I8" s="59" t="s">
        <v>415</v>
      </c>
      <c r="K8" s="59" t="s">
        <v>416</v>
      </c>
      <c r="M8" s="59" t="s">
        <v>417</v>
      </c>
      <c r="U8" s="59" t="s">
        <v>414</v>
      </c>
      <c r="W8" s="59" t="s">
        <v>415</v>
      </c>
      <c r="Y8" s="59" t="s">
        <v>416</v>
      </c>
      <c r="AA8" s="59" t="s">
        <v>417</v>
      </c>
    </row>
    <row r="9" spans="1:27">
      <c r="E9" s="59" t="s">
        <v>418</v>
      </c>
      <c r="G9" s="59" t="s">
        <v>419</v>
      </c>
      <c r="I9" s="59" t="s">
        <v>419</v>
      </c>
      <c r="K9" s="59" t="s">
        <v>419</v>
      </c>
      <c r="M9" s="59" t="s">
        <v>419</v>
      </c>
      <c r="S9" s="59" t="s">
        <v>418</v>
      </c>
      <c r="U9" s="59" t="s">
        <v>419</v>
      </c>
      <c r="W9" s="59" t="s">
        <v>419</v>
      </c>
      <c r="Y9" s="59" t="s">
        <v>419</v>
      </c>
      <c r="AA9" s="59" t="s">
        <v>419</v>
      </c>
    </row>
    <row r="10" spans="1:27">
      <c r="E10" s="59" t="s">
        <v>196</v>
      </c>
      <c r="G10" s="59" t="s">
        <v>196</v>
      </c>
      <c r="I10" s="59" t="s">
        <v>196</v>
      </c>
      <c r="K10" s="59" t="s">
        <v>196</v>
      </c>
      <c r="M10" s="59" t="s">
        <v>196</v>
      </c>
      <c r="S10" s="59" t="s">
        <v>196</v>
      </c>
      <c r="U10" s="59" t="s">
        <v>196</v>
      </c>
      <c r="W10" s="59" t="s">
        <v>196</v>
      </c>
      <c r="Y10" s="59" t="s">
        <v>196</v>
      </c>
      <c r="AA10" s="59" t="s">
        <v>196</v>
      </c>
    </row>
    <row r="11" spans="1:27">
      <c r="A11" s="57" t="s">
        <v>420</v>
      </c>
      <c r="C11" s="106" t="s">
        <v>421</v>
      </c>
      <c r="E11" s="59" t="s">
        <v>421</v>
      </c>
      <c r="F11" s="59"/>
      <c r="G11" s="59" t="s">
        <v>421</v>
      </c>
      <c r="H11" s="59"/>
      <c r="I11" s="59" t="s">
        <v>421</v>
      </c>
      <c r="J11" s="59"/>
      <c r="K11" s="59" t="s">
        <v>421</v>
      </c>
      <c r="M11" s="59" t="s">
        <v>421</v>
      </c>
      <c r="Q11" s="106" t="s">
        <v>421</v>
      </c>
      <c r="S11" s="59" t="s">
        <v>421</v>
      </c>
      <c r="T11" s="59"/>
      <c r="U11" s="59" t="s">
        <v>421</v>
      </c>
      <c r="V11" s="59"/>
      <c r="W11" s="59" t="s">
        <v>421</v>
      </c>
      <c r="X11" s="59"/>
      <c r="Y11" s="59" t="s">
        <v>421</v>
      </c>
      <c r="AA11" s="59" t="s">
        <v>421</v>
      </c>
    </row>
    <row r="12" spans="1:27">
      <c r="A12" s="104"/>
      <c r="B12" s="104"/>
      <c r="C12" s="133"/>
      <c r="D12" s="164"/>
      <c r="E12" s="164"/>
      <c r="F12" s="165"/>
      <c r="G12" s="164"/>
      <c r="H12" s="165"/>
      <c r="I12" s="165"/>
      <c r="J12" s="165"/>
      <c r="K12" s="16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</row>
    <row r="13" spans="1:27">
      <c r="C13" s="106"/>
      <c r="E13" s="59"/>
      <c r="F13" s="59"/>
      <c r="G13" s="59"/>
      <c r="H13" s="59"/>
      <c r="I13" s="59"/>
      <c r="J13" s="59"/>
    </row>
    <row r="14" spans="1:27">
      <c r="A14" s="102">
        <v>2011</v>
      </c>
      <c r="C14" s="106"/>
      <c r="E14" s="59"/>
      <c r="F14" s="59"/>
      <c r="G14" s="59"/>
      <c r="H14" s="59"/>
      <c r="I14" s="59"/>
      <c r="J14" s="59"/>
      <c r="K14" s="111"/>
      <c r="O14" s="102">
        <v>2017</v>
      </c>
      <c r="Q14" s="106"/>
      <c r="S14" s="59"/>
      <c r="T14" s="59"/>
      <c r="U14" s="59"/>
      <c r="V14" s="59"/>
      <c r="W14" s="59"/>
      <c r="X14" s="59"/>
      <c r="Y14" s="111"/>
    </row>
    <row r="15" spans="1:27">
      <c r="A15" s="59" t="s">
        <v>94</v>
      </c>
      <c r="C15" s="106">
        <v>5.57E-2</v>
      </c>
      <c r="E15" s="59"/>
      <c r="F15" s="59"/>
      <c r="G15" s="59"/>
      <c r="H15" s="59"/>
      <c r="I15" s="59"/>
      <c r="J15" s="59"/>
      <c r="K15" s="111"/>
      <c r="O15" s="59" t="s">
        <v>94</v>
      </c>
      <c r="Q15" s="106">
        <v>4.1399999999999999E-2</v>
      </c>
      <c r="S15" s="59"/>
      <c r="T15" s="59"/>
      <c r="U15" s="59"/>
      <c r="V15" s="59"/>
      <c r="W15" s="59"/>
      <c r="X15" s="59"/>
      <c r="Y15" s="111"/>
    </row>
    <row r="16" spans="1:27">
      <c r="A16" s="59" t="s">
        <v>95</v>
      </c>
      <c r="C16" s="106">
        <v>5.6800000000000003E-2</v>
      </c>
      <c r="E16" s="59"/>
      <c r="F16" s="59"/>
      <c r="G16" s="59"/>
      <c r="H16" s="59"/>
      <c r="I16" s="59"/>
      <c r="J16" s="59"/>
      <c r="K16" s="111"/>
      <c r="O16" s="59" t="s">
        <v>95</v>
      </c>
      <c r="Q16" s="106">
        <v>4.1799999999999997E-2</v>
      </c>
      <c r="S16" s="59"/>
      <c r="T16" s="59"/>
      <c r="U16" s="59"/>
      <c r="V16" s="59"/>
      <c r="W16" s="59"/>
      <c r="X16" s="59"/>
      <c r="Y16" s="111"/>
    </row>
    <row r="17" spans="1:27">
      <c r="A17" s="59" t="s">
        <v>96</v>
      </c>
      <c r="C17" s="106">
        <v>5.5599999999999997E-2</v>
      </c>
      <c r="E17" s="59"/>
      <c r="F17" s="59"/>
      <c r="G17" s="59"/>
      <c r="H17" s="59"/>
      <c r="I17" s="59"/>
      <c r="J17" s="59"/>
      <c r="K17" s="111"/>
      <c r="O17" s="59" t="s">
        <v>96</v>
      </c>
      <c r="Q17" s="106">
        <v>4.2299999999999997E-2</v>
      </c>
      <c r="S17" s="59"/>
      <c r="T17" s="59"/>
      <c r="U17" s="59"/>
      <c r="V17" s="59"/>
      <c r="W17" s="59"/>
      <c r="X17" s="59"/>
      <c r="Y17" s="111"/>
    </row>
    <row r="18" spans="1:27">
      <c r="A18" s="59" t="s">
        <v>97</v>
      </c>
      <c r="C18" s="106">
        <v>5.5500000000000001E-2</v>
      </c>
      <c r="E18" s="59"/>
      <c r="F18" s="59"/>
      <c r="G18" s="59"/>
      <c r="H18" s="59"/>
      <c r="I18" s="59"/>
      <c r="J18" s="59"/>
      <c r="K18" s="111"/>
      <c r="O18" s="59" t="s">
        <v>97</v>
      </c>
      <c r="Q18" s="106">
        <v>4.1200000000000001E-2</v>
      </c>
      <c r="S18" s="59"/>
      <c r="T18" s="59"/>
      <c r="U18" s="59"/>
      <c r="V18" s="59"/>
      <c r="W18" s="59"/>
      <c r="X18" s="59"/>
      <c r="Y18" s="111"/>
    </row>
    <row r="19" spans="1:27">
      <c r="A19" s="59" t="s">
        <v>98</v>
      </c>
      <c r="C19" s="106">
        <v>5.3199999999999997E-2</v>
      </c>
      <c r="E19" s="59"/>
      <c r="F19" s="59"/>
      <c r="G19" s="59"/>
      <c r="H19" s="59"/>
      <c r="I19" s="59"/>
      <c r="J19" s="59"/>
      <c r="K19" s="111"/>
      <c r="O19" s="59" t="s">
        <v>98</v>
      </c>
      <c r="Q19" s="106">
        <v>4.1200000000000001E-2</v>
      </c>
      <c r="S19" s="59"/>
      <c r="T19" s="59"/>
      <c r="U19" s="59"/>
      <c r="V19" s="59"/>
      <c r="W19" s="59"/>
      <c r="X19" s="59"/>
      <c r="Y19" s="111"/>
    </row>
    <row r="20" spans="1:27">
      <c r="A20" s="59" t="s">
        <v>422</v>
      </c>
      <c r="C20" s="106">
        <v>5.2600000000000001E-2</v>
      </c>
      <c r="E20" s="59"/>
      <c r="F20" s="59"/>
      <c r="G20" s="59"/>
      <c r="H20" s="59"/>
      <c r="I20" s="59"/>
      <c r="J20" s="59"/>
      <c r="K20" s="111"/>
      <c r="O20" s="59" t="s">
        <v>422</v>
      </c>
      <c r="Q20" s="106">
        <v>3.9399999999999998E-2</v>
      </c>
      <c r="S20" s="59"/>
      <c r="T20" s="59"/>
      <c r="U20" s="59"/>
      <c r="V20" s="59"/>
      <c r="W20" s="59"/>
      <c r="X20" s="59"/>
      <c r="Y20" s="111"/>
    </row>
    <row r="21" spans="1:27">
      <c r="A21" s="59" t="s">
        <v>423</v>
      </c>
      <c r="C21" s="106">
        <v>5.2699999999999997E-2</v>
      </c>
      <c r="E21" s="59"/>
      <c r="F21" s="59"/>
      <c r="G21" s="59"/>
      <c r="H21" s="59"/>
      <c r="I21" s="59"/>
      <c r="J21" s="59"/>
      <c r="K21" s="111"/>
      <c r="O21" s="59" t="s">
        <v>423</v>
      </c>
      <c r="Q21" s="106">
        <v>3.9899999999999998E-2</v>
      </c>
      <c r="S21" s="59"/>
      <c r="T21" s="59"/>
      <c r="U21" s="59"/>
      <c r="V21" s="59"/>
      <c r="W21" s="59"/>
      <c r="X21" s="59"/>
      <c r="Y21" s="111"/>
    </row>
    <row r="22" spans="1:27">
      <c r="A22" s="59" t="s">
        <v>424</v>
      </c>
      <c r="C22" s="106">
        <v>4.6899999999999997E-2</v>
      </c>
      <c r="E22" s="59"/>
      <c r="F22" s="59"/>
      <c r="G22" s="59"/>
      <c r="H22" s="59"/>
      <c r="I22" s="59"/>
      <c r="J22" s="59"/>
      <c r="K22" s="111"/>
      <c r="O22" s="59" t="s">
        <v>424</v>
      </c>
      <c r="Q22" s="106">
        <v>3.8600000000000002E-2</v>
      </c>
      <c r="S22" s="59"/>
      <c r="T22" s="59"/>
      <c r="U22" s="59"/>
      <c r="V22" s="59"/>
      <c r="W22" s="59"/>
      <c r="X22" s="59"/>
      <c r="Y22" s="111"/>
    </row>
    <row r="23" spans="1:27">
      <c r="A23" s="59" t="s">
        <v>425</v>
      </c>
      <c r="C23" s="106">
        <v>4.48E-2</v>
      </c>
      <c r="E23" s="59"/>
      <c r="F23" s="59"/>
      <c r="G23" s="59"/>
      <c r="H23" s="59"/>
      <c r="I23" s="59"/>
      <c r="J23" s="59"/>
      <c r="K23" s="111"/>
      <c r="O23" s="59" t="s">
        <v>425</v>
      </c>
      <c r="Q23" s="106">
        <v>3.8699999999999998E-2</v>
      </c>
      <c r="S23" s="59"/>
      <c r="T23" s="59"/>
      <c r="U23" s="59"/>
      <c r="V23" s="59"/>
      <c r="W23" s="59"/>
      <c r="X23" s="59"/>
      <c r="Y23" s="111"/>
    </row>
    <row r="24" spans="1:27">
      <c r="A24" s="59" t="s">
        <v>426</v>
      </c>
      <c r="C24" s="106">
        <v>4.5199999999999997E-2</v>
      </c>
      <c r="E24" s="59"/>
      <c r="F24" s="59"/>
      <c r="G24" s="59"/>
      <c r="H24" s="59"/>
      <c r="I24" s="59"/>
      <c r="J24" s="59"/>
      <c r="K24" s="111"/>
      <c r="O24" s="59" t="s">
        <v>426</v>
      </c>
      <c r="Q24" s="106">
        <v>3.9100000000000003E-2</v>
      </c>
      <c r="S24" s="59"/>
      <c r="T24" s="59"/>
      <c r="U24" s="59"/>
      <c r="V24" s="59"/>
      <c r="W24" s="59"/>
      <c r="X24" s="59"/>
      <c r="Y24" s="111"/>
    </row>
    <row r="25" spans="1:27">
      <c r="A25" s="59" t="s">
        <v>427</v>
      </c>
      <c r="C25" s="106">
        <v>4.2500000000000003E-2</v>
      </c>
      <c r="E25" s="59"/>
      <c r="F25" s="59"/>
      <c r="G25" s="59"/>
      <c r="H25" s="59"/>
      <c r="I25" s="59"/>
      <c r="J25" s="59"/>
      <c r="K25" s="111"/>
      <c r="O25" s="59" t="s">
        <v>427</v>
      </c>
      <c r="Q25" s="106">
        <v>3.8300000000000001E-2</v>
      </c>
      <c r="S25" s="59"/>
      <c r="T25" s="59"/>
      <c r="U25" s="59"/>
      <c r="V25" s="59"/>
      <c r="W25" s="59"/>
      <c r="X25" s="59"/>
      <c r="Y25" s="111"/>
    </row>
    <row r="26" spans="1:27">
      <c r="A26" s="59" t="s">
        <v>428</v>
      </c>
      <c r="C26" s="106">
        <v>4.3299999999999998E-2</v>
      </c>
      <c r="E26" s="106">
        <f>AVERAGE(C15:C26)</f>
        <v>5.04E-2</v>
      </c>
      <c r="F26" s="59"/>
      <c r="G26" s="106"/>
      <c r="H26" s="59"/>
      <c r="I26" s="106"/>
      <c r="J26" s="59"/>
      <c r="K26" s="107"/>
      <c r="M26" s="112"/>
      <c r="O26" s="59" t="s">
        <v>428</v>
      </c>
      <c r="Q26" s="106">
        <v>3.7900000000000003E-2</v>
      </c>
      <c r="S26" s="106">
        <f>AVERAGE(Q15:Q26)</f>
        <v>3.9983333333333336E-2</v>
      </c>
      <c r="T26" s="59"/>
      <c r="U26" s="106">
        <f>AVERAGE(C89:C91,Q15:Q23)</f>
        <v>4.0475000000000004E-2</v>
      </c>
      <c r="V26" s="59"/>
      <c r="W26" s="106">
        <f>AVERAGE(C86:C91,Q15:Q20)</f>
        <v>3.9725000000000003E-2</v>
      </c>
      <c r="X26" s="59"/>
      <c r="Y26" s="106">
        <f>AVERAGE(C83:C91,Q15:Q17)</f>
        <v>3.9333333333333338E-2</v>
      </c>
      <c r="Z26" s="59"/>
      <c r="AA26" s="112">
        <f>AVERAGE(C80:C91)</f>
        <v>3.9325000000000006E-2</v>
      </c>
    </row>
    <row r="27" spans="1:27">
      <c r="A27" s="102">
        <v>2012</v>
      </c>
      <c r="C27" s="106"/>
      <c r="E27" s="59"/>
      <c r="F27" s="59"/>
      <c r="G27" s="59"/>
      <c r="H27" s="59"/>
      <c r="I27" s="59"/>
      <c r="J27" s="59"/>
      <c r="K27" s="111"/>
      <c r="O27" s="102">
        <v>2018</v>
      </c>
      <c r="Q27" s="106"/>
      <c r="S27" s="59"/>
      <c r="T27" s="59"/>
      <c r="U27" s="59"/>
      <c r="V27" s="59"/>
      <c r="W27" s="59"/>
      <c r="X27" s="59"/>
      <c r="Y27" s="59"/>
      <c r="Z27" s="59"/>
    </row>
    <row r="28" spans="1:27">
      <c r="A28" s="59" t="s">
        <v>94</v>
      </c>
      <c r="C28" s="106">
        <v>4.3400000000000001E-2</v>
      </c>
      <c r="E28" s="59"/>
      <c r="F28" s="59"/>
      <c r="G28" s="59"/>
      <c r="H28" s="59"/>
      <c r="I28" s="59"/>
      <c r="J28" s="59"/>
      <c r="K28" s="111"/>
      <c r="O28" s="59" t="s">
        <v>94</v>
      </c>
      <c r="Q28" s="106">
        <v>3.8600000000000002E-2</v>
      </c>
      <c r="S28" s="59"/>
      <c r="T28" s="59"/>
      <c r="U28" s="59"/>
      <c r="V28" s="59"/>
      <c r="W28" s="59"/>
      <c r="X28" s="59"/>
      <c r="Y28" s="59"/>
      <c r="Z28" s="59"/>
    </row>
    <row r="29" spans="1:27">
      <c r="A29" s="59" t="s">
        <v>95</v>
      </c>
      <c r="C29" s="106">
        <v>4.36E-2</v>
      </c>
      <c r="E29" s="59"/>
      <c r="F29" s="59"/>
      <c r="G29" s="59"/>
      <c r="H29" s="59"/>
      <c r="I29" s="59"/>
      <c r="J29" s="59"/>
      <c r="K29" s="111"/>
      <c r="O29" s="59" t="s">
        <v>95</v>
      </c>
      <c r="Q29" s="106">
        <v>4.0899999999999999E-2</v>
      </c>
      <c r="S29" s="59"/>
      <c r="T29" s="59"/>
      <c r="U29" s="59"/>
      <c r="V29" s="59"/>
      <c r="W29" s="59"/>
      <c r="X29" s="59"/>
      <c r="Y29" s="59"/>
      <c r="Z29" s="59"/>
    </row>
    <row r="30" spans="1:27">
      <c r="A30" s="59" t="s">
        <v>96</v>
      </c>
      <c r="C30" s="106">
        <v>4.48E-2</v>
      </c>
      <c r="E30" s="59"/>
      <c r="F30" s="59"/>
      <c r="G30" s="59"/>
      <c r="H30" s="59"/>
      <c r="I30" s="59"/>
      <c r="J30" s="59"/>
      <c r="K30" s="111"/>
      <c r="O30" s="59" t="s">
        <v>96</v>
      </c>
      <c r="Q30" s="106">
        <v>4.1300000000000003E-2</v>
      </c>
      <c r="S30" s="59"/>
      <c r="T30" s="59"/>
      <c r="U30" s="59"/>
      <c r="V30" s="59"/>
      <c r="W30" s="59"/>
      <c r="X30" s="59"/>
      <c r="Y30" s="59"/>
      <c r="Z30" s="59"/>
    </row>
    <row r="31" spans="1:27">
      <c r="A31" s="59" t="s">
        <v>97</v>
      </c>
      <c r="C31" s="106">
        <v>4.3999999999999997E-2</v>
      </c>
      <c r="E31" s="59"/>
      <c r="F31" s="59"/>
      <c r="G31" s="59"/>
      <c r="H31" s="59"/>
      <c r="I31" s="59"/>
      <c r="J31" s="59"/>
      <c r="K31" s="111"/>
      <c r="O31" s="59" t="s">
        <v>97</v>
      </c>
      <c r="Q31" s="106">
        <v>4.1700000000000001E-2</v>
      </c>
      <c r="S31" s="59"/>
      <c r="T31" s="59"/>
      <c r="U31" s="59"/>
      <c r="V31" s="59"/>
      <c r="W31" s="59"/>
      <c r="X31" s="59"/>
      <c r="Y31" s="59"/>
      <c r="Z31" s="59"/>
    </row>
    <row r="32" spans="1:27">
      <c r="A32" s="59" t="s">
        <v>98</v>
      </c>
      <c r="C32" s="106">
        <v>4.2000000000000003E-2</v>
      </c>
      <c r="E32" s="59"/>
      <c r="F32" s="59"/>
      <c r="G32" s="59"/>
      <c r="H32" s="59"/>
      <c r="I32" s="59"/>
      <c r="J32" s="59"/>
      <c r="K32" s="111"/>
      <c r="O32" s="59" t="s">
        <v>98</v>
      </c>
      <c r="Q32" s="106">
        <v>4.2799999999999998E-2</v>
      </c>
      <c r="S32" s="59"/>
      <c r="T32" s="59"/>
      <c r="U32" s="59"/>
      <c r="V32" s="59"/>
      <c r="W32" s="59"/>
      <c r="X32" s="59"/>
      <c r="Y32" s="59"/>
      <c r="Z32" s="59"/>
    </row>
    <row r="33" spans="1:27">
      <c r="A33" s="59" t="s">
        <v>422</v>
      </c>
      <c r="C33" s="106">
        <v>4.0800000000000003E-2</v>
      </c>
      <c r="E33" s="59"/>
      <c r="F33" s="59"/>
      <c r="G33" s="59"/>
      <c r="H33" s="59"/>
      <c r="I33" s="59"/>
      <c r="J33" s="59"/>
      <c r="K33" s="111"/>
      <c r="O33" s="59" t="s">
        <v>422</v>
      </c>
      <c r="Q33" s="106">
        <v>4.2700000000000002E-2</v>
      </c>
      <c r="S33" s="59"/>
      <c r="T33" s="59"/>
      <c r="U33" s="59"/>
      <c r="V33" s="59"/>
      <c r="W33" s="59"/>
      <c r="X33" s="59"/>
      <c r="Y33" s="59"/>
      <c r="Z33" s="59"/>
    </row>
    <row r="34" spans="1:27">
      <c r="A34" s="59" t="s">
        <v>423</v>
      </c>
      <c r="C34" s="106">
        <v>3.9300000000000002E-2</v>
      </c>
      <c r="E34" s="59"/>
      <c r="F34" s="59"/>
      <c r="G34" s="59"/>
      <c r="H34" s="59"/>
      <c r="I34" s="59"/>
      <c r="J34" s="59"/>
      <c r="K34" s="111"/>
      <c r="O34" s="59" t="s">
        <v>423</v>
      </c>
      <c r="Q34" s="106">
        <v>4.2700000000000002E-2</v>
      </c>
      <c r="S34" s="59"/>
      <c r="T34" s="59"/>
      <c r="U34" s="59"/>
      <c r="V34" s="59"/>
      <c r="W34" s="59"/>
      <c r="X34" s="59"/>
      <c r="Y34" s="59"/>
      <c r="Z34" s="59"/>
    </row>
    <row r="35" spans="1:27">
      <c r="A35" s="59" t="s">
        <v>424</v>
      </c>
      <c r="C35" s="106">
        <v>0.04</v>
      </c>
      <c r="E35" s="59"/>
      <c r="F35" s="59"/>
      <c r="G35" s="59"/>
      <c r="H35" s="59"/>
      <c r="I35" s="59"/>
      <c r="J35" s="59"/>
      <c r="K35" s="111"/>
      <c r="O35" s="59" t="s">
        <v>424</v>
      </c>
      <c r="Q35" s="106">
        <v>4.2599999999999999E-2</v>
      </c>
      <c r="S35" s="59"/>
      <c r="T35" s="59"/>
      <c r="U35" s="59"/>
      <c r="V35" s="59"/>
      <c r="W35" s="59"/>
      <c r="X35" s="59"/>
      <c r="Y35" s="59"/>
      <c r="Z35" s="59"/>
    </row>
    <row r="36" spans="1:27">
      <c r="A36" s="59" t="s">
        <v>425</v>
      </c>
      <c r="C36" s="106">
        <v>4.02E-2</v>
      </c>
      <c r="E36" s="59"/>
      <c r="F36" s="59"/>
      <c r="G36" s="59"/>
      <c r="H36" s="59"/>
      <c r="I36" s="59"/>
      <c r="J36" s="59"/>
      <c r="K36" s="111"/>
      <c r="O36" s="59" t="s">
        <v>425</v>
      </c>
      <c r="Q36" s="106">
        <v>4.3200000000000002E-2</v>
      </c>
      <c r="S36" s="59"/>
      <c r="T36" s="59"/>
      <c r="U36" s="59"/>
      <c r="V36" s="59"/>
      <c r="W36" s="59"/>
      <c r="X36" s="59"/>
      <c r="Y36" s="59"/>
      <c r="Z36" s="59"/>
    </row>
    <row r="37" spans="1:27">
      <c r="A37" s="59" t="s">
        <v>426</v>
      </c>
      <c r="C37" s="106">
        <v>3.9100000000000003E-2</v>
      </c>
      <c r="E37" s="59"/>
      <c r="F37" s="59"/>
      <c r="G37" s="59"/>
      <c r="H37" s="59"/>
      <c r="I37" s="59"/>
      <c r="J37" s="59"/>
      <c r="K37" s="111"/>
      <c r="O37" s="59" t="s">
        <v>426</v>
      </c>
      <c r="Q37" s="106">
        <v>4.4499999999999998E-2</v>
      </c>
      <c r="S37" s="59"/>
      <c r="T37" s="59"/>
      <c r="U37" s="59"/>
      <c r="V37" s="59"/>
      <c r="W37" s="59"/>
      <c r="X37" s="59"/>
      <c r="Y37" s="59"/>
      <c r="Z37" s="59"/>
    </row>
    <row r="38" spans="1:27">
      <c r="A38" s="59" t="s">
        <v>427</v>
      </c>
      <c r="C38" s="106">
        <v>3.8399999999999997E-2</v>
      </c>
      <c r="E38" s="59"/>
      <c r="F38" s="59"/>
      <c r="G38" s="59"/>
      <c r="H38" s="59"/>
      <c r="I38" s="59"/>
      <c r="J38" s="59"/>
      <c r="K38" s="111"/>
      <c r="O38" s="59" t="s">
        <v>427</v>
      </c>
      <c r="Q38" s="106">
        <v>4.5199999999999997E-2</v>
      </c>
      <c r="S38" s="59"/>
      <c r="T38" s="59"/>
      <c r="U38" s="59"/>
      <c r="V38" s="59"/>
      <c r="W38" s="59"/>
      <c r="X38" s="59"/>
      <c r="Y38" s="59"/>
      <c r="Z38" s="59"/>
    </row>
    <row r="39" spans="1:27">
      <c r="A39" s="59" t="s">
        <v>428</v>
      </c>
      <c r="C39" s="106">
        <v>0.04</v>
      </c>
      <c r="E39" s="106">
        <f>AVERAGE(C28:C39)</f>
        <v>4.1300000000000003E-2</v>
      </c>
      <c r="F39" s="59"/>
      <c r="G39" s="106">
        <f>AVERAGE(C24:C36)</f>
        <v>4.242499999999999E-2</v>
      </c>
      <c r="H39" s="59"/>
      <c r="I39" s="106">
        <f>AVERAGE(C21:C33)</f>
        <v>4.4499999999999991E-2</v>
      </c>
      <c r="J39" s="59"/>
      <c r="K39" s="106">
        <f>AVERAGE(C18:C30)</f>
        <v>4.7375E-2</v>
      </c>
      <c r="M39" s="106">
        <f>AVERAGE(C15:C26)</f>
        <v>5.04E-2</v>
      </c>
      <c r="O39" s="59" t="s">
        <v>428</v>
      </c>
      <c r="Q39" s="106">
        <v>4.3700000000000003E-2</v>
      </c>
      <c r="S39" s="106">
        <f>AVERAGE(Q28:Q39)</f>
        <v>4.2491666666666671E-2</v>
      </c>
      <c r="T39" s="59"/>
      <c r="U39" s="106">
        <f>AVERAGE(Q24:Q36)</f>
        <v>4.0983333333333337E-2</v>
      </c>
      <c r="V39" s="59"/>
      <c r="W39" s="106">
        <f>AVERAGE(Q21:Q33)</f>
        <v>4.004166666666667E-2</v>
      </c>
      <c r="X39" s="59"/>
      <c r="Y39" s="106">
        <f>AVERAGE(Q18:Q30)</f>
        <v>3.9591666666666671E-2</v>
      </c>
      <c r="Z39" s="59"/>
      <c r="AA39" s="106">
        <f>AVERAGE(Q15:Q26)</f>
        <v>3.9983333333333336E-2</v>
      </c>
    </row>
    <row r="40" spans="1:27">
      <c r="A40" s="102">
        <v>2013</v>
      </c>
      <c r="C40" s="106"/>
      <c r="E40" s="59"/>
      <c r="F40" s="59"/>
      <c r="G40" s="59"/>
      <c r="H40" s="59"/>
      <c r="I40" s="59"/>
      <c r="J40" s="59"/>
      <c r="K40" s="111"/>
      <c r="O40" s="102">
        <v>2019</v>
      </c>
      <c r="Q40" s="106"/>
      <c r="S40" s="59"/>
      <c r="T40" s="59"/>
      <c r="U40" s="59"/>
      <c r="V40" s="59"/>
      <c r="W40" s="59"/>
      <c r="X40" s="59"/>
    </row>
    <row r="41" spans="1:27">
      <c r="A41" s="59" t="s">
        <v>94</v>
      </c>
      <c r="C41" s="106">
        <v>4.1500000000000002E-2</v>
      </c>
      <c r="E41" s="59"/>
      <c r="F41" s="59"/>
      <c r="G41" s="59"/>
      <c r="H41" s="59"/>
      <c r="I41" s="59"/>
      <c r="J41" s="59"/>
      <c r="K41" s="111"/>
      <c r="O41" s="59" t="s">
        <v>94</v>
      </c>
      <c r="Q41" s="106">
        <v>4.3499999999999997E-2</v>
      </c>
      <c r="S41" s="59"/>
      <c r="T41" s="59"/>
      <c r="U41" s="59"/>
      <c r="V41" s="59"/>
      <c r="W41" s="59"/>
      <c r="X41" s="59"/>
    </row>
    <row r="42" spans="1:27">
      <c r="A42" s="59" t="s">
        <v>95</v>
      </c>
      <c r="C42" s="106">
        <v>4.1799999999999997E-2</v>
      </c>
      <c r="E42" s="59"/>
      <c r="F42" s="59"/>
      <c r="G42" s="59"/>
      <c r="H42" s="59"/>
      <c r="I42" s="59"/>
      <c r="J42" s="59"/>
      <c r="K42" s="111"/>
      <c r="O42" s="59" t="s">
        <v>95</v>
      </c>
      <c r="Q42" s="106">
        <v>4.2500000000000003E-2</v>
      </c>
      <c r="S42" s="59"/>
      <c r="T42" s="59"/>
      <c r="U42" s="59"/>
      <c r="V42" s="59"/>
      <c r="W42" s="59"/>
      <c r="X42" s="59"/>
    </row>
    <row r="43" spans="1:27">
      <c r="A43" s="59" t="s">
        <v>96</v>
      </c>
      <c r="C43" s="106">
        <v>4.2000000000000003E-2</v>
      </c>
      <c r="E43" s="59"/>
      <c r="F43" s="59"/>
      <c r="G43" s="59"/>
      <c r="H43" s="59"/>
      <c r="I43" s="59"/>
      <c r="J43" s="59"/>
      <c r="K43" s="111"/>
      <c r="O43" s="59" t="s">
        <v>96</v>
      </c>
      <c r="Q43" s="106">
        <v>4.1599999999999998E-2</v>
      </c>
      <c r="S43" s="59"/>
      <c r="T43" s="59"/>
      <c r="U43" s="59"/>
      <c r="V43" s="59"/>
      <c r="W43" s="59"/>
      <c r="X43" s="59"/>
    </row>
    <row r="44" spans="1:27">
      <c r="A44" s="59" t="s">
        <v>97</v>
      </c>
      <c r="C44" s="106">
        <v>0.04</v>
      </c>
      <c r="E44" s="59"/>
      <c r="F44" s="59"/>
      <c r="G44" s="59"/>
      <c r="H44" s="59"/>
      <c r="I44" s="59"/>
      <c r="J44" s="59"/>
      <c r="K44" s="111"/>
      <c r="O44" s="59" t="s">
        <v>97</v>
      </c>
      <c r="Q44" s="106">
        <v>4.0800000000000003E-2</v>
      </c>
      <c r="S44" s="59"/>
      <c r="T44" s="59"/>
      <c r="U44" s="59"/>
      <c r="V44" s="59"/>
      <c r="W44" s="59"/>
      <c r="X44" s="59"/>
    </row>
    <row r="45" spans="1:27">
      <c r="A45" s="59" t="s">
        <v>98</v>
      </c>
      <c r="C45" s="106">
        <v>4.1700000000000001E-2</v>
      </c>
      <c r="E45" s="59"/>
      <c r="F45" s="59"/>
      <c r="G45" s="59"/>
      <c r="H45" s="59"/>
      <c r="I45" s="59"/>
      <c r="J45" s="59"/>
      <c r="K45" s="111"/>
      <c r="O45" s="59" t="s">
        <v>98</v>
      </c>
      <c r="Q45" s="106">
        <v>3.9800000000000002E-2</v>
      </c>
      <c r="S45" s="59"/>
      <c r="T45" s="59"/>
      <c r="U45" s="59"/>
      <c r="V45" s="59"/>
      <c r="W45" s="59"/>
      <c r="X45" s="59"/>
    </row>
    <row r="46" spans="1:27">
      <c r="A46" s="59" t="s">
        <v>422</v>
      </c>
      <c r="C46" s="106">
        <v>4.53E-2</v>
      </c>
      <c r="E46" s="59"/>
      <c r="F46" s="59"/>
      <c r="G46" s="59"/>
      <c r="H46" s="59"/>
      <c r="I46" s="59"/>
      <c r="J46" s="59"/>
      <c r="K46" s="111"/>
      <c r="O46" s="59" t="s">
        <v>422</v>
      </c>
      <c r="Q46" s="106">
        <v>3.8199999999999998E-2</v>
      </c>
      <c r="S46" s="59"/>
      <c r="T46" s="59"/>
      <c r="U46" s="59"/>
      <c r="V46" s="59"/>
      <c r="W46" s="59"/>
      <c r="X46" s="59"/>
    </row>
    <row r="47" spans="1:27">
      <c r="A47" s="59" t="s">
        <v>423</v>
      </c>
      <c r="C47" s="106">
        <v>4.6800000000000001E-2</v>
      </c>
      <c r="E47" s="59"/>
      <c r="F47" s="59"/>
      <c r="G47" s="59"/>
      <c r="H47" s="59"/>
      <c r="I47" s="59"/>
      <c r="J47" s="59"/>
      <c r="K47" s="111"/>
      <c r="O47" s="59" t="s">
        <v>423</v>
      </c>
      <c r="Q47" s="106">
        <v>3.6900000000000002E-2</v>
      </c>
      <c r="S47" s="59"/>
      <c r="T47" s="59"/>
      <c r="U47" s="59"/>
      <c r="V47" s="59"/>
      <c r="W47" s="59"/>
      <c r="X47" s="59"/>
    </row>
    <row r="48" spans="1:27">
      <c r="A48" s="59" t="s">
        <v>424</v>
      </c>
      <c r="C48" s="106">
        <v>4.7300000000000002E-2</v>
      </c>
      <c r="E48" s="59"/>
      <c r="F48" s="59"/>
      <c r="G48" s="59"/>
      <c r="H48" s="59"/>
      <c r="I48" s="59"/>
      <c r="J48" s="59"/>
      <c r="K48" s="111"/>
      <c r="O48" s="59" t="s">
        <v>424</v>
      </c>
      <c r="Q48" s="106">
        <v>3.2899999999999999E-2</v>
      </c>
      <c r="S48" s="59"/>
      <c r="T48" s="59"/>
      <c r="U48" s="59"/>
      <c r="V48" s="59"/>
      <c r="W48" s="59"/>
      <c r="X48" s="59"/>
    </row>
    <row r="49" spans="1:27">
      <c r="A49" s="59" t="s">
        <v>425</v>
      </c>
      <c r="C49" s="106">
        <v>4.8000000000000001E-2</v>
      </c>
      <c r="E49" s="59"/>
      <c r="F49" s="59"/>
      <c r="G49" s="59"/>
      <c r="H49" s="59"/>
      <c r="I49" s="59"/>
      <c r="J49" s="59"/>
      <c r="K49" s="111"/>
      <c r="O49" s="59" t="s">
        <v>425</v>
      </c>
      <c r="Q49" s="106">
        <v>3.3700000000000001E-2</v>
      </c>
      <c r="S49" s="59"/>
      <c r="T49" s="59"/>
      <c r="U49" s="59"/>
      <c r="V49" s="59"/>
      <c r="W49" s="59"/>
      <c r="X49" s="59"/>
    </row>
    <row r="50" spans="1:27">
      <c r="A50" s="59" t="s">
        <v>426</v>
      </c>
      <c r="C50" s="106">
        <v>4.7E-2</v>
      </c>
      <c r="E50" s="59"/>
      <c r="F50" s="59"/>
      <c r="G50" s="59"/>
      <c r="H50" s="59"/>
      <c r="I50" s="59"/>
      <c r="J50" s="59"/>
      <c r="K50" s="111"/>
      <c r="O50" s="59" t="s">
        <v>426</v>
      </c>
      <c r="Q50" s="106">
        <v>3.39E-2</v>
      </c>
      <c r="S50" s="59"/>
      <c r="T50" s="59"/>
      <c r="U50" s="59"/>
      <c r="V50" s="59"/>
      <c r="W50" s="59"/>
      <c r="X50" s="59"/>
    </row>
    <row r="51" spans="1:27">
      <c r="A51" s="59" t="s">
        <v>427</v>
      </c>
      <c r="C51" s="106">
        <v>4.7699999999999999E-2</v>
      </c>
      <c r="E51" s="59"/>
      <c r="F51" s="59"/>
      <c r="G51" s="59"/>
      <c r="H51" s="59"/>
      <c r="I51" s="59"/>
      <c r="J51" s="59"/>
      <c r="K51" s="111"/>
      <c r="O51" s="59" t="s">
        <v>427</v>
      </c>
      <c r="Q51" s="106">
        <v>3.4299999999999997E-2</v>
      </c>
      <c r="S51" s="59"/>
      <c r="T51" s="59"/>
      <c r="U51" s="59"/>
      <c r="V51" s="59"/>
      <c r="W51" s="59"/>
      <c r="X51" s="59"/>
    </row>
    <row r="52" spans="1:27">
      <c r="A52" s="59" t="s">
        <v>428</v>
      </c>
      <c r="C52" s="106">
        <v>4.8099999999999997E-2</v>
      </c>
      <c r="E52" s="106">
        <f>AVERAGE(C41:C52)</f>
        <v>4.476666666666667E-2</v>
      </c>
      <c r="F52" s="59"/>
      <c r="G52" s="106">
        <f>AVERAGE(C37:C49)</f>
        <v>4.2658333333333333E-2</v>
      </c>
      <c r="H52" s="59"/>
      <c r="I52" s="106">
        <f>AVERAGE(C34:C46)</f>
        <v>4.0774999999999999E-2</v>
      </c>
      <c r="J52" s="59"/>
      <c r="K52" s="106">
        <f>AVERAGE(C31:C43)</f>
        <v>4.0758333333333334E-2</v>
      </c>
      <c r="L52" s="59"/>
      <c r="M52" s="106">
        <f>AVERAGE(C28:C39)</f>
        <v>4.1300000000000003E-2</v>
      </c>
      <c r="O52" s="59" t="s">
        <v>428</v>
      </c>
      <c r="Q52" s="106">
        <v>3.4000000000000002E-2</v>
      </c>
      <c r="S52" s="106">
        <f>AVERAGE(Q41:Q52)</f>
        <v>3.7674999999999993E-2</v>
      </c>
      <c r="T52" s="59"/>
      <c r="U52" s="106">
        <f>AVERAGE(Q37:Q49)</f>
        <v>4.0274999999999998E-2</v>
      </c>
      <c r="V52" s="59"/>
      <c r="W52" s="106">
        <f>AVERAGE(Q34:Q46)</f>
        <v>4.2358333333333331E-2</v>
      </c>
      <c r="X52" s="59"/>
      <c r="Y52" s="106">
        <f>AVERAGE(Q31:Q43)</f>
        <v>4.305833333333333E-2</v>
      </c>
      <c r="AA52" s="106">
        <f>AVERAGE(Q28:Q39)</f>
        <v>4.2491666666666671E-2</v>
      </c>
    </row>
    <row r="53" spans="1:27">
      <c r="A53" s="102">
        <v>2014</v>
      </c>
      <c r="C53" s="106"/>
      <c r="E53" s="59"/>
      <c r="F53" s="59"/>
      <c r="G53" s="59"/>
      <c r="H53" s="59"/>
      <c r="I53" s="59"/>
      <c r="J53" s="59"/>
      <c r="K53" s="111"/>
      <c r="O53" s="102">
        <v>2020</v>
      </c>
      <c r="Q53" s="106"/>
      <c r="S53" s="59"/>
      <c r="T53" s="59"/>
      <c r="U53" s="59"/>
      <c r="V53" s="59"/>
      <c r="W53" s="59"/>
      <c r="X53" s="59"/>
    </row>
    <row r="54" spans="1:27">
      <c r="A54" s="59" t="s">
        <v>94</v>
      </c>
      <c r="C54" s="106">
        <v>4.6300000000000001E-2</v>
      </c>
      <c r="E54" s="59"/>
      <c r="F54" s="59"/>
      <c r="G54" s="59"/>
      <c r="H54" s="59"/>
      <c r="I54" s="59"/>
      <c r="J54" s="59"/>
      <c r="K54" s="111"/>
      <c r="O54" s="59" t="s">
        <v>94</v>
      </c>
      <c r="Q54" s="106">
        <v>3.2899999999999999E-2</v>
      </c>
      <c r="S54" s="59"/>
      <c r="T54" s="59"/>
      <c r="U54" s="59"/>
      <c r="V54" s="59"/>
      <c r="W54" s="59"/>
      <c r="X54" s="59"/>
    </row>
    <row r="55" spans="1:27">
      <c r="A55" s="59" t="s">
        <v>95</v>
      </c>
      <c r="C55" s="106">
        <v>4.53E-2</v>
      </c>
      <c r="E55" s="59"/>
      <c r="F55" s="59"/>
      <c r="G55" s="59"/>
      <c r="H55" s="59"/>
      <c r="I55" s="59"/>
      <c r="J55" s="59"/>
      <c r="K55" s="111"/>
      <c r="O55" s="59" t="s">
        <v>95</v>
      </c>
      <c r="Q55" s="106">
        <v>3.1099999999999999E-2</v>
      </c>
      <c r="S55" s="59"/>
      <c r="T55" s="59"/>
      <c r="U55" s="59"/>
      <c r="V55" s="59"/>
      <c r="W55" s="59"/>
      <c r="X55" s="59"/>
    </row>
    <row r="56" spans="1:27">
      <c r="A56" s="59" t="s">
        <v>96</v>
      </c>
      <c r="C56" s="106">
        <v>4.5100000000000001E-2</v>
      </c>
      <c r="E56" s="59"/>
      <c r="F56" s="59"/>
      <c r="G56" s="59"/>
      <c r="H56" s="59"/>
      <c r="I56" s="59"/>
      <c r="J56" s="59"/>
      <c r="K56" s="111"/>
      <c r="O56" s="59" t="s">
        <v>96</v>
      </c>
      <c r="Q56" s="106">
        <v>3.5000000000000003E-2</v>
      </c>
      <c r="S56" s="59"/>
      <c r="T56" s="59"/>
      <c r="U56" s="59"/>
      <c r="V56" s="59"/>
      <c r="W56" s="59"/>
      <c r="X56" s="59"/>
    </row>
    <row r="57" spans="1:27">
      <c r="A57" s="59" t="s">
        <v>97</v>
      </c>
      <c r="C57" s="106">
        <v>4.41E-2</v>
      </c>
      <c r="E57" s="59"/>
      <c r="F57" s="59"/>
      <c r="G57" s="59"/>
      <c r="H57" s="59"/>
      <c r="I57" s="59"/>
      <c r="J57" s="59"/>
      <c r="K57" s="111"/>
      <c r="O57" s="59" t="s">
        <v>97</v>
      </c>
      <c r="Q57" s="106">
        <v>3.1899999999999998E-2</v>
      </c>
      <c r="S57" s="59"/>
      <c r="T57" s="59"/>
      <c r="U57" s="59"/>
      <c r="V57" s="59"/>
      <c r="W57" s="59"/>
      <c r="X57" s="59"/>
    </row>
    <row r="58" spans="1:27">
      <c r="A58" s="59" t="s">
        <v>98</v>
      </c>
      <c r="C58" s="106">
        <v>4.2599999999999999E-2</v>
      </c>
      <c r="E58" s="59"/>
      <c r="F58" s="59"/>
      <c r="G58" s="59"/>
      <c r="H58" s="59"/>
      <c r="I58" s="59"/>
      <c r="J58" s="59"/>
      <c r="K58" s="111"/>
      <c r="O58" s="59" t="s">
        <v>98</v>
      </c>
      <c r="Q58" s="106">
        <v>3.1399999999999997E-2</v>
      </c>
      <c r="S58" s="59"/>
      <c r="T58" s="59"/>
      <c r="U58" s="59"/>
      <c r="V58" s="59"/>
      <c r="W58" s="59"/>
      <c r="X58" s="59"/>
    </row>
    <row r="59" spans="1:27">
      <c r="A59" s="59" t="s">
        <v>422</v>
      </c>
      <c r="C59" s="106">
        <v>4.2900000000000001E-2</v>
      </c>
      <c r="E59" s="59"/>
      <c r="F59" s="59"/>
      <c r="G59" s="59"/>
      <c r="H59" s="59"/>
      <c r="I59" s="59"/>
      <c r="J59" s="59"/>
      <c r="K59" s="111"/>
      <c r="O59" s="59" t="s">
        <v>422</v>
      </c>
      <c r="Q59" s="106">
        <v>3.0700000000000002E-2</v>
      </c>
      <c r="S59" s="59"/>
      <c r="T59" s="59"/>
      <c r="U59" s="59"/>
      <c r="V59" s="59"/>
      <c r="W59" s="59"/>
      <c r="X59" s="59"/>
    </row>
    <row r="60" spans="1:27">
      <c r="A60" s="59" t="s">
        <v>423</v>
      </c>
      <c r="C60" s="106">
        <v>4.2299999999999997E-2</v>
      </c>
      <c r="E60" s="59"/>
      <c r="F60" s="59"/>
      <c r="G60" s="59"/>
      <c r="H60" s="59"/>
      <c r="I60" s="59"/>
      <c r="J60" s="59"/>
      <c r="K60" s="111"/>
      <c r="O60" s="59" t="s">
        <v>423</v>
      </c>
      <c r="Q60" s="106">
        <v>2.7400000000000001E-2</v>
      </c>
      <c r="S60" s="59"/>
      <c r="T60" s="59"/>
      <c r="U60" s="59"/>
      <c r="V60" s="59"/>
      <c r="W60" s="59"/>
      <c r="X60" s="59"/>
    </row>
    <row r="61" spans="1:27">
      <c r="A61" s="59" t="s">
        <v>424</v>
      </c>
      <c r="C61" s="106">
        <v>4.1300000000000003E-2</v>
      </c>
      <c r="E61" s="59"/>
      <c r="F61" s="59"/>
      <c r="G61" s="59"/>
      <c r="H61" s="59"/>
      <c r="I61" s="59"/>
      <c r="J61" s="59"/>
      <c r="K61" s="111"/>
      <c r="O61" s="59" t="s">
        <v>424</v>
      </c>
      <c r="Q61" s="106">
        <v>2.7300000000000001E-2</v>
      </c>
      <c r="S61" s="59"/>
      <c r="T61" s="59"/>
      <c r="U61" s="59"/>
      <c r="V61" s="59"/>
      <c r="W61" s="59"/>
      <c r="X61" s="59"/>
    </row>
    <row r="62" spans="1:27">
      <c r="A62" s="59" t="s">
        <v>425</v>
      </c>
      <c r="C62" s="106">
        <v>4.24E-2</v>
      </c>
      <c r="E62" s="59"/>
      <c r="F62" s="59"/>
      <c r="G62" s="59"/>
      <c r="H62" s="59"/>
      <c r="I62" s="59"/>
      <c r="J62" s="59"/>
      <c r="K62" s="111"/>
      <c r="O62" s="59" t="s">
        <v>425</v>
      </c>
      <c r="Q62" s="106">
        <v>2.8400000000000002E-2</v>
      </c>
      <c r="S62" s="59"/>
      <c r="T62" s="59"/>
      <c r="U62" s="59"/>
      <c r="V62" s="59"/>
      <c r="W62" s="59"/>
      <c r="X62" s="59"/>
    </row>
    <row r="63" spans="1:27">
      <c r="A63" s="59" t="s">
        <v>426</v>
      </c>
      <c r="C63" s="106">
        <v>4.0599999999999997E-2</v>
      </c>
      <c r="E63" s="59"/>
      <c r="F63" s="59"/>
      <c r="G63" s="59"/>
      <c r="H63" s="59"/>
      <c r="I63" s="59"/>
      <c r="J63" s="59"/>
      <c r="K63" s="111"/>
      <c r="O63" s="59" t="s">
        <v>426</v>
      </c>
      <c r="Q63" s="106">
        <v>2.9499999999999998E-2</v>
      </c>
      <c r="S63" s="59"/>
      <c r="T63" s="59"/>
      <c r="U63" s="59"/>
      <c r="V63" s="59"/>
      <c r="W63" s="59"/>
      <c r="X63" s="59"/>
    </row>
    <row r="64" spans="1:27">
      <c r="A64" s="59" t="s">
        <v>427</v>
      </c>
      <c r="C64" s="106">
        <v>4.0899999999999999E-2</v>
      </c>
      <c r="E64" s="59"/>
      <c r="F64" s="59"/>
      <c r="G64" s="59"/>
      <c r="H64" s="59"/>
      <c r="I64" s="59"/>
      <c r="J64" s="59"/>
      <c r="K64" s="111"/>
      <c r="O64" s="59" t="s">
        <v>427</v>
      </c>
      <c r="Q64" s="106">
        <v>2.8500000000000001E-2</v>
      </c>
      <c r="S64" s="59"/>
      <c r="T64" s="59"/>
      <c r="U64" s="59"/>
      <c r="V64" s="59"/>
      <c r="W64" s="59"/>
      <c r="X64" s="59"/>
    </row>
    <row r="65" spans="1:27">
      <c r="A65" s="59" t="s">
        <v>428</v>
      </c>
      <c r="C65" s="106">
        <v>3.95E-2</v>
      </c>
      <c r="E65" s="106">
        <f>AVERAGE(C54:C65)</f>
        <v>4.2775000000000001E-2</v>
      </c>
      <c r="F65" s="59"/>
      <c r="G65" s="106">
        <f>AVERAGE(C50:C62)</f>
        <v>4.4591666666666668E-2</v>
      </c>
      <c r="H65" s="59"/>
      <c r="I65" s="106">
        <f>AVERAGE(C47:C59)</f>
        <v>4.5933333333333333E-2</v>
      </c>
      <c r="J65" s="59"/>
      <c r="K65" s="106">
        <f>AVERAGE(C44:C56)</f>
        <v>4.5716666666666662E-2</v>
      </c>
      <c r="L65" s="59"/>
      <c r="M65" s="106">
        <f>AVERAGE(C41:C52)</f>
        <v>4.476666666666667E-2</v>
      </c>
      <c r="O65" s="59" t="s">
        <v>428</v>
      </c>
      <c r="Q65" s="106">
        <v>2.7699999999999999E-2</v>
      </c>
      <c r="S65" s="106">
        <f>AVERAGE(Q54:Q65)</f>
        <v>3.015E-2</v>
      </c>
      <c r="T65" s="59"/>
      <c r="U65" s="106">
        <f>AVERAGE(Q50:Q62)</f>
        <v>3.1524999999999991E-2</v>
      </c>
      <c r="V65" s="59"/>
      <c r="W65" s="106">
        <f>AVERAGE(Q47:Q59)</f>
        <v>3.3225000000000005E-2</v>
      </c>
      <c r="X65" s="59"/>
      <c r="Y65" s="106">
        <f>AVERAGE(Q44:Q56)</f>
        <v>3.5291666666666666E-2</v>
      </c>
      <c r="Z65" s="59"/>
      <c r="AA65" s="106">
        <f>AVERAGE(Q41:Q52)</f>
        <v>3.7674999999999993E-2</v>
      </c>
    </row>
    <row r="66" spans="1:27">
      <c r="A66" s="102">
        <v>2015</v>
      </c>
      <c r="C66" s="106"/>
      <c r="E66" s="59"/>
      <c r="F66" s="59"/>
      <c r="G66" s="59"/>
      <c r="H66" s="59"/>
      <c r="I66" s="59"/>
      <c r="J66" s="59"/>
      <c r="K66" s="111"/>
      <c r="O66" s="102">
        <v>2021</v>
      </c>
      <c r="Q66" s="106"/>
      <c r="S66" s="106"/>
      <c r="T66" s="59"/>
      <c r="U66" s="106"/>
      <c r="V66" s="59"/>
      <c r="W66" s="106"/>
      <c r="X66" s="59"/>
      <c r="Y66" s="112"/>
    </row>
    <row r="67" spans="1:27">
      <c r="A67" s="59" t="s">
        <v>94</v>
      </c>
      <c r="C67" s="106">
        <v>3.5799999999999998E-2</v>
      </c>
      <c r="E67" s="59"/>
      <c r="F67" s="59"/>
      <c r="G67" s="59"/>
      <c r="H67" s="59"/>
      <c r="I67" s="59"/>
      <c r="J67" s="59"/>
      <c r="K67" s="111"/>
      <c r="O67" s="59" t="s">
        <v>94</v>
      </c>
      <c r="Q67" s="106">
        <v>2.9100000000000001E-2</v>
      </c>
      <c r="S67" s="106"/>
      <c r="T67" s="59"/>
      <c r="U67" s="106"/>
      <c r="V67" s="59"/>
      <c r="W67" s="106"/>
      <c r="X67" s="59"/>
      <c r="Y67" s="112"/>
    </row>
    <row r="68" spans="1:27">
      <c r="A68" s="59" t="s">
        <v>95</v>
      </c>
      <c r="C68" s="106">
        <v>3.6700000000000003E-2</v>
      </c>
      <c r="E68" s="59"/>
      <c r="F68" s="59"/>
      <c r="G68" s="59"/>
      <c r="H68" s="59"/>
      <c r="I68" s="59"/>
      <c r="J68" s="59"/>
      <c r="K68" s="111"/>
      <c r="O68" s="59" t="s">
        <v>95</v>
      </c>
      <c r="Q68" s="106">
        <v>3.09E-2</v>
      </c>
      <c r="S68" s="106"/>
      <c r="T68" s="59"/>
      <c r="U68" s="106"/>
      <c r="V68" s="59"/>
      <c r="W68" s="106"/>
      <c r="X68" s="59"/>
      <c r="Y68" s="112"/>
    </row>
    <row r="69" spans="1:27">
      <c r="A69" s="59" t="s">
        <v>96</v>
      </c>
      <c r="C69" s="106">
        <v>3.7400000000000003E-2</v>
      </c>
      <c r="E69" s="59"/>
      <c r="F69" s="59"/>
      <c r="G69" s="59"/>
      <c r="H69" s="59"/>
      <c r="I69" s="59"/>
      <c r="J69" s="59"/>
      <c r="K69" s="111"/>
      <c r="O69" s="59" t="s">
        <v>96</v>
      </c>
      <c r="Q69" s="106">
        <v>3.44E-2</v>
      </c>
      <c r="S69" s="106"/>
      <c r="T69" s="59"/>
      <c r="U69" s="106"/>
      <c r="V69" s="59"/>
      <c r="W69" s="106"/>
      <c r="X69" s="59"/>
      <c r="Y69" s="112"/>
    </row>
    <row r="70" spans="1:27">
      <c r="A70" s="59" t="s">
        <v>97</v>
      </c>
      <c r="C70" s="106">
        <v>3.7499999999999999E-2</v>
      </c>
      <c r="E70" s="59"/>
      <c r="F70" s="59"/>
      <c r="G70" s="59"/>
      <c r="H70" s="59"/>
      <c r="I70" s="59"/>
      <c r="J70" s="59"/>
      <c r="K70" s="111"/>
      <c r="O70" s="59" t="s">
        <v>97</v>
      </c>
      <c r="Q70" s="106">
        <v>3.3000000000000002E-2</v>
      </c>
      <c r="S70" s="106"/>
      <c r="T70" s="59"/>
      <c r="U70" s="106"/>
      <c r="V70" s="59"/>
      <c r="W70" s="106"/>
      <c r="X70" s="59"/>
      <c r="Y70" s="112"/>
    </row>
    <row r="71" spans="1:27">
      <c r="A71" s="59" t="s">
        <v>98</v>
      </c>
      <c r="C71" s="106">
        <v>4.1700000000000001E-2</v>
      </c>
      <c r="E71" s="59"/>
      <c r="F71" s="59"/>
      <c r="G71" s="59"/>
      <c r="H71" s="59"/>
      <c r="I71" s="59"/>
      <c r="J71" s="59"/>
      <c r="K71" s="111"/>
      <c r="O71" s="59" t="s">
        <v>98</v>
      </c>
      <c r="Q71" s="106">
        <v>3.3300000000000003E-2</v>
      </c>
      <c r="S71" s="106"/>
      <c r="T71" s="59"/>
      <c r="U71" s="106"/>
      <c r="V71" s="59"/>
      <c r="W71" s="106"/>
      <c r="X71" s="59"/>
      <c r="Y71" s="112"/>
    </row>
    <row r="72" spans="1:27">
      <c r="A72" s="59" t="s">
        <v>422</v>
      </c>
      <c r="C72" s="106">
        <v>4.3900000000000002E-2</v>
      </c>
      <c r="E72" s="59"/>
      <c r="F72" s="59"/>
      <c r="G72" s="59"/>
      <c r="H72" s="59"/>
      <c r="I72" s="59"/>
      <c r="J72" s="59"/>
      <c r="K72" s="111"/>
      <c r="O72" s="59" t="s">
        <v>422</v>
      </c>
      <c r="Q72" s="106">
        <v>3.1600000000000003E-2</v>
      </c>
      <c r="S72" s="106"/>
      <c r="T72" s="59"/>
      <c r="U72" s="106"/>
      <c r="V72" s="59"/>
      <c r="W72" s="106"/>
      <c r="X72" s="59"/>
      <c r="Y72" s="112"/>
    </row>
    <row r="73" spans="1:27">
      <c r="A73" s="59" t="s">
        <v>423</v>
      </c>
      <c r="C73" s="106">
        <v>4.3999999999999997E-2</v>
      </c>
      <c r="E73" s="59"/>
      <c r="F73" s="59"/>
      <c r="G73" s="59"/>
      <c r="H73" s="59"/>
      <c r="I73" s="59"/>
      <c r="J73" s="59"/>
      <c r="K73" s="111"/>
      <c r="O73" s="59" t="s">
        <v>423</v>
      </c>
      <c r="Q73" s="106">
        <v>2.9499999999999998E-2</v>
      </c>
      <c r="S73" s="106"/>
      <c r="T73" s="59"/>
      <c r="U73" s="106"/>
      <c r="V73" s="59"/>
      <c r="W73" s="106"/>
      <c r="X73" s="59"/>
      <c r="Y73" s="112"/>
    </row>
    <row r="74" spans="1:27">
      <c r="A74" s="59" t="s">
        <v>424</v>
      </c>
      <c r="C74" s="106">
        <v>4.2500000000000003E-2</v>
      </c>
      <c r="E74" s="59"/>
      <c r="F74" s="59"/>
      <c r="G74" s="59"/>
      <c r="H74" s="59"/>
      <c r="I74" s="59"/>
      <c r="J74" s="59"/>
      <c r="K74" s="111"/>
      <c r="O74" s="59" t="s">
        <v>424</v>
      </c>
      <c r="Q74" s="106">
        <v>2.9499999999999998E-2</v>
      </c>
      <c r="S74" s="106"/>
      <c r="T74" s="59"/>
      <c r="U74" s="106"/>
      <c r="V74" s="59"/>
      <c r="W74" s="106"/>
      <c r="X74" s="59"/>
      <c r="Y74" s="112"/>
    </row>
    <row r="75" spans="1:27">
      <c r="A75" s="59" t="s">
        <v>425</v>
      </c>
      <c r="C75" s="106">
        <v>4.3900000000000002E-2</v>
      </c>
      <c r="E75" s="59"/>
      <c r="F75" s="59"/>
      <c r="G75" s="59"/>
      <c r="H75" s="59"/>
      <c r="I75" s="59"/>
      <c r="J75" s="59"/>
      <c r="K75" s="111"/>
      <c r="O75" s="59" t="s">
        <v>425</v>
      </c>
      <c r="Q75" s="106">
        <v>2.9600000000000001E-2</v>
      </c>
      <c r="S75" s="106"/>
      <c r="T75" s="59"/>
      <c r="U75" s="106"/>
      <c r="V75" s="59"/>
      <c r="W75" s="106"/>
      <c r="X75" s="59"/>
      <c r="Y75" s="112"/>
    </row>
    <row r="76" spans="1:27">
      <c r="A76" s="59" t="s">
        <v>426</v>
      </c>
      <c r="C76" s="106">
        <v>4.2900000000000001E-2</v>
      </c>
      <c r="E76" s="59"/>
      <c r="F76" s="59"/>
      <c r="G76" s="59"/>
      <c r="H76" s="59"/>
      <c r="I76" s="59"/>
      <c r="J76" s="59"/>
      <c r="K76" s="111"/>
      <c r="O76" s="59" t="s">
        <v>426</v>
      </c>
      <c r="Q76" s="106">
        <v>3.09E-2</v>
      </c>
      <c r="S76" s="106"/>
      <c r="T76" s="59"/>
      <c r="U76" s="106"/>
      <c r="V76" s="59"/>
      <c r="W76" s="106"/>
      <c r="X76" s="59"/>
      <c r="Y76" s="112"/>
    </row>
    <row r="77" spans="1:27">
      <c r="A77" s="59" t="s">
        <v>427</v>
      </c>
      <c r="C77" s="106">
        <v>4.3999999999999997E-2</v>
      </c>
      <c r="E77" s="59"/>
      <c r="F77" s="59"/>
      <c r="G77" s="59"/>
      <c r="H77" s="59"/>
      <c r="I77" s="59"/>
      <c r="J77" s="59"/>
      <c r="K77" s="111"/>
      <c r="O77" s="59" t="s">
        <v>427</v>
      </c>
      <c r="Q77" s="106">
        <v>3.0200000000000001E-2</v>
      </c>
      <c r="S77" s="106"/>
      <c r="T77" s="59"/>
      <c r="U77" s="106"/>
      <c r="V77" s="59"/>
      <c r="W77" s="106"/>
      <c r="X77" s="59"/>
      <c r="Y77" s="112"/>
    </row>
    <row r="78" spans="1:27">
      <c r="A78" s="59" t="s">
        <v>428</v>
      </c>
      <c r="C78" s="106">
        <v>4.3499999999999997E-2</v>
      </c>
      <c r="E78" s="106">
        <f>AVERAGE(C67:C78)</f>
        <v>4.1149999999999992E-2</v>
      </c>
      <c r="F78" s="59"/>
      <c r="G78" s="106">
        <f>AVERAGE(C63:C75)</f>
        <v>4.0366666666666662E-2</v>
      </c>
      <c r="H78" s="59"/>
      <c r="I78" s="106">
        <f>AVERAGE(C60:C72)</f>
        <v>0.04</v>
      </c>
      <c r="J78" s="59"/>
      <c r="K78" s="106">
        <f>AVERAGE(C57:C69)</f>
        <v>4.0541666666666663E-2</v>
      </c>
      <c r="L78" s="59"/>
      <c r="M78" s="106">
        <f>AVERAGE(C54:C65)</f>
        <v>4.2775000000000001E-2</v>
      </c>
      <c r="O78" s="59" t="s">
        <v>428</v>
      </c>
      <c r="Q78" s="106">
        <v>3.1300000000000001E-2</v>
      </c>
      <c r="S78" s="106">
        <f>AVERAGE(Q67:Q78)</f>
        <v>3.1108333333333335E-2</v>
      </c>
      <c r="T78" s="59"/>
      <c r="U78" s="106">
        <f>AVERAGE(Q63:Q75)</f>
        <v>3.0549999999999997E-2</v>
      </c>
      <c r="V78" s="59"/>
      <c r="W78" s="106">
        <f>AVERAGE(Q60:Q72)</f>
        <v>3.0091666666666669E-2</v>
      </c>
      <c r="X78" s="59"/>
      <c r="Y78" s="106">
        <f>AVERAGE(Q57:Q69)</f>
        <v>2.9766666666666663E-2</v>
      </c>
      <c r="Z78" s="59"/>
      <c r="AA78" s="106">
        <f>AVERAGE(Q54:Q65)</f>
        <v>3.015E-2</v>
      </c>
    </row>
    <row r="79" spans="1:27">
      <c r="A79" s="102">
        <v>2016</v>
      </c>
      <c r="C79" s="106"/>
      <c r="E79" s="106"/>
      <c r="F79" s="59"/>
      <c r="G79" s="106"/>
      <c r="H79" s="59"/>
      <c r="I79" s="106"/>
      <c r="J79" s="59"/>
      <c r="K79" s="107"/>
      <c r="O79" s="102">
        <v>2022</v>
      </c>
    </row>
    <row r="80" spans="1:27">
      <c r="A80" s="59" t="s">
        <v>94</v>
      </c>
      <c r="C80" s="106">
        <v>4.2700000000000002E-2</v>
      </c>
      <c r="E80" s="106"/>
      <c r="F80" s="59"/>
      <c r="G80" s="106"/>
      <c r="H80" s="59"/>
      <c r="I80" s="106"/>
      <c r="J80" s="59"/>
      <c r="K80" s="107"/>
      <c r="O80" s="59" t="s">
        <v>94</v>
      </c>
      <c r="Q80" s="106">
        <v>3.3300000000000003E-2</v>
      </c>
    </row>
    <row r="81" spans="1:27">
      <c r="A81" s="59" t="s">
        <v>95</v>
      </c>
      <c r="C81" s="106">
        <v>4.1099999999999998E-2</v>
      </c>
      <c r="E81" s="106"/>
      <c r="F81" s="59"/>
      <c r="G81" s="106"/>
      <c r="H81" s="59"/>
      <c r="I81" s="106"/>
      <c r="J81" s="59"/>
      <c r="K81" s="107"/>
      <c r="O81" s="59" t="s">
        <v>95</v>
      </c>
      <c r="Q81" s="106">
        <v>3.6799999999999999E-2</v>
      </c>
    </row>
    <row r="82" spans="1:27">
      <c r="A82" s="59" t="s">
        <v>96</v>
      </c>
      <c r="C82" s="106">
        <v>4.1599999999999998E-2</v>
      </c>
      <c r="E82" s="106"/>
      <c r="F82" s="59"/>
      <c r="G82" s="106"/>
      <c r="H82" s="59"/>
      <c r="I82" s="106"/>
      <c r="J82" s="59"/>
      <c r="K82" s="107"/>
      <c r="O82" s="59" t="s">
        <v>96</v>
      </c>
      <c r="Q82" s="106">
        <v>3.9800000000000002E-2</v>
      </c>
    </row>
    <row r="83" spans="1:27">
      <c r="A83" s="59" t="s">
        <v>97</v>
      </c>
      <c r="C83" s="106">
        <v>0.04</v>
      </c>
      <c r="E83" s="106"/>
      <c r="F83" s="59"/>
      <c r="G83" s="106"/>
      <c r="H83" s="59"/>
      <c r="I83" s="106"/>
      <c r="J83" s="59"/>
      <c r="K83" s="107"/>
      <c r="O83" s="59" t="s">
        <v>97</v>
      </c>
      <c r="Q83" s="106">
        <v>4.3200000000000002E-2</v>
      </c>
    </row>
    <row r="84" spans="1:27">
      <c r="A84" s="59" t="s">
        <v>98</v>
      </c>
      <c r="C84" s="106">
        <v>3.9300000000000002E-2</v>
      </c>
      <c r="E84" s="106"/>
      <c r="F84" s="59"/>
      <c r="G84" s="106"/>
      <c r="H84" s="59"/>
      <c r="I84" s="106"/>
      <c r="J84" s="59"/>
      <c r="K84" s="107"/>
      <c r="O84" s="59" t="s">
        <v>98</v>
      </c>
      <c r="Q84" s="106">
        <v>4.7500000000000001E-2</v>
      </c>
    </row>
    <row r="85" spans="1:27">
      <c r="A85" s="59" t="s">
        <v>422</v>
      </c>
      <c r="C85" s="106">
        <v>3.78E-2</v>
      </c>
      <c r="E85" s="106"/>
      <c r="F85" s="59"/>
      <c r="G85" s="106"/>
      <c r="H85" s="59"/>
      <c r="I85" s="106"/>
      <c r="J85" s="59"/>
      <c r="K85" s="107"/>
      <c r="O85" s="59" t="s">
        <v>422</v>
      </c>
      <c r="Q85" s="106">
        <v>4.8599999999999997E-2</v>
      </c>
    </row>
    <row r="86" spans="1:27">
      <c r="A86" s="59" t="s">
        <v>423</v>
      </c>
      <c r="C86" s="106">
        <v>3.5700000000000003E-2</v>
      </c>
      <c r="E86" s="106"/>
      <c r="F86" s="59"/>
      <c r="G86" s="106"/>
      <c r="H86" s="59"/>
      <c r="I86" s="106"/>
      <c r="J86" s="59"/>
      <c r="K86" s="107"/>
      <c r="O86" s="59" t="s">
        <v>423</v>
      </c>
      <c r="Q86" s="106">
        <v>4.7800000000000002E-2</v>
      </c>
    </row>
    <row r="87" spans="1:27">
      <c r="A87" s="59" t="s">
        <v>424</v>
      </c>
      <c r="C87" s="106">
        <v>3.5900000000000001E-2</v>
      </c>
      <c r="E87" s="106"/>
      <c r="F87" s="59"/>
      <c r="G87" s="106"/>
      <c r="H87" s="59"/>
      <c r="I87" s="106"/>
      <c r="J87" s="59"/>
      <c r="K87" s="107"/>
      <c r="O87" s="59" t="s">
        <v>424</v>
      </c>
      <c r="Q87" s="106">
        <v>4.7600000000000003E-2</v>
      </c>
      <c r="Y87" s="59"/>
      <c r="Z87" s="59"/>
    </row>
    <row r="88" spans="1:27">
      <c r="A88" s="59" t="s">
        <v>425</v>
      </c>
      <c r="C88" s="106">
        <v>3.6600000000000001E-2</v>
      </c>
      <c r="E88" s="106"/>
      <c r="F88" s="59"/>
      <c r="G88" s="106"/>
      <c r="H88" s="59"/>
      <c r="I88" s="106"/>
      <c r="J88" s="59"/>
      <c r="K88" s="107"/>
      <c r="O88" s="59" t="s">
        <v>425</v>
      </c>
      <c r="Q88" s="106">
        <v>5.28E-2</v>
      </c>
      <c r="Y88" s="59"/>
      <c r="Z88" s="59"/>
    </row>
    <row r="89" spans="1:27">
      <c r="A89" s="59" t="s">
        <v>426</v>
      </c>
      <c r="C89" s="106">
        <v>3.7699999999999997E-2</v>
      </c>
      <c r="E89" s="106"/>
      <c r="F89" s="59"/>
      <c r="G89" s="106"/>
      <c r="H89" s="59"/>
      <c r="I89" s="106"/>
      <c r="J89" s="59"/>
      <c r="K89" s="107"/>
      <c r="O89" s="59" t="s">
        <v>426</v>
      </c>
      <c r="Q89" s="106">
        <v>5.8799999999999998E-2</v>
      </c>
      <c r="Y89" s="59"/>
      <c r="Z89" s="59"/>
    </row>
    <row r="90" spans="1:27">
      <c r="A90" s="59" t="s">
        <v>427</v>
      </c>
      <c r="C90" s="106">
        <v>4.0800000000000003E-2</v>
      </c>
      <c r="E90" s="106"/>
      <c r="F90" s="59"/>
      <c r="G90" s="106"/>
      <c r="H90" s="59"/>
      <c r="I90" s="106"/>
      <c r="J90" s="59"/>
      <c r="K90" s="107"/>
      <c r="O90" s="59" t="s">
        <v>427</v>
      </c>
      <c r="Q90" s="106">
        <v>5.7500000000000002E-2</v>
      </c>
      <c r="Y90" s="59"/>
      <c r="Z90" s="59"/>
    </row>
    <row r="91" spans="1:27">
      <c r="A91" s="59" t="s">
        <v>428</v>
      </c>
      <c r="C91" s="106">
        <v>4.2700000000000002E-2</v>
      </c>
      <c r="E91" s="106">
        <f>AVERAGE(C80:C91)</f>
        <v>3.9325000000000006E-2</v>
      </c>
      <c r="F91" s="59"/>
      <c r="G91" s="106">
        <f>AVERAGE(C76:C88)</f>
        <v>4.0091666666666671E-2</v>
      </c>
      <c r="H91" s="59"/>
      <c r="I91" s="106">
        <f>AVERAGE(C73:C85)</f>
        <v>4.1941666666666662E-2</v>
      </c>
      <c r="J91" s="59"/>
      <c r="K91" s="107">
        <f>AVERAGE(C70:C82)</f>
        <v>4.2441666666666662E-2</v>
      </c>
      <c r="M91" s="112">
        <f>AVERAGE(C67:C78)</f>
        <v>4.1149999999999992E-2</v>
      </c>
      <c r="O91" s="59" t="s">
        <v>428</v>
      </c>
      <c r="Q91" s="106">
        <v>5.28E-2</v>
      </c>
      <c r="S91" s="106">
        <f>AVERAGE(Q80:Q91)</f>
        <v>4.7208333333333331E-2</v>
      </c>
      <c r="T91" s="59"/>
      <c r="U91" s="106">
        <f>AVERAGE(Q76:Q88)</f>
        <v>4.0816666666666661E-2</v>
      </c>
      <c r="V91" s="59"/>
      <c r="W91" s="106">
        <f>AVERAGE(Q73:Q85)</f>
        <v>3.585E-2</v>
      </c>
      <c r="X91" s="59"/>
      <c r="Y91" s="106">
        <f>AVERAGE(Q70:Q82)</f>
        <v>3.2400000000000005E-2</v>
      </c>
      <c r="Z91" s="59"/>
      <c r="AA91" s="106">
        <f>AVERAGE(Q67:Q78)</f>
        <v>3.1108333333333335E-2</v>
      </c>
    </row>
    <row r="92" spans="1:27" ht="15.3" thickBot="1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91"/>
      <c r="Z92" s="91"/>
      <c r="AA92" s="101"/>
    </row>
    <row r="93" spans="1:27" ht="15.3" thickTop="1">
      <c r="Y93" s="59"/>
      <c r="Z93" s="59"/>
    </row>
    <row r="94" spans="1:27">
      <c r="A94" s="102" t="s">
        <v>429</v>
      </c>
      <c r="Y94" s="59"/>
      <c r="Z94" s="59"/>
    </row>
    <row r="95" spans="1:27">
      <c r="Y95" s="59"/>
      <c r="Z95" s="59"/>
    </row>
    <row r="96" spans="1:27">
      <c r="Y96" s="59"/>
      <c r="Z96" s="59"/>
    </row>
    <row r="97" spans="25:26">
      <c r="Y97" s="59"/>
      <c r="Z97" s="59"/>
    </row>
    <row r="98" spans="25:26">
      <c r="Y98" s="59"/>
      <c r="Z98" s="59"/>
    </row>
    <row r="99" spans="25:26">
      <c r="Y99" s="59"/>
      <c r="Z99" s="59"/>
    </row>
    <row r="100" spans="25:26">
      <c r="Y100" s="59"/>
      <c r="Z100" s="59"/>
    </row>
    <row r="101" spans="25:26">
      <c r="Y101" s="59"/>
      <c r="Z101" s="59"/>
    </row>
    <row r="102" spans="25:26">
      <c r="Y102" s="59"/>
      <c r="Z102" s="59"/>
    </row>
    <row r="103" spans="25:26">
      <c r="Y103" s="59"/>
      <c r="Z103" s="59"/>
    </row>
    <row r="104" spans="25:26">
      <c r="Y104" s="59"/>
      <c r="Z104" s="59"/>
    </row>
    <row r="105" spans="25:26">
      <c r="Y105" s="59"/>
      <c r="Z105" s="59"/>
    </row>
    <row r="106" spans="25:26">
      <c r="Y106" s="59"/>
      <c r="Z106" s="59"/>
    </row>
    <row r="107" spans="25:26">
      <c r="Y107" s="59"/>
      <c r="Z107" s="59"/>
    </row>
    <row r="108" spans="25:26">
      <c r="Y108" s="59"/>
      <c r="Z108" s="59"/>
    </row>
  </sheetData>
  <mergeCells count="2">
    <mergeCell ref="A4:AA4"/>
    <mergeCell ref="A5:AA5"/>
  </mergeCells>
  <printOptions horizontalCentered="1" verticalCentered="1"/>
  <pageMargins left="0.7" right="0.7" top="0.75" bottom="0.7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36"/>
  <sheetViews>
    <sheetView zoomScaleNormal="100" workbookViewId="0">
      <selection activeCell="F84" sqref="F84"/>
    </sheetView>
  </sheetViews>
  <sheetFormatPr defaultColWidth="9.76953125" defaultRowHeight="15"/>
  <cols>
    <col min="1" max="1" width="9.76953125" style="60" customWidth="1"/>
    <col min="2" max="2" width="7.76953125" style="60" customWidth="1"/>
    <col min="3" max="3" width="2.76953125" style="60" customWidth="1"/>
    <col min="4" max="4" width="10.86328125" style="60" customWidth="1"/>
    <col min="5" max="5" width="2.76953125" style="60" customWidth="1"/>
    <col min="6" max="6" width="10.86328125" style="60" customWidth="1"/>
    <col min="7" max="7" width="2.76953125" style="60" customWidth="1"/>
    <col min="8" max="8" width="7.76953125" style="60" customWidth="1"/>
    <col min="9" max="9" width="2.76953125" style="60" customWidth="1"/>
    <col min="10" max="10" width="7.76953125" style="60" customWidth="1"/>
    <col min="11" max="11" width="2.76953125" style="60" customWidth="1"/>
    <col min="12" max="12" width="7.76953125" style="60" customWidth="1"/>
    <col min="13" max="13" width="2.76953125" style="60" customWidth="1"/>
    <col min="14" max="16384" width="9.76953125" style="60"/>
  </cols>
  <sheetData>
    <row r="1" spans="1:14">
      <c r="J1" s="61" t="str">
        <f>+'DCP-4, P 1'!G1</f>
        <v>Exh. DCP-4</v>
      </c>
    </row>
    <row r="2" spans="1:14">
      <c r="J2" s="61" t="s">
        <v>81</v>
      </c>
      <c r="N2" s="61"/>
    </row>
    <row r="3" spans="1:14">
      <c r="N3" s="61"/>
    </row>
    <row r="4" spans="1:14" ht="20.100000000000001">
      <c r="A4" s="191" t="s">
        <v>82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62"/>
    </row>
    <row r="5" spans="1:14" ht="20.399999999999999" thickBot="1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62"/>
    </row>
    <row r="6" spans="1:14" ht="15.3" thickTop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4">
      <c r="A7" s="64"/>
      <c r="B7" s="64"/>
      <c r="C7" s="64"/>
      <c r="D7" s="64" t="s">
        <v>83</v>
      </c>
      <c r="E7" s="64"/>
      <c r="F7" s="64" t="s">
        <v>83</v>
      </c>
      <c r="G7" s="64"/>
      <c r="H7" s="64" t="s">
        <v>84</v>
      </c>
      <c r="I7" s="64"/>
      <c r="J7" s="64" t="s">
        <v>84</v>
      </c>
      <c r="K7" s="64"/>
      <c r="L7" s="64" t="s">
        <v>84</v>
      </c>
    </row>
    <row r="8" spans="1:14">
      <c r="A8" s="64"/>
      <c r="B8" s="64" t="s">
        <v>85</v>
      </c>
      <c r="C8" s="64"/>
      <c r="D8" s="64" t="s">
        <v>86</v>
      </c>
      <c r="E8" s="64"/>
      <c r="F8" s="64" t="s">
        <v>87</v>
      </c>
      <c r="G8" s="64"/>
      <c r="H8" s="64" t="s">
        <v>88</v>
      </c>
      <c r="I8" s="64"/>
      <c r="J8" s="64" t="s">
        <v>88</v>
      </c>
      <c r="K8" s="64"/>
      <c r="L8" s="64" t="s">
        <v>88</v>
      </c>
    </row>
    <row r="9" spans="1:14">
      <c r="A9" s="64" t="s">
        <v>38</v>
      </c>
      <c r="B9" s="64" t="s">
        <v>40</v>
      </c>
      <c r="C9" s="64"/>
      <c r="D9" s="64" t="s">
        <v>89</v>
      </c>
      <c r="E9" s="64"/>
      <c r="F9" s="64" t="s">
        <v>90</v>
      </c>
      <c r="G9" s="64"/>
      <c r="H9" s="61" t="s">
        <v>91</v>
      </c>
      <c r="I9" s="64"/>
      <c r="J9" s="61" t="s">
        <v>92</v>
      </c>
      <c r="K9" s="64"/>
      <c r="L9" s="61" t="s">
        <v>93</v>
      </c>
    </row>
    <row r="10" spans="1:14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spans="1:14" ht="15" customHeight="1"/>
    <row r="12" spans="1:14" ht="15" customHeight="1">
      <c r="A12" s="192" t="s">
        <v>42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62"/>
    </row>
    <row r="13" spans="1:14" ht="15" customHeight="1">
      <c r="A13" s="67" t="s">
        <v>43</v>
      </c>
      <c r="B13" s="79">
        <v>7.8600000000000003E-2</v>
      </c>
      <c r="C13" s="79"/>
      <c r="D13" s="79">
        <v>5.8400000000000001E-2</v>
      </c>
      <c r="E13" s="79"/>
      <c r="F13" s="79">
        <v>7.9899999999999999E-2</v>
      </c>
      <c r="G13" s="79"/>
      <c r="H13" s="79">
        <v>9.4399999999999998E-2</v>
      </c>
      <c r="I13" s="79"/>
      <c r="J13" s="79">
        <v>0.1009</v>
      </c>
      <c r="K13" s="79"/>
      <c r="L13" s="79">
        <v>0.1096</v>
      </c>
    </row>
    <row r="14" spans="1:14" ht="15" customHeight="1">
      <c r="A14" s="67" t="s">
        <v>44</v>
      </c>
      <c r="B14" s="79">
        <v>6.8400000000000002E-2</v>
      </c>
      <c r="C14" s="79"/>
      <c r="D14" s="79">
        <v>4.99E-2</v>
      </c>
      <c r="E14" s="79"/>
      <c r="F14" s="79">
        <v>7.6100000000000001E-2</v>
      </c>
      <c r="G14" s="79"/>
      <c r="H14" s="79">
        <v>8.9200000000000002E-2</v>
      </c>
      <c r="I14" s="79"/>
      <c r="J14" s="79">
        <v>9.2899999999999996E-2</v>
      </c>
      <c r="K14" s="79"/>
      <c r="L14" s="79">
        <v>9.8199999999999996E-2</v>
      </c>
    </row>
    <row r="15" spans="1:14" ht="15" customHeight="1">
      <c r="A15" s="67" t="s">
        <v>45</v>
      </c>
      <c r="B15" s="79">
        <v>6.83E-2</v>
      </c>
      <c r="C15" s="79"/>
      <c r="D15" s="79">
        <v>5.2699999999999997E-2</v>
      </c>
      <c r="E15" s="79"/>
      <c r="F15" s="79">
        <v>7.4200000000000002E-2</v>
      </c>
      <c r="G15" s="79"/>
      <c r="H15" s="79">
        <v>8.43E-2</v>
      </c>
      <c r="I15" s="79"/>
      <c r="J15" s="79">
        <v>8.6099999999999996E-2</v>
      </c>
      <c r="K15" s="79"/>
      <c r="L15" s="79">
        <v>9.06E-2</v>
      </c>
    </row>
    <row r="16" spans="1:14" ht="15" customHeight="1">
      <c r="A16" s="67" t="s">
        <v>46</v>
      </c>
      <c r="B16" s="79">
        <v>9.06E-2</v>
      </c>
      <c r="C16" s="79"/>
      <c r="D16" s="79">
        <v>7.22E-2</v>
      </c>
      <c r="E16" s="79"/>
      <c r="F16" s="79">
        <v>8.4099999999999994E-2</v>
      </c>
      <c r="G16" s="79"/>
      <c r="H16" s="79">
        <v>9.0999999999999998E-2</v>
      </c>
      <c r="I16" s="79"/>
      <c r="J16" s="79">
        <v>9.2899999999999996E-2</v>
      </c>
      <c r="K16" s="79"/>
      <c r="L16" s="79">
        <v>9.6199999999999994E-2</v>
      </c>
    </row>
    <row r="17" spans="1:13" ht="15" customHeight="1">
      <c r="A17" s="67" t="s">
        <v>47</v>
      </c>
      <c r="B17" s="79">
        <v>0.12670000000000001</v>
      </c>
      <c r="C17" s="79"/>
      <c r="D17" s="79">
        <v>0.1004</v>
      </c>
      <c r="E17" s="79"/>
      <c r="F17" s="79">
        <v>9.4399999999999998E-2</v>
      </c>
      <c r="G17" s="79"/>
      <c r="H17" s="79">
        <v>0.1022</v>
      </c>
      <c r="I17" s="79"/>
      <c r="J17" s="79">
        <v>0.10489999999999999</v>
      </c>
      <c r="K17" s="79"/>
      <c r="L17" s="79">
        <v>0.1096</v>
      </c>
    </row>
    <row r="18" spans="1:13" ht="15" customHeight="1">
      <c r="A18" s="67" t="s">
        <v>48</v>
      </c>
      <c r="B18" s="79">
        <v>0.1527</v>
      </c>
      <c r="C18" s="79"/>
      <c r="D18" s="79">
        <v>0.11509999999999999</v>
      </c>
      <c r="E18" s="79"/>
      <c r="F18" s="79">
        <v>0.11459999999999999</v>
      </c>
      <c r="G18" s="79"/>
      <c r="H18" s="79">
        <v>0.13</v>
      </c>
      <c r="I18" s="79"/>
      <c r="J18" s="79">
        <v>0.13339999999999999</v>
      </c>
      <c r="K18" s="79"/>
      <c r="L18" s="79">
        <v>0.13950000000000001</v>
      </c>
    </row>
    <row r="19" spans="1:13" ht="15" customHeight="1">
      <c r="A19" s="67" t="s">
        <v>49</v>
      </c>
      <c r="B19" s="79">
        <v>0.18890000000000001</v>
      </c>
      <c r="C19" s="79"/>
      <c r="D19" s="79">
        <v>0.14030000000000001</v>
      </c>
      <c r="E19" s="79"/>
      <c r="F19" s="79">
        <v>0.13930000000000001</v>
      </c>
      <c r="G19" s="79"/>
      <c r="H19" s="79">
        <v>0.153</v>
      </c>
      <c r="I19" s="79"/>
      <c r="J19" s="79">
        <v>0.1595</v>
      </c>
      <c r="K19" s="79"/>
      <c r="L19" s="79">
        <v>0.16600000000000001</v>
      </c>
    </row>
    <row r="20" spans="1:13" ht="15" customHeight="1">
      <c r="A20" s="67" t="s">
        <v>50</v>
      </c>
      <c r="B20" s="79">
        <v>0.14860000000000001</v>
      </c>
      <c r="C20" s="79"/>
      <c r="D20" s="79">
        <v>0.1069</v>
      </c>
      <c r="E20" s="79"/>
      <c r="F20" s="79">
        <v>0.13</v>
      </c>
      <c r="G20" s="79"/>
      <c r="H20" s="79">
        <v>0.1479</v>
      </c>
      <c r="I20" s="79"/>
      <c r="J20" s="79">
        <v>0.15859999999999999</v>
      </c>
      <c r="K20" s="79"/>
      <c r="L20" s="79">
        <v>0.16450000000000001</v>
      </c>
    </row>
    <row r="21" spans="1:13" ht="15" customHeight="1">
      <c r="A21" s="67" t="s">
        <v>51</v>
      </c>
      <c r="B21" s="167">
        <f>AVERAGE(B13:B20)</f>
        <v>0.11535000000000001</v>
      </c>
      <c r="C21" s="79"/>
      <c r="D21" s="167">
        <f>AVERAGE(D13:D20)</f>
        <v>8.6987499999999995E-2</v>
      </c>
      <c r="E21" s="79"/>
      <c r="F21" s="167">
        <f>AVERAGE(F13:F20)</f>
        <v>9.9074999999999996E-2</v>
      </c>
      <c r="G21" s="79"/>
      <c r="H21" s="167">
        <f>AVERAGE(H13:H20)</f>
        <v>0.1115</v>
      </c>
      <c r="I21" s="79"/>
      <c r="J21" s="167">
        <f>AVERAGE(J13:J20)</f>
        <v>0.11614999999999999</v>
      </c>
      <c r="K21" s="79"/>
      <c r="L21" s="167">
        <f>AVERAGE(L13:L20)</f>
        <v>0.12177499999999999</v>
      </c>
    </row>
    <row r="22" spans="1:13" ht="15" customHeight="1">
      <c r="A22" s="67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1:13" ht="15" customHeight="1">
      <c r="A23" s="194" t="s">
        <v>52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62"/>
    </row>
    <row r="24" spans="1:13" ht="15" customHeight="1">
      <c r="A24" s="67" t="s">
        <v>53</v>
      </c>
      <c r="B24" s="79">
        <v>0.1079</v>
      </c>
      <c r="C24" s="79"/>
      <c r="D24" s="79">
        <v>8.6300000000000002E-2</v>
      </c>
      <c r="E24" s="79"/>
      <c r="F24" s="79">
        <v>0.111</v>
      </c>
      <c r="G24" s="79"/>
      <c r="H24" s="79">
        <v>0.1283</v>
      </c>
      <c r="I24" s="79"/>
      <c r="J24" s="79">
        <v>0.1366</v>
      </c>
      <c r="K24" s="79"/>
      <c r="L24" s="79">
        <v>0.14199999999999999</v>
      </c>
    </row>
    <row r="25" spans="1:13" ht="15" customHeight="1">
      <c r="A25" s="67" t="s">
        <v>54</v>
      </c>
      <c r="B25" s="79">
        <v>0.12039999999999999</v>
      </c>
      <c r="C25" s="79"/>
      <c r="D25" s="79">
        <v>9.5799999999999996E-2</v>
      </c>
      <c r="E25" s="79"/>
      <c r="F25" s="79">
        <v>0.1244</v>
      </c>
      <c r="G25" s="79"/>
      <c r="H25" s="79">
        <v>0.1366</v>
      </c>
      <c r="I25" s="79"/>
      <c r="J25" s="79">
        <v>0.14030000000000001</v>
      </c>
      <c r="K25" s="79"/>
      <c r="L25" s="79">
        <v>0.14530000000000001</v>
      </c>
    </row>
    <row r="26" spans="1:13" ht="15" customHeight="1">
      <c r="A26" s="67" t="s">
        <v>55</v>
      </c>
      <c r="B26" s="79">
        <v>9.9299999999999999E-2</v>
      </c>
      <c r="C26" s="79"/>
      <c r="D26" s="79">
        <v>7.4800000000000005E-2</v>
      </c>
      <c r="E26" s="79"/>
      <c r="F26" s="79">
        <v>0.1062</v>
      </c>
      <c r="G26" s="79"/>
      <c r="H26" s="79">
        <v>0.1206</v>
      </c>
      <c r="I26" s="79"/>
      <c r="J26" s="79">
        <v>0.12470000000000001</v>
      </c>
      <c r="K26" s="79"/>
      <c r="L26" s="79">
        <v>0.12959999999999999</v>
      </c>
    </row>
    <row r="27" spans="1:13" ht="15" customHeight="1">
      <c r="A27" s="67" t="s">
        <v>56</v>
      </c>
      <c r="B27" s="79">
        <v>8.3299999999999999E-2</v>
      </c>
      <c r="C27" s="79"/>
      <c r="D27" s="79">
        <v>5.9799999999999999E-2</v>
      </c>
      <c r="E27" s="79"/>
      <c r="F27" s="79">
        <v>7.6799999999999993E-2</v>
      </c>
      <c r="G27" s="79"/>
      <c r="H27" s="79">
        <v>9.2999999999999999E-2</v>
      </c>
      <c r="I27" s="79"/>
      <c r="J27" s="79">
        <v>9.5799999999999996E-2</v>
      </c>
      <c r="K27" s="79"/>
      <c r="L27" s="79">
        <v>0.1</v>
      </c>
    </row>
    <row r="28" spans="1:13" ht="15" customHeight="1">
      <c r="A28" s="67" t="s">
        <v>57</v>
      </c>
      <c r="B28" s="79">
        <v>8.2100000000000006E-2</v>
      </c>
      <c r="C28" s="79"/>
      <c r="D28" s="79">
        <v>5.8200000000000002E-2</v>
      </c>
      <c r="E28" s="79"/>
      <c r="F28" s="79">
        <v>8.3900000000000002E-2</v>
      </c>
      <c r="G28" s="79"/>
      <c r="H28" s="79">
        <v>9.7699999999999995E-2</v>
      </c>
      <c r="I28" s="79"/>
      <c r="J28" s="79">
        <v>0.10100000000000001</v>
      </c>
      <c r="K28" s="79"/>
      <c r="L28" s="79">
        <v>0.1053</v>
      </c>
    </row>
    <row r="29" spans="1:13" ht="15" customHeight="1">
      <c r="A29" s="67" t="s">
        <v>58</v>
      </c>
      <c r="B29" s="79">
        <v>9.3200000000000005E-2</v>
      </c>
      <c r="C29" s="79"/>
      <c r="D29" s="79">
        <v>6.6900000000000001E-2</v>
      </c>
      <c r="E29" s="79"/>
      <c r="F29" s="79">
        <v>8.8499999999999995E-2</v>
      </c>
      <c r="G29" s="79"/>
      <c r="H29" s="79">
        <v>0.1026</v>
      </c>
      <c r="I29" s="79"/>
      <c r="J29" s="79">
        <v>0.10489999999999999</v>
      </c>
      <c r="K29" s="79"/>
      <c r="L29" s="79">
        <v>0.11</v>
      </c>
    </row>
    <row r="30" spans="1:13" ht="15" customHeight="1">
      <c r="A30" s="67" t="s">
        <v>59</v>
      </c>
      <c r="B30" s="79">
        <v>0.1087</v>
      </c>
      <c r="C30" s="79"/>
      <c r="D30" s="79">
        <v>8.1199999999999994E-2</v>
      </c>
      <c r="E30" s="79"/>
      <c r="F30" s="79">
        <v>8.4900000000000003E-2</v>
      </c>
      <c r="G30" s="79"/>
      <c r="H30" s="79">
        <v>9.5600000000000004E-2</v>
      </c>
      <c r="I30" s="79"/>
      <c r="J30" s="79">
        <v>9.7699999999999995E-2</v>
      </c>
      <c r="K30" s="79"/>
      <c r="L30" s="79">
        <v>9.9699999999999997E-2</v>
      </c>
    </row>
    <row r="31" spans="1:13" ht="15" customHeight="1">
      <c r="A31" s="67" t="s">
        <v>60</v>
      </c>
      <c r="B31" s="79">
        <v>0.10009999999999999</v>
      </c>
      <c r="C31" s="79"/>
      <c r="D31" s="79">
        <v>7.51E-2</v>
      </c>
      <c r="E31" s="79"/>
      <c r="F31" s="79">
        <v>8.5500000000000007E-2</v>
      </c>
      <c r="G31" s="79"/>
      <c r="H31" s="79">
        <v>9.6500000000000002E-2</v>
      </c>
      <c r="I31" s="79"/>
      <c r="J31" s="79">
        <v>9.8599999999999993E-2</v>
      </c>
      <c r="K31" s="79"/>
      <c r="L31" s="79">
        <v>0.10059999999999999</v>
      </c>
    </row>
    <row r="32" spans="1:13" ht="15" customHeight="1">
      <c r="A32" s="67" t="s">
        <v>61</v>
      </c>
      <c r="B32" s="79">
        <v>8.4599999999999995E-2</v>
      </c>
      <c r="C32" s="79"/>
      <c r="D32" s="79">
        <v>5.4199999999999998E-2</v>
      </c>
      <c r="E32" s="79"/>
      <c r="F32" s="79">
        <v>7.8600000000000003E-2</v>
      </c>
      <c r="G32" s="79"/>
      <c r="H32" s="79">
        <v>9.0899999999999995E-2</v>
      </c>
      <c r="I32" s="79"/>
      <c r="J32" s="79">
        <v>9.3600000000000003E-2</v>
      </c>
      <c r="K32" s="79"/>
      <c r="L32" s="79">
        <v>9.5500000000000002E-2</v>
      </c>
    </row>
    <row r="33" spans="1:13" ht="15" customHeight="1">
      <c r="A33" s="67" t="s">
        <v>51</v>
      </c>
      <c r="B33" s="167">
        <f>AVERAGE(B24:B32)</f>
        <v>9.7733333333333339E-2</v>
      </c>
      <c r="C33" s="79"/>
      <c r="D33" s="167">
        <f>AVERAGE(D24:D32)</f>
        <v>7.2477777777777794E-2</v>
      </c>
      <c r="E33" s="79"/>
      <c r="F33" s="167">
        <f>AVERAGE(F24:F32)</f>
        <v>9.3311111111111109E-2</v>
      </c>
      <c r="G33" s="79"/>
      <c r="H33" s="167">
        <f>AVERAGE(H24:H32)</f>
        <v>0.10686666666666668</v>
      </c>
      <c r="I33" s="79"/>
      <c r="J33" s="167">
        <f>AVERAGE(J24:J32)</f>
        <v>0.11035555555555557</v>
      </c>
      <c r="K33" s="79"/>
      <c r="L33" s="167">
        <f>AVERAGE(L24:L32)</f>
        <v>0.11422222222222222</v>
      </c>
    </row>
    <row r="34" spans="1:13" ht="15" customHeight="1">
      <c r="A34" s="67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</row>
    <row r="35" spans="1:13" ht="15" customHeight="1">
      <c r="A35" s="192" t="s">
        <v>62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62"/>
    </row>
    <row r="36" spans="1:13" ht="15" customHeight="1">
      <c r="A36" s="67" t="s">
        <v>63</v>
      </c>
      <c r="B36" s="79">
        <v>6.25E-2</v>
      </c>
      <c r="C36" s="79"/>
      <c r="D36" s="79">
        <v>3.4500000000000003E-2</v>
      </c>
      <c r="E36" s="79"/>
      <c r="F36" s="79">
        <v>7.0099999999999996E-2</v>
      </c>
      <c r="G36" s="79"/>
      <c r="H36" s="79">
        <v>8.5500000000000007E-2</v>
      </c>
      <c r="I36" s="79"/>
      <c r="J36" s="79">
        <v>8.6900000000000005E-2</v>
      </c>
      <c r="K36" s="79"/>
      <c r="L36" s="79">
        <v>8.8599999999999998E-2</v>
      </c>
    </row>
    <row r="37" spans="1:13" ht="15" customHeight="1">
      <c r="A37" s="67" t="s">
        <v>65</v>
      </c>
      <c r="B37" s="79">
        <v>0.06</v>
      </c>
      <c r="C37" s="79"/>
      <c r="D37" s="79">
        <v>3.0200000000000001E-2</v>
      </c>
      <c r="E37" s="79"/>
      <c r="F37" s="79">
        <v>5.8700000000000002E-2</v>
      </c>
      <c r="G37" s="79"/>
      <c r="H37" s="79">
        <v>7.4399999999999994E-2</v>
      </c>
      <c r="I37" s="79"/>
      <c r="J37" s="79">
        <v>7.5899999999999995E-2</v>
      </c>
      <c r="K37" s="79"/>
      <c r="L37" s="79">
        <v>7.9100000000000004E-2</v>
      </c>
    </row>
    <row r="38" spans="1:13" ht="15" customHeight="1">
      <c r="A38" s="67" t="s">
        <v>66</v>
      </c>
      <c r="B38" s="79">
        <v>7.1499999999999994E-2</v>
      </c>
      <c r="C38" s="79"/>
      <c r="D38" s="79">
        <v>4.2900000000000001E-2</v>
      </c>
      <c r="E38" s="79"/>
      <c r="F38" s="79">
        <v>7.0900000000000005E-2</v>
      </c>
      <c r="G38" s="79"/>
      <c r="H38" s="79">
        <v>8.2100000000000006E-2</v>
      </c>
      <c r="I38" s="79"/>
      <c r="J38" s="79">
        <v>8.3099999999999993E-2</v>
      </c>
      <c r="K38" s="79"/>
      <c r="L38" s="79">
        <v>8.6300000000000002E-2</v>
      </c>
    </row>
    <row r="39" spans="1:13" ht="15" customHeight="1">
      <c r="A39" s="67" t="s">
        <v>67</v>
      </c>
      <c r="B39" s="79">
        <v>8.8300000000000003E-2</v>
      </c>
      <c r="C39" s="79"/>
      <c r="D39" s="79">
        <v>5.5100000000000003E-2</v>
      </c>
      <c r="E39" s="79"/>
      <c r="F39" s="79">
        <v>6.5699999999999995E-2</v>
      </c>
      <c r="G39" s="79"/>
      <c r="H39" s="79">
        <v>7.7700000000000005E-2</v>
      </c>
      <c r="I39" s="79"/>
      <c r="J39" s="79">
        <v>7.8899999999999998E-2</v>
      </c>
      <c r="K39" s="79"/>
      <c r="L39" s="79">
        <v>8.2900000000000001E-2</v>
      </c>
    </row>
    <row r="40" spans="1:13" ht="15" customHeight="1">
      <c r="A40" s="67" t="s">
        <v>68</v>
      </c>
      <c r="B40" s="79">
        <v>8.2699999999999996E-2</v>
      </c>
      <c r="C40" s="79"/>
      <c r="D40" s="79">
        <v>5.0200000000000002E-2</v>
      </c>
      <c r="E40" s="79"/>
      <c r="F40" s="79">
        <v>6.4399999999999999E-2</v>
      </c>
      <c r="G40" s="79"/>
      <c r="H40" s="79">
        <v>7.5700000000000003E-2</v>
      </c>
      <c r="I40" s="79"/>
      <c r="J40" s="79">
        <v>7.7499999999999999E-2</v>
      </c>
      <c r="K40" s="79"/>
      <c r="L40" s="79">
        <v>8.1600000000000006E-2</v>
      </c>
    </row>
    <row r="41" spans="1:13" ht="15" customHeight="1">
      <c r="A41" s="67" t="s">
        <v>69</v>
      </c>
      <c r="B41" s="79">
        <v>8.4400000000000003E-2</v>
      </c>
      <c r="C41" s="79"/>
      <c r="D41" s="79">
        <v>5.0700000000000002E-2</v>
      </c>
      <c r="E41" s="79"/>
      <c r="F41" s="79">
        <v>6.3500000000000001E-2</v>
      </c>
      <c r="G41" s="79"/>
      <c r="H41" s="79">
        <v>7.5399999999999995E-2</v>
      </c>
      <c r="I41" s="79"/>
      <c r="J41" s="79">
        <v>7.5999999999999998E-2</v>
      </c>
      <c r="K41" s="79"/>
      <c r="L41" s="79">
        <v>7.9500000000000001E-2</v>
      </c>
    </row>
    <row r="42" spans="1:13" ht="15" customHeight="1">
      <c r="A42" s="72">
        <v>1998</v>
      </c>
      <c r="B42" s="79">
        <v>8.3500000000000005E-2</v>
      </c>
      <c r="C42" s="79"/>
      <c r="D42" s="79">
        <v>4.8099999999999997E-2</v>
      </c>
      <c r="E42" s="79"/>
      <c r="F42" s="79">
        <v>5.2600000000000001E-2</v>
      </c>
      <c r="G42" s="79"/>
      <c r="H42" s="79">
        <v>6.9099999999999995E-2</v>
      </c>
      <c r="I42" s="79"/>
      <c r="J42" s="79">
        <v>7.0400000000000004E-2</v>
      </c>
      <c r="K42" s="79"/>
      <c r="L42" s="79">
        <v>7.2599999999999998E-2</v>
      </c>
    </row>
    <row r="43" spans="1:13" ht="15" customHeight="1">
      <c r="A43" s="72">
        <v>1999</v>
      </c>
      <c r="B43" s="79">
        <v>0.08</v>
      </c>
      <c r="C43" s="79"/>
      <c r="D43" s="79">
        <v>4.6600000000000003E-2</v>
      </c>
      <c r="E43" s="79"/>
      <c r="F43" s="79">
        <v>5.6500000000000002E-2</v>
      </c>
      <c r="G43" s="79"/>
      <c r="H43" s="79">
        <v>7.51E-2</v>
      </c>
      <c r="I43" s="79"/>
      <c r="J43" s="79">
        <v>7.6200000000000004E-2</v>
      </c>
      <c r="K43" s="79"/>
      <c r="L43" s="79">
        <v>7.8799999999999995E-2</v>
      </c>
    </row>
    <row r="44" spans="1:13" ht="15" customHeight="1">
      <c r="A44" s="72">
        <v>2000</v>
      </c>
      <c r="B44" s="79">
        <v>9.2299999999999993E-2</v>
      </c>
      <c r="C44" s="79"/>
      <c r="D44" s="79">
        <v>5.8500000000000003E-2</v>
      </c>
      <c r="E44" s="79"/>
      <c r="F44" s="79">
        <v>6.0299999999999999E-2</v>
      </c>
      <c r="G44" s="79"/>
      <c r="H44" s="79">
        <v>8.0600000000000005E-2</v>
      </c>
      <c r="I44" s="79"/>
      <c r="J44" s="79">
        <v>8.2400000000000001E-2</v>
      </c>
      <c r="K44" s="79"/>
      <c r="L44" s="79">
        <v>8.3599999999999994E-2</v>
      </c>
    </row>
    <row r="45" spans="1:13" ht="15" customHeight="1">
      <c r="A45" s="72">
        <v>2001</v>
      </c>
      <c r="B45" s="79">
        <v>6.9099999999999995E-2</v>
      </c>
      <c r="C45" s="79"/>
      <c r="D45" s="79">
        <v>3.44E-2</v>
      </c>
      <c r="E45" s="79"/>
      <c r="F45" s="79">
        <v>5.0200000000000002E-2</v>
      </c>
      <c r="G45" s="79"/>
      <c r="H45" s="79">
        <v>7.5899999999999995E-2</v>
      </c>
      <c r="I45" s="79"/>
      <c r="J45" s="79">
        <v>7.7799999999999994E-2</v>
      </c>
      <c r="K45" s="79"/>
      <c r="L45" s="79">
        <v>8.0199999999999994E-2</v>
      </c>
    </row>
    <row r="46" spans="1:13" ht="15" customHeight="1">
      <c r="A46" s="64" t="s">
        <v>51</v>
      </c>
      <c r="B46" s="167">
        <f>AVERAGE(B36:B45)</f>
        <v>7.7429999999999999E-2</v>
      </c>
      <c r="C46" s="79"/>
      <c r="D46" s="167">
        <f>AVERAGE(D36:D45)</f>
        <v>4.5119999999999993E-2</v>
      </c>
      <c r="E46" s="79"/>
      <c r="F46" s="167">
        <f>AVERAGE(F36:F45)</f>
        <v>6.1289999999999997E-2</v>
      </c>
      <c r="G46" s="79"/>
      <c r="H46" s="167">
        <f>AVERAGE(H36:H45)</f>
        <v>7.7149999999999996E-2</v>
      </c>
      <c r="I46" s="79"/>
      <c r="J46" s="167">
        <f>AVERAGE(J36:J45)</f>
        <v>7.8509999999999996E-2</v>
      </c>
      <c r="K46" s="79"/>
      <c r="L46" s="167">
        <f>AVERAGE(L36:L45)</f>
        <v>8.131999999999999E-2</v>
      </c>
    </row>
    <row r="47" spans="1:13" ht="15" customHeight="1">
      <c r="A47" s="72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1:13" ht="15" customHeight="1">
      <c r="A48" s="192" t="s">
        <v>70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</row>
    <row r="49" spans="1:12" ht="15" customHeight="1">
      <c r="A49" s="72">
        <v>2002</v>
      </c>
      <c r="B49" s="79">
        <v>4.6699999999999998E-2</v>
      </c>
      <c r="C49" s="79"/>
      <c r="D49" s="79">
        <v>1.6199999999999999E-2</v>
      </c>
      <c r="E49" s="79"/>
      <c r="F49" s="79">
        <v>4.6100000000000002E-2</v>
      </c>
      <c r="G49" s="79"/>
      <c r="H49" s="79">
        <v>7.1900000000000006E-2</v>
      </c>
      <c r="I49" s="79"/>
      <c r="J49" s="79">
        <v>7.3700000000000002E-2</v>
      </c>
      <c r="K49" s="79"/>
      <c r="L49" s="79">
        <v>8.0199999999999994E-2</v>
      </c>
    </row>
    <row r="50" spans="1:12" ht="15" customHeight="1">
      <c r="A50" s="72">
        <v>2003</v>
      </c>
      <c r="B50" s="79">
        <v>4.1200000000000001E-2</v>
      </c>
      <c r="C50" s="79"/>
      <c r="D50" s="79">
        <v>1.01E-2</v>
      </c>
      <c r="E50" s="79"/>
      <c r="F50" s="79">
        <v>4.0099999999999997E-2</v>
      </c>
      <c r="G50" s="79"/>
      <c r="H50" s="79">
        <v>6.4000000000000001E-2</v>
      </c>
      <c r="I50" s="79"/>
      <c r="J50" s="79">
        <v>6.5799999999999997E-2</v>
      </c>
      <c r="K50" s="79"/>
      <c r="L50" s="79">
        <v>6.8400000000000002E-2</v>
      </c>
    </row>
    <row r="51" spans="1:12" ht="15" customHeight="1">
      <c r="A51" s="72">
        <v>2004</v>
      </c>
      <c r="B51" s="79">
        <v>4.3400000000000001E-2</v>
      </c>
      <c r="C51" s="79"/>
      <c r="D51" s="79">
        <v>1.38E-2</v>
      </c>
      <c r="E51" s="79"/>
      <c r="F51" s="79">
        <v>4.2700000000000002E-2</v>
      </c>
      <c r="G51" s="79"/>
      <c r="H51" s="79">
        <v>6.0400000000000002E-2</v>
      </c>
      <c r="I51" s="79"/>
      <c r="J51" s="79">
        <v>6.1600000000000002E-2</v>
      </c>
      <c r="K51" s="79"/>
      <c r="L51" s="79">
        <v>6.4000000000000001E-2</v>
      </c>
    </row>
    <row r="52" spans="1:12" ht="15" customHeight="1">
      <c r="A52" s="72">
        <v>2005</v>
      </c>
      <c r="B52" s="79">
        <v>6.1899999999999997E-2</v>
      </c>
      <c r="C52" s="79"/>
      <c r="D52" s="79">
        <v>3.1600000000000003E-2</v>
      </c>
      <c r="E52" s="79"/>
      <c r="F52" s="79">
        <v>4.2900000000000001E-2</v>
      </c>
      <c r="G52" s="79"/>
      <c r="H52" s="79">
        <v>5.4399999999999997E-2</v>
      </c>
      <c r="I52" s="79"/>
      <c r="J52" s="79">
        <v>5.6500000000000002E-2</v>
      </c>
      <c r="K52" s="79"/>
      <c r="L52" s="79">
        <v>5.9299999999999999E-2</v>
      </c>
    </row>
    <row r="53" spans="1:12" ht="15" customHeight="1">
      <c r="A53" s="72">
        <v>2006</v>
      </c>
      <c r="B53" s="79">
        <v>7.9600000000000004E-2</v>
      </c>
      <c r="C53" s="79"/>
      <c r="D53" s="79">
        <v>4.7300000000000002E-2</v>
      </c>
      <c r="E53" s="79"/>
      <c r="F53" s="79">
        <v>4.8000000000000001E-2</v>
      </c>
      <c r="G53" s="79"/>
      <c r="H53" s="79">
        <v>5.8400000000000001E-2</v>
      </c>
      <c r="I53" s="79"/>
      <c r="J53" s="79">
        <v>6.0699999999999997E-2</v>
      </c>
      <c r="K53" s="79"/>
      <c r="L53" s="79">
        <v>6.3200000000000006E-2</v>
      </c>
    </row>
    <row r="54" spans="1:12" ht="15" customHeight="1">
      <c r="A54" s="72">
        <v>2007</v>
      </c>
      <c r="B54" s="79">
        <v>8.0500000000000002E-2</v>
      </c>
      <c r="C54" s="79"/>
      <c r="D54" s="79">
        <v>4.41E-2</v>
      </c>
      <c r="E54" s="79"/>
      <c r="F54" s="79">
        <v>4.6300000000000001E-2</v>
      </c>
      <c r="G54" s="79"/>
      <c r="H54" s="79">
        <v>5.9400000000000001E-2</v>
      </c>
      <c r="I54" s="79"/>
      <c r="J54" s="79">
        <v>6.0699999999999997E-2</v>
      </c>
      <c r="K54" s="79"/>
      <c r="L54" s="79">
        <v>6.3299999999999995E-2</v>
      </c>
    </row>
    <row r="55" spans="1:12" ht="15" customHeight="1">
      <c r="A55" s="72">
        <v>2008</v>
      </c>
      <c r="B55" s="79">
        <v>5.0900000000000001E-2</v>
      </c>
      <c r="C55" s="79"/>
      <c r="D55" s="79">
        <v>1.4800000000000001E-2</v>
      </c>
      <c r="E55" s="79"/>
      <c r="F55" s="79">
        <v>3.6600000000000001E-2</v>
      </c>
      <c r="G55" s="79"/>
      <c r="H55" s="79">
        <v>6.1800000000000001E-2</v>
      </c>
      <c r="I55" s="79"/>
      <c r="J55" s="79">
        <v>6.5299999999999997E-2</v>
      </c>
      <c r="K55" s="79"/>
      <c r="L55" s="79">
        <v>7.2499999999999995E-2</v>
      </c>
    </row>
    <row r="56" spans="1:12" ht="15" customHeight="1">
      <c r="A56" s="72">
        <v>2009</v>
      </c>
      <c r="B56" s="79">
        <v>3.2500000000000001E-2</v>
      </c>
      <c r="C56" s="79"/>
      <c r="D56" s="79">
        <v>1.6000000000000001E-3</v>
      </c>
      <c r="E56" s="79"/>
      <c r="F56" s="79">
        <v>3.2599999999999997E-2</v>
      </c>
      <c r="G56" s="79"/>
      <c r="H56" s="79">
        <v>5.7508333333333349E-2</v>
      </c>
      <c r="I56" s="79"/>
      <c r="J56" s="79">
        <v>6.0391666666666656E-2</v>
      </c>
      <c r="K56" s="79"/>
      <c r="L56" s="79">
        <v>7.0550000000000002E-2</v>
      </c>
    </row>
    <row r="57" spans="1:12" ht="15" customHeight="1">
      <c r="A57" s="64" t="s">
        <v>51</v>
      </c>
      <c r="B57" s="167">
        <f>AVERAGE(B49:B56)</f>
        <v>5.4587499999999997E-2</v>
      </c>
      <c r="C57" s="79"/>
      <c r="D57" s="167">
        <f>AVERAGE(D49:D56)</f>
        <v>2.2437499999999999E-2</v>
      </c>
      <c r="E57" s="79"/>
      <c r="F57" s="167">
        <f>AVERAGE(F49:F56)</f>
        <v>4.1912500000000005E-2</v>
      </c>
      <c r="G57" s="79"/>
      <c r="H57" s="167">
        <f>AVERAGE(H49:H56)</f>
        <v>6.0976041666666675E-2</v>
      </c>
      <c r="I57" s="79"/>
      <c r="J57" s="167">
        <f>AVERAGE(J49:J56)</f>
        <v>6.3086458333333317E-2</v>
      </c>
      <c r="K57" s="79"/>
      <c r="L57" s="167">
        <f>AVERAGE(L49:L56)</f>
        <v>6.7681250000000012E-2</v>
      </c>
    </row>
    <row r="58" spans="1:12" ht="15" customHeight="1">
      <c r="A58" s="72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</row>
    <row r="59" spans="1:12" ht="15" customHeight="1">
      <c r="A59" s="192" t="s">
        <v>71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</row>
    <row r="60" spans="1:12" ht="15" customHeight="1">
      <c r="A60" s="72">
        <v>2010</v>
      </c>
      <c r="B60" s="79">
        <v>3.2499999999999994E-2</v>
      </c>
      <c r="C60" s="79"/>
      <c r="D60" s="79">
        <v>1.4E-3</v>
      </c>
      <c r="E60" s="79"/>
      <c r="F60" s="79">
        <v>3.2199999999999999E-2</v>
      </c>
      <c r="G60" s="79"/>
      <c r="H60" s="79">
        <v>5.2400000000000002E-2</v>
      </c>
      <c r="I60" s="79"/>
      <c r="J60" s="79">
        <v>5.4600000000000003E-2</v>
      </c>
      <c r="K60" s="79"/>
      <c r="L60" s="79">
        <v>5.96E-2</v>
      </c>
    </row>
    <row r="61" spans="1:12" ht="15" customHeight="1">
      <c r="A61" s="72">
        <v>2011</v>
      </c>
      <c r="B61" s="79">
        <v>3.2500000000000001E-2</v>
      </c>
      <c r="C61" s="79"/>
      <c r="D61" s="79">
        <v>5.9999999999999995E-4</v>
      </c>
      <c r="E61" s="79"/>
      <c r="F61" s="79">
        <v>2.7799999999999998E-2</v>
      </c>
      <c r="G61" s="79"/>
      <c r="H61" s="79">
        <v>4.7800000000000002E-2</v>
      </c>
      <c r="I61" s="79"/>
      <c r="J61" s="79">
        <v>5.04E-2</v>
      </c>
      <c r="K61" s="79"/>
      <c r="L61" s="79">
        <v>5.57E-2</v>
      </c>
    </row>
    <row r="62" spans="1:12" ht="15" customHeight="1">
      <c r="A62" s="72">
        <v>2012</v>
      </c>
      <c r="B62" s="79">
        <v>3.2500000000000001E-2</v>
      </c>
      <c r="C62" s="79"/>
      <c r="D62" s="79">
        <v>8.9999999999999998E-4</v>
      </c>
      <c r="E62" s="79"/>
      <c r="F62" s="79">
        <v>1.7999999999999999E-2</v>
      </c>
      <c r="G62" s="79"/>
      <c r="H62" s="79">
        <v>3.8300000000000001E-2</v>
      </c>
      <c r="I62" s="79"/>
      <c r="J62" s="79">
        <v>4.1300000000000003E-2</v>
      </c>
      <c r="K62" s="79"/>
      <c r="L62" s="79">
        <v>4.8599999999999997E-2</v>
      </c>
    </row>
    <row r="63" spans="1:12" ht="15" customHeight="1">
      <c r="A63" s="72">
        <v>2013</v>
      </c>
      <c r="B63" s="79">
        <v>3.2500000000000001E-2</v>
      </c>
      <c r="C63" s="79"/>
      <c r="D63" s="79">
        <v>5.9999999999999995E-4</v>
      </c>
      <c r="E63" s="79"/>
      <c r="F63" s="79">
        <v>2.35E-2</v>
      </c>
      <c r="G63" s="79"/>
      <c r="H63" s="79">
        <v>4.24E-2</v>
      </c>
      <c r="I63" s="79"/>
      <c r="J63" s="79">
        <v>4.4699999999999997E-2</v>
      </c>
      <c r="K63" s="79"/>
      <c r="L63" s="79">
        <v>4.9799999999999997E-2</v>
      </c>
    </row>
    <row r="64" spans="1:12" ht="15" customHeight="1">
      <c r="A64" s="72">
        <v>2014</v>
      </c>
      <c r="B64" s="79">
        <v>3.2500000000000001E-2</v>
      </c>
      <c r="C64" s="79"/>
      <c r="D64" s="79">
        <v>2.9999999999999997E-4</v>
      </c>
      <c r="E64" s="79"/>
      <c r="F64" s="79">
        <v>2.5399999999999999E-2</v>
      </c>
      <c r="G64" s="79"/>
      <c r="H64" s="79">
        <v>4.19E-2</v>
      </c>
      <c r="I64" s="79"/>
      <c r="J64" s="79">
        <v>4.2799999999999998E-2</v>
      </c>
      <c r="K64" s="79"/>
      <c r="L64" s="79">
        <v>4.8000000000000001E-2</v>
      </c>
    </row>
    <row r="65" spans="1:12" ht="15" customHeight="1">
      <c r="A65" s="72">
        <v>2015</v>
      </c>
      <c r="B65" s="79">
        <v>3.2599999999999997E-2</v>
      </c>
      <c r="C65" s="79"/>
      <c r="D65" s="79">
        <v>5.9999999999999995E-4</v>
      </c>
      <c r="E65" s="79"/>
      <c r="F65" s="79">
        <v>2.1399999999999999E-2</v>
      </c>
      <c r="G65" s="79"/>
      <c r="H65" s="79">
        <v>0.04</v>
      </c>
      <c r="I65" s="79"/>
      <c r="J65" s="79">
        <v>4.1200000000000001E-2</v>
      </c>
      <c r="K65" s="79"/>
      <c r="L65" s="79">
        <v>5.0299999999999997E-2</v>
      </c>
    </row>
    <row r="66" spans="1:12" ht="15" customHeight="1">
      <c r="A66" s="72">
        <v>2016</v>
      </c>
      <c r="B66" s="79">
        <v>3.5099999999999999E-2</v>
      </c>
      <c r="C66" s="79"/>
      <c r="D66" s="79">
        <v>3.3E-3</v>
      </c>
      <c r="E66" s="79"/>
      <c r="F66" s="79">
        <v>1.84E-2</v>
      </c>
      <c r="G66" s="79"/>
      <c r="H66" s="79">
        <v>3.73E-2</v>
      </c>
      <c r="I66" s="79"/>
      <c r="J66" s="79">
        <v>3.9300000000000002E-2</v>
      </c>
      <c r="K66" s="79"/>
      <c r="L66" s="79">
        <v>4.6899999999999997E-2</v>
      </c>
    </row>
    <row r="67" spans="1:12" ht="15" customHeight="1">
      <c r="A67" s="72">
        <v>2017</v>
      </c>
      <c r="B67" s="79">
        <v>4.1000000000000002E-2</v>
      </c>
      <c r="C67" s="79"/>
      <c r="D67" s="79">
        <v>9.4000000000000004E-3</v>
      </c>
      <c r="E67" s="79"/>
      <c r="F67" s="79">
        <v>2.3300000000000001E-2</v>
      </c>
      <c r="G67" s="79"/>
      <c r="H67" s="79">
        <v>3.8199999999999998E-2</v>
      </c>
      <c r="I67" s="79"/>
      <c r="J67" s="79">
        <v>0.04</v>
      </c>
      <c r="K67" s="79"/>
      <c r="L67" s="79">
        <v>4.3799999999999999E-2</v>
      </c>
    </row>
    <row r="68" spans="1:12" ht="15" customHeight="1">
      <c r="A68" s="72">
        <v>2018</v>
      </c>
      <c r="B68" s="79">
        <v>4.9099999999999998E-2</v>
      </c>
      <c r="C68" s="79"/>
      <c r="D68" s="79">
        <v>1.9400000000000001E-2</v>
      </c>
      <c r="E68" s="79"/>
      <c r="F68" s="79">
        <v>2.9100000000000001E-2</v>
      </c>
      <c r="G68" s="79"/>
      <c r="H68" s="79">
        <v>4.0899999999999999E-2</v>
      </c>
      <c r="I68" s="79"/>
      <c r="J68" s="79">
        <v>4.2500000000000003E-2</v>
      </c>
      <c r="K68" s="79"/>
      <c r="L68" s="79">
        <v>4.6699999999999998E-2</v>
      </c>
    </row>
    <row r="69" spans="1:12" ht="15" customHeight="1">
      <c r="A69" s="72">
        <v>2019</v>
      </c>
      <c r="B69" s="79">
        <v>5.28E-2</v>
      </c>
      <c r="C69" s="79"/>
      <c r="D69" s="79">
        <v>2.0799999999999999E-2</v>
      </c>
      <c r="E69" s="79"/>
      <c r="F69" s="79">
        <v>2.1399999999999999E-2</v>
      </c>
      <c r="G69" s="79"/>
      <c r="H69" s="79">
        <v>3.61E-2</v>
      </c>
      <c r="I69" s="79"/>
      <c r="J69" s="79">
        <v>3.7699999999999997E-2</v>
      </c>
      <c r="K69" s="79"/>
      <c r="L69" s="79">
        <v>4.19E-2</v>
      </c>
    </row>
    <row r="70" spans="1:12" ht="15" customHeight="1">
      <c r="A70" s="72">
        <v>2020</v>
      </c>
      <c r="B70" s="79">
        <v>3.5400000000000001E-2</v>
      </c>
      <c r="C70" s="79"/>
      <c r="D70" s="79">
        <v>3.8E-3</v>
      </c>
      <c r="E70" s="79"/>
      <c r="F70" s="79">
        <v>8.8999999999999999E-3</v>
      </c>
      <c r="G70" s="79"/>
      <c r="H70" s="79">
        <v>2.7900000000000001E-2</v>
      </c>
      <c r="I70" s="79"/>
      <c r="J70" s="79">
        <v>3.0200000000000001E-2</v>
      </c>
      <c r="K70" s="79"/>
      <c r="L70" s="79">
        <v>3.39E-2</v>
      </c>
    </row>
    <row r="71" spans="1:12" ht="15" customHeight="1">
      <c r="A71" s="64" t="s">
        <v>51</v>
      </c>
      <c r="B71" s="167">
        <f>AVERAGE(B60:B70)</f>
        <v>3.7136363636363634E-2</v>
      </c>
      <c r="C71" s="79"/>
      <c r="D71" s="167">
        <f>AVERAGE(D60:D70)</f>
        <v>5.5545454545454544E-3</v>
      </c>
      <c r="E71" s="79"/>
      <c r="F71" s="167">
        <f>AVERAGE(F60:F70)</f>
        <v>2.2672727272727275E-2</v>
      </c>
      <c r="G71" s="79"/>
      <c r="H71" s="167">
        <f>AVERAGE(H60:H70)</f>
        <v>4.0290909090909093E-2</v>
      </c>
      <c r="I71" s="79"/>
      <c r="J71" s="167">
        <f>AVERAGE(J60:J70)</f>
        <v>4.2245454545454544E-2</v>
      </c>
      <c r="K71" s="79"/>
      <c r="L71" s="167">
        <f>AVERAGE(L60:L70)</f>
        <v>4.7745454545454542E-2</v>
      </c>
    </row>
    <row r="72" spans="1:12" ht="15" customHeight="1">
      <c r="A72" s="72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 ht="15" customHeight="1">
      <c r="A73" s="190" t="s">
        <v>72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</row>
    <row r="74" spans="1:12" ht="15" customHeight="1">
      <c r="A74" s="72">
        <v>2021</v>
      </c>
      <c r="B74" s="79">
        <v>3.2500000000000001E-2</v>
      </c>
      <c r="C74" s="79"/>
      <c r="D74" s="79">
        <v>4.0000000000000002E-4</v>
      </c>
      <c r="E74" s="79"/>
      <c r="F74" s="79">
        <v>1.4500000000000001E-2</v>
      </c>
      <c r="G74" s="79"/>
      <c r="H74" s="79">
        <v>2.9700000000000001E-2</v>
      </c>
      <c r="I74" s="79"/>
      <c r="J74" s="79">
        <v>3.1099999999999999E-2</v>
      </c>
      <c r="K74" s="79"/>
      <c r="L74" s="79">
        <v>3.3599999999999998E-2</v>
      </c>
    </row>
    <row r="75" spans="1:12" ht="15" customHeight="1">
      <c r="A75" s="72">
        <v>2022</v>
      </c>
      <c r="B75" s="79">
        <v>4.8599999999999997E-2</v>
      </c>
      <c r="C75" s="79"/>
      <c r="D75" s="79">
        <v>2.0400000000000001E-2</v>
      </c>
      <c r="E75" s="79"/>
      <c r="F75" s="79">
        <v>2.9499999999999998E-2</v>
      </c>
      <c r="G75" s="79"/>
      <c r="H75" s="79">
        <v>4.53E-2</v>
      </c>
      <c r="I75" s="79"/>
      <c r="J75" s="79">
        <v>4.7199999999999999E-2</v>
      </c>
      <c r="K75" s="79"/>
      <c r="L75" s="79">
        <v>5.0299999999999997E-2</v>
      </c>
    </row>
    <row r="76" spans="1:12" ht="15" customHeight="1">
      <c r="A76" s="72">
        <v>2023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 ht="15" customHeight="1">
      <c r="A77" s="72" t="s">
        <v>94</v>
      </c>
      <c r="B77" s="79">
        <v>7.4999999999999997E-2</v>
      </c>
      <c r="C77" s="79"/>
      <c r="D77" s="79">
        <v>4.53E-2</v>
      </c>
      <c r="E77" s="79"/>
      <c r="F77" s="79">
        <v>3.5299999999999998E-2</v>
      </c>
      <c r="G77" s="79"/>
      <c r="H77" s="79">
        <v>4.9799999999999997E-2</v>
      </c>
      <c r="I77" s="79"/>
      <c r="J77" s="79">
        <v>5.1999999999999998E-2</v>
      </c>
      <c r="K77" s="79"/>
      <c r="L77" s="79">
        <v>5.4899999999999997E-2</v>
      </c>
    </row>
    <row r="78" spans="1:12" ht="15" customHeight="1">
      <c r="A78" s="72" t="s">
        <v>95</v>
      </c>
      <c r="B78" s="79">
        <v>7.7499999999999999E-2</v>
      </c>
      <c r="C78" s="79"/>
      <c r="D78" s="79">
        <v>4.65E-2</v>
      </c>
      <c r="E78" s="79"/>
      <c r="F78" s="79">
        <v>3.7499999999999999E-2</v>
      </c>
      <c r="G78" s="79"/>
      <c r="H78" s="79">
        <v>5.1200000000000002E-2</v>
      </c>
      <c r="I78" s="79"/>
      <c r="J78" s="79">
        <v>5.2900000000000003E-2</v>
      </c>
      <c r="K78" s="79"/>
      <c r="L78" s="79">
        <v>5.5399999999999998E-2</v>
      </c>
    </row>
    <row r="79" spans="1:12" ht="15" customHeight="1">
      <c r="A79" s="72" t="s">
        <v>96</v>
      </c>
      <c r="B79" s="79">
        <v>0.08</v>
      </c>
      <c r="C79" s="79"/>
      <c r="D79" s="79">
        <v>4.7199999999999999E-2</v>
      </c>
      <c r="E79" s="79"/>
      <c r="F79" s="79">
        <v>3.6600000000000001E-2</v>
      </c>
      <c r="G79" s="79"/>
      <c r="H79" s="79">
        <v>5.2400000000000002E-2</v>
      </c>
      <c r="I79" s="79"/>
      <c r="J79" s="79">
        <v>5.3900000000000003E-2</v>
      </c>
      <c r="K79" s="79"/>
      <c r="L79" s="79">
        <v>5.6800000000000003E-2</v>
      </c>
    </row>
    <row r="80" spans="1:12" ht="15" customHeight="1">
      <c r="A80" s="72" t="s">
        <v>97</v>
      </c>
      <c r="B80" s="79">
        <v>0.08</v>
      </c>
      <c r="C80" s="79"/>
      <c r="D80" s="79">
        <v>4.9799999999999997E-2</v>
      </c>
      <c r="E80" s="79"/>
      <c r="F80" s="79">
        <v>3.4599999999999999E-2</v>
      </c>
      <c r="G80" s="79"/>
      <c r="H80" s="79">
        <v>0.05</v>
      </c>
      <c r="I80" s="79"/>
      <c r="J80" s="79">
        <v>5.1299999999999998E-2</v>
      </c>
      <c r="K80" s="79"/>
      <c r="L80" s="79">
        <v>5.4699999999999999E-2</v>
      </c>
    </row>
    <row r="81" spans="1:12" ht="15" customHeight="1">
      <c r="A81" s="72" t="s">
        <v>98</v>
      </c>
      <c r="B81" s="79">
        <v>8.2500000000000004E-2</v>
      </c>
      <c r="C81" s="79"/>
      <c r="D81" s="79">
        <v>5.1400000000000001E-2</v>
      </c>
      <c r="E81" s="79"/>
      <c r="F81" s="79">
        <v>3.5700000000000003E-2</v>
      </c>
      <c r="G81" s="79"/>
      <c r="H81" s="79">
        <v>5.2400000000000002E-2</v>
      </c>
      <c r="I81" s="79"/>
      <c r="J81" s="79">
        <v>5.3600000000000002E-2</v>
      </c>
      <c r="K81" s="79"/>
      <c r="L81" s="79">
        <v>5.7099999999999998E-2</v>
      </c>
    </row>
    <row r="82" spans="1:12" ht="15" customHeight="1">
      <c r="A82" s="72" t="s">
        <v>99</v>
      </c>
      <c r="B82" s="79">
        <v>8.2500000000000004E-2</v>
      </c>
      <c r="C82" s="79"/>
      <c r="D82" s="79">
        <v>5.1999999999999998E-2</v>
      </c>
      <c r="E82" s="79"/>
      <c r="F82" s="79">
        <v>3.7499999999999999E-2</v>
      </c>
      <c r="G82" s="79"/>
      <c r="H82" s="79">
        <v>5.2600000000000001E-2</v>
      </c>
      <c r="I82" s="79"/>
      <c r="J82" s="79">
        <v>5.3800000000000001E-2</v>
      </c>
      <c r="K82" s="79"/>
      <c r="L82" s="79">
        <v>5.7299999999999997E-2</v>
      </c>
    </row>
    <row r="83" spans="1:12" ht="15" customHeight="1">
      <c r="A83" s="72" t="s">
        <v>100</v>
      </c>
      <c r="B83" s="79">
        <v>8.5000000000000006E-2</v>
      </c>
      <c r="C83" s="79"/>
      <c r="D83" s="79">
        <v>5.2499999999999998E-2</v>
      </c>
      <c r="E83" s="79"/>
      <c r="F83" s="79">
        <v>3.9E-2</v>
      </c>
      <c r="G83" s="79"/>
      <c r="H83" s="79">
        <v>5.2999999999999999E-2</v>
      </c>
      <c r="I83" s="79"/>
      <c r="J83" s="79">
        <v>5.4100000000000002E-2</v>
      </c>
      <c r="K83" s="79"/>
      <c r="L83" s="79">
        <v>5.7299999999999997E-2</v>
      </c>
    </row>
    <row r="84" spans="1:12" ht="15" customHeight="1" thickBot="1">
      <c r="A84" s="74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</row>
    <row r="85" spans="1:12" ht="15" customHeight="1" thickTop="1"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</row>
    <row r="86" spans="1:12" ht="15" customHeight="1">
      <c r="A86" s="60" t="s">
        <v>101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</row>
    <row r="87" spans="1:12" ht="15" customHeight="1"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</row>
    <row r="88" spans="1:12" ht="15" customHeight="1">
      <c r="A88" s="60" t="s">
        <v>102</v>
      </c>
      <c r="B88" s="81"/>
      <c r="D88" s="81"/>
      <c r="F88" s="81"/>
      <c r="H88" s="81"/>
      <c r="J88" s="81"/>
      <c r="L88" s="81"/>
    </row>
    <row r="89" spans="1:12" ht="15" customHeight="1">
      <c r="A89" s="60" t="s">
        <v>103</v>
      </c>
      <c r="B89" s="81"/>
      <c r="D89" s="81"/>
      <c r="F89" s="81"/>
      <c r="H89" s="81"/>
      <c r="J89" s="81"/>
      <c r="L89" s="81"/>
    </row>
    <row r="90" spans="1:12" ht="15" customHeight="1">
      <c r="B90" s="81"/>
      <c r="D90" s="81"/>
      <c r="F90" s="81"/>
      <c r="H90" s="81"/>
      <c r="J90" s="81"/>
      <c r="L90" s="81"/>
    </row>
    <row r="91" spans="1:12" ht="15" customHeight="1"/>
    <row r="92" spans="1:12" ht="15" customHeight="1"/>
    <row r="93" spans="1:12" ht="15" customHeight="1"/>
    <row r="94" spans="1:12" ht="15" customHeight="1"/>
    <row r="95" spans="1:12" ht="15" customHeight="1"/>
    <row r="96" spans="1:1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</sheetData>
  <mergeCells count="7">
    <mergeCell ref="A73:L73"/>
    <mergeCell ref="A59:L59"/>
    <mergeCell ref="A4:L4"/>
    <mergeCell ref="A12:L12"/>
    <mergeCell ref="A23:L23"/>
    <mergeCell ref="A35:L35"/>
    <mergeCell ref="A48:L48"/>
  </mergeCells>
  <printOptions horizontalCentered="1" verticalCentered="1"/>
  <pageMargins left="0.5" right="0.5" top="0.5" bottom="0.5" header="0.5" footer="0.5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16"/>
  <sheetViews>
    <sheetView zoomScale="118" zoomScaleNormal="118" workbookViewId="0">
      <selection activeCell="E77" sqref="E77"/>
    </sheetView>
  </sheetViews>
  <sheetFormatPr defaultColWidth="9.76953125" defaultRowHeight="15"/>
  <cols>
    <col min="1" max="1" width="13.2265625" style="82" customWidth="1"/>
    <col min="2" max="2" width="12.54296875" style="82" customWidth="1"/>
    <col min="3" max="3" width="12.2265625" style="82" customWidth="1"/>
    <col min="4" max="4" width="11.76953125" style="82" customWidth="1"/>
    <col min="5" max="16384" width="9.76953125" style="82"/>
  </cols>
  <sheetData>
    <row r="1" spans="1:5">
      <c r="E1" s="171" t="str">
        <f>+'DCP-4, P 2'!J1</f>
        <v>Exh. DCP-4</v>
      </c>
    </row>
    <row r="2" spans="1:5">
      <c r="E2" s="171" t="s">
        <v>104</v>
      </c>
    </row>
    <row r="4" spans="1:5" ht="20.100000000000001">
      <c r="A4" s="191" t="s">
        <v>105</v>
      </c>
      <c r="B4" s="191"/>
      <c r="C4" s="191"/>
      <c r="D4" s="191"/>
      <c r="E4" s="191"/>
    </row>
    <row r="5" spans="1:5" ht="20.399999999999999" thickBot="1">
      <c r="A5" s="77"/>
      <c r="B5" s="77"/>
      <c r="C5" s="77"/>
      <c r="D5" s="77"/>
      <c r="E5" s="77"/>
    </row>
    <row r="6" spans="1:5" ht="16.5" customHeight="1" thickTop="1">
      <c r="A6" s="83"/>
      <c r="B6" s="83"/>
      <c r="C6" s="83"/>
      <c r="D6" s="83"/>
      <c r="E6" s="83"/>
    </row>
    <row r="7" spans="1:5">
      <c r="A7" s="64"/>
      <c r="B7" s="64" t="s">
        <v>106</v>
      </c>
      <c r="C7" s="64" t="s">
        <v>107</v>
      </c>
      <c r="D7" s="64"/>
      <c r="E7" s="64" t="s">
        <v>106</v>
      </c>
    </row>
    <row r="8" spans="1:5">
      <c r="A8" s="64"/>
      <c r="B8" s="64" t="s">
        <v>108</v>
      </c>
      <c r="C8" s="64" t="s">
        <v>108</v>
      </c>
      <c r="D8" s="64" t="s">
        <v>109</v>
      </c>
      <c r="E8" s="64" t="s">
        <v>110</v>
      </c>
    </row>
    <row r="9" spans="1:5">
      <c r="A9" s="65"/>
      <c r="B9" s="65"/>
      <c r="C9" s="65"/>
      <c r="D9" s="65"/>
      <c r="E9" s="65"/>
    </row>
    <row r="10" spans="1:5" ht="15" customHeight="1">
      <c r="A10" s="60"/>
      <c r="B10" s="60"/>
      <c r="C10" s="60"/>
      <c r="D10" s="60"/>
      <c r="E10" s="60"/>
    </row>
    <row r="11" spans="1:5" ht="15" customHeight="1">
      <c r="A11" s="192" t="s">
        <v>42</v>
      </c>
      <c r="B11" s="192"/>
      <c r="C11" s="192"/>
      <c r="D11" s="192"/>
      <c r="E11" s="192"/>
    </row>
    <row r="12" spans="1:5" ht="15" customHeight="1">
      <c r="A12" s="67" t="s">
        <v>43</v>
      </c>
      <c r="B12" s="67"/>
      <c r="C12" s="84"/>
      <c r="D12" s="85">
        <v>802.49</v>
      </c>
      <c r="E12" s="79">
        <v>9.1499999999999998E-2</v>
      </c>
    </row>
    <row r="13" spans="1:5" ht="15" customHeight="1">
      <c r="A13" s="67" t="s">
        <v>44</v>
      </c>
      <c r="B13" s="84"/>
      <c r="C13" s="84"/>
      <c r="D13" s="85">
        <v>974.92</v>
      </c>
      <c r="E13" s="79">
        <v>8.8999999999999996E-2</v>
      </c>
    </row>
    <row r="14" spans="1:5" ht="15" customHeight="1">
      <c r="A14" s="67" t="s">
        <v>45</v>
      </c>
      <c r="B14" s="84"/>
      <c r="C14" s="84"/>
      <c r="D14" s="85">
        <v>894.63</v>
      </c>
      <c r="E14" s="79">
        <v>0.1079</v>
      </c>
    </row>
    <row r="15" spans="1:5" ht="15" customHeight="1">
      <c r="A15" s="67" t="s">
        <v>46</v>
      </c>
      <c r="B15" s="84"/>
      <c r="C15" s="84"/>
      <c r="D15" s="85">
        <v>820.23</v>
      </c>
      <c r="E15" s="79">
        <v>0.1203</v>
      </c>
    </row>
    <row r="16" spans="1:5" ht="15" customHeight="1">
      <c r="A16" s="67" t="s">
        <v>47</v>
      </c>
      <c r="B16" s="84"/>
      <c r="C16" s="84"/>
      <c r="D16" s="85">
        <v>844.4</v>
      </c>
      <c r="E16" s="79">
        <v>0.1346</v>
      </c>
    </row>
    <row r="17" spans="1:5" ht="15" customHeight="1">
      <c r="A17" s="67" t="s">
        <v>48</v>
      </c>
      <c r="B17" s="84"/>
      <c r="C17" s="84"/>
      <c r="D17" s="85">
        <v>891.41</v>
      </c>
      <c r="E17" s="79">
        <v>0.12659999999999999</v>
      </c>
    </row>
    <row r="18" spans="1:5" ht="15" customHeight="1">
      <c r="A18" s="67" t="s">
        <v>49</v>
      </c>
      <c r="B18" s="84"/>
      <c r="C18" s="84"/>
      <c r="D18" s="85">
        <v>932.92</v>
      </c>
      <c r="E18" s="79">
        <v>0.1196</v>
      </c>
    </row>
    <row r="19" spans="1:5" ht="15" customHeight="1">
      <c r="A19" s="67" t="s">
        <v>50</v>
      </c>
      <c r="B19" s="84"/>
      <c r="C19" s="84"/>
      <c r="D19" s="85">
        <v>884.36</v>
      </c>
      <c r="E19" s="79">
        <v>0.11600000000000001</v>
      </c>
    </row>
    <row r="20" spans="1:5" ht="15" customHeight="1">
      <c r="A20" s="64" t="s">
        <v>111</v>
      </c>
      <c r="B20" s="84"/>
      <c r="C20" s="84"/>
      <c r="D20" s="140">
        <f>AVERAGE(D12:D19)</f>
        <v>880.67</v>
      </c>
      <c r="E20" s="167">
        <f>AVERAGE(E12:E19)</f>
        <v>0.1131875</v>
      </c>
    </row>
    <row r="21" spans="1:5" ht="15" customHeight="1">
      <c r="A21" s="67"/>
      <c r="B21" s="84"/>
      <c r="C21" s="84"/>
      <c r="D21" s="85"/>
      <c r="E21" s="79"/>
    </row>
    <row r="22" spans="1:5" ht="15" customHeight="1">
      <c r="A22" s="194" t="s">
        <v>52</v>
      </c>
      <c r="B22" s="194"/>
      <c r="C22" s="194"/>
      <c r="D22" s="194"/>
      <c r="E22" s="194"/>
    </row>
    <row r="23" spans="1:5" ht="15" customHeight="1">
      <c r="A23" s="67" t="s">
        <v>53</v>
      </c>
      <c r="B23" s="84"/>
      <c r="C23" s="84"/>
      <c r="D23" s="85">
        <v>1190.3399999999999</v>
      </c>
      <c r="E23" s="79">
        <v>8.0299999999999996E-2</v>
      </c>
    </row>
    <row r="24" spans="1:5" ht="15" customHeight="1">
      <c r="A24" s="67" t="s">
        <v>54</v>
      </c>
      <c r="B24" s="84"/>
      <c r="C24" s="84"/>
      <c r="D24" s="85">
        <v>1178.48</v>
      </c>
      <c r="E24" s="79">
        <v>0.1002</v>
      </c>
    </row>
    <row r="25" spans="1:5" ht="15" customHeight="1">
      <c r="A25" s="67" t="s">
        <v>55</v>
      </c>
      <c r="B25" s="84"/>
      <c r="C25" s="84"/>
      <c r="D25" s="85">
        <v>1328.23</v>
      </c>
      <c r="E25" s="79">
        <v>8.1199999999999994E-2</v>
      </c>
    </row>
    <row r="26" spans="1:5" ht="15" customHeight="1">
      <c r="A26" s="67" t="s">
        <v>56</v>
      </c>
      <c r="B26" s="84"/>
      <c r="C26" s="84"/>
      <c r="D26" s="85">
        <v>1792.76</v>
      </c>
      <c r="E26" s="79">
        <v>6.0900000000000003E-2</v>
      </c>
    </row>
    <row r="27" spans="1:5" ht="15" customHeight="1">
      <c r="A27" s="67" t="s">
        <v>57</v>
      </c>
      <c r="B27" s="84"/>
      <c r="C27" s="84"/>
      <c r="D27" s="85">
        <v>2275.9899999999998</v>
      </c>
      <c r="E27" s="79">
        <v>5.4800000000000001E-2</v>
      </c>
    </row>
    <row r="28" spans="1:5" ht="15" customHeight="1">
      <c r="A28" s="67" t="s">
        <v>58</v>
      </c>
      <c r="B28" s="84" t="s">
        <v>112</v>
      </c>
      <c r="C28" s="84" t="s">
        <v>112</v>
      </c>
      <c r="D28" s="85">
        <v>2060.8200000000002</v>
      </c>
      <c r="E28" s="79">
        <v>8.0100000000000005E-2</v>
      </c>
    </row>
    <row r="29" spans="1:5" ht="15" customHeight="1">
      <c r="A29" s="67" t="s">
        <v>59</v>
      </c>
      <c r="B29" s="84">
        <v>322.83999999999997</v>
      </c>
      <c r="C29" s="84"/>
      <c r="D29" s="85">
        <v>2508.91</v>
      </c>
      <c r="E29" s="79">
        <v>7.4099999999999999E-2</v>
      </c>
    </row>
    <row r="30" spans="1:5" ht="15" customHeight="1">
      <c r="A30" s="67" t="s">
        <v>60</v>
      </c>
      <c r="B30" s="84">
        <v>334.59</v>
      </c>
      <c r="C30" s="84"/>
      <c r="D30" s="85">
        <v>2678.94</v>
      </c>
      <c r="E30" s="79">
        <v>6.4699999999999994E-2</v>
      </c>
    </row>
    <row r="31" spans="1:5" ht="15" customHeight="1">
      <c r="A31" s="67" t="s">
        <v>61</v>
      </c>
      <c r="B31" s="84">
        <v>376.18</v>
      </c>
      <c r="C31" s="84">
        <v>491.69</v>
      </c>
      <c r="D31" s="85">
        <v>2929.33</v>
      </c>
      <c r="E31" s="79">
        <v>4.7899999999999998E-2</v>
      </c>
    </row>
    <row r="32" spans="1:5" ht="15" customHeight="1">
      <c r="A32" s="64" t="s">
        <v>111</v>
      </c>
      <c r="B32" s="86"/>
      <c r="C32" s="84"/>
      <c r="D32" s="140">
        <f>AVERAGE(D23:D31)</f>
        <v>1993.7555555555555</v>
      </c>
      <c r="E32" s="167">
        <f>AVERAGE(E23:E31)</f>
        <v>7.1577777777777796E-2</v>
      </c>
    </row>
    <row r="33" spans="1:5" ht="15" customHeight="1">
      <c r="A33" s="67"/>
      <c r="B33" s="84"/>
      <c r="C33" s="84"/>
      <c r="D33" s="85"/>
      <c r="E33" s="79"/>
    </row>
    <row r="34" spans="1:5" ht="15" customHeight="1">
      <c r="A34" s="192" t="s">
        <v>62</v>
      </c>
      <c r="B34" s="192"/>
      <c r="C34" s="192"/>
      <c r="D34" s="192"/>
      <c r="E34" s="192"/>
    </row>
    <row r="35" spans="1:5" ht="15" customHeight="1">
      <c r="A35" s="67" t="s">
        <v>63</v>
      </c>
      <c r="B35" s="85">
        <v>415.74</v>
      </c>
      <c r="C35" s="85">
        <v>599.26</v>
      </c>
      <c r="D35" s="85">
        <v>3284.29</v>
      </c>
      <c r="E35" s="79">
        <v>4.2200000000000001E-2</v>
      </c>
    </row>
    <row r="36" spans="1:5" ht="15" customHeight="1">
      <c r="A36" s="67" t="s">
        <v>65</v>
      </c>
      <c r="B36" s="85">
        <v>451.41</v>
      </c>
      <c r="C36" s="84">
        <v>715.16</v>
      </c>
      <c r="D36" s="85">
        <v>3522.06</v>
      </c>
      <c r="E36" s="79">
        <v>4.4600000000000001E-2</v>
      </c>
    </row>
    <row r="37" spans="1:5" ht="15" customHeight="1">
      <c r="A37" s="67" t="s">
        <v>66</v>
      </c>
      <c r="B37" s="85">
        <v>460.33</v>
      </c>
      <c r="C37" s="84">
        <v>751.65</v>
      </c>
      <c r="D37" s="85">
        <v>3793.77</v>
      </c>
      <c r="E37" s="79">
        <v>5.8299999999999998E-2</v>
      </c>
    </row>
    <row r="38" spans="1:5" ht="15" customHeight="1">
      <c r="A38" s="85" t="s">
        <v>67</v>
      </c>
      <c r="B38" s="85">
        <v>541.64</v>
      </c>
      <c r="C38" s="85">
        <v>925.19</v>
      </c>
      <c r="D38" s="85">
        <v>4493.76</v>
      </c>
      <c r="E38" s="79">
        <v>6.0900000000000003E-2</v>
      </c>
    </row>
    <row r="39" spans="1:5" ht="15" customHeight="1">
      <c r="A39" s="85" t="s">
        <v>68</v>
      </c>
      <c r="B39" s="85">
        <v>670.83</v>
      </c>
      <c r="C39" s="85">
        <v>1164.96</v>
      </c>
      <c r="D39" s="85">
        <v>5742.89</v>
      </c>
      <c r="E39" s="79">
        <v>5.2400000000000002E-2</v>
      </c>
    </row>
    <row r="40" spans="1:5" ht="15" customHeight="1">
      <c r="A40" s="85" t="s">
        <v>69</v>
      </c>
      <c r="B40" s="85">
        <v>872.72</v>
      </c>
      <c r="C40" s="85">
        <v>1469.49</v>
      </c>
      <c r="D40" s="85">
        <v>7441.15</v>
      </c>
      <c r="E40" s="79">
        <v>4.5699999999999998E-2</v>
      </c>
    </row>
    <row r="41" spans="1:5" ht="15" customHeight="1">
      <c r="A41" s="72">
        <v>1998</v>
      </c>
      <c r="B41" s="85">
        <v>1085.5</v>
      </c>
      <c r="C41" s="85">
        <v>1794.91</v>
      </c>
      <c r="D41" s="85">
        <v>8625.52</v>
      </c>
      <c r="E41" s="79">
        <v>3.4599999999999999E-2</v>
      </c>
    </row>
    <row r="42" spans="1:5" ht="15" customHeight="1">
      <c r="A42" s="72">
        <v>1999</v>
      </c>
      <c r="B42" s="85">
        <v>1327.33</v>
      </c>
      <c r="C42" s="85">
        <v>2728.15</v>
      </c>
      <c r="D42" s="85">
        <v>10464.879999999999</v>
      </c>
      <c r="E42" s="79">
        <v>3.1699999999999999E-2</v>
      </c>
    </row>
    <row r="43" spans="1:5" ht="15" customHeight="1">
      <c r="A43" s="72">
        <v>2000</v>
      </c>
      <c r="B43" s="85">
        <v>1427.22</v>
      </c>
      <c r="C43" s="85">
        <v>2783.67</v>
      </c>
      <c r="D43" s="85">
        <v>10734.9</v>
      </c>
      <c r="E43" s="79">
        <v>3.6299999999999999E-2</v>
      </c>
    </row>
    <row r="44" spans="1:5" ht="15" customHeight="1">
      <c r="A44" s="72">
        <v>2001</v>
      </c>
      <c r="B44" s="85">
        <v>1194.18</v>
      </c>
      <c r="C44" s="85">
        <v>2035</v>
      </c>
      <c r="D44" s="85">
        <v>10189.129999999999</v>
      </c>
      <c r="E44" s="79">
        <v>2.9499999999999998E-2</v>
      </c>
    </row>
    <row r="45" spans="1:5" ht="15" customHeight="1">
      <c r="A45" s="64" t="s">
        <v>111</v>
      </c>
      <c r="B45" s="140">
        <f>AVERAGE(B35:B44)</f>
        <v>844.68999999999994</v>
      </c>
      <c r="C45" s="140">
        <f>AVERAGE(C35:C44)</f>
        <v>1496.7440000000001</v>
      </c>
      <c r="D45" s="140">
        <f>AVERAGE(D35:D44)</f>
        <v>6829.2350000000006</v>
      </c>
      <c r="E45" s="167">
        <f>AVERAGE(E35:E44)</f>
        <v>4.3620000000000006E-2</v>
      </c>
    </row>
    <row r="46" spans="1:5" ht="15" customHeight="1">
      <c r="A46" s="72"/>
      <c r="B46" s="85"/>
      <c r="C46" s="85"/>
      <c r="D46" s="85"/>
      <c r="E46" s="79"/>
    </row>
    <row r="47" spans="1:5" ht="15" customHeight="1">
      <c r="A47" s="195" t="s">
        <v>70</v>
      </c>
      <c r="B47" s="195"/>
      <c r="C47" s="195"/>
      <c r="D47" s="195"/>
      <c r="E47" s="195"/>
    </row>
    <row r="48" spans="1:5" ht="15" customHeight="1">
      <c r="A48" s="72">
        <v>2002</v>
      </c>
      <c r="B48" s="85">
        <v>993.94</v>
      </c>
      <c r="C48" s="85">
        <v>1539.73</v>
      </c>
      <c r="D48" s="85">
        <v>9226.43</v>
      </c>
      <c r="E48" s="79">
        <v>2.92E-2</v>
      </c>
    </row>
    <row r="49" spans="1:5" ht="15" customHeight="1">
      <c r="A49" s="72">
        <v>2003</v>
      </c>
      <c r="B49" s="85">
        <v>965.23</v>
      </c>
      <c r="C49" s="85">
        <v>1647.17</v>
      </c>
      <c r="D49" s="85">
        <v>8993.59</v>
      </c>
      <c r="E49" s="79">
        <v>3.8399999999999997E-2</v>
      </c>
    </row>
    <row r="50" spans="1:5" ht="15" customHeight="1">
      <c r="A50" s="72">
        <v>2004</v>
      </c>
      <c r="B50" s="85">
        <v>1130.6500000000001</v>
      </c>
      <c r="C50" s="85">
        <v>1986.53</v>
      </c>
      <c r="D50" s="85">
        <v>10317.39</v>
      </c>
      <c r="E50" s="79">
        <v>4.8899999999999999E-2</v>
      </c>
    </row>
    <row r="51" spans="1:5" ht="15" customHeight="1">
      <c r="A51" s="72">
        <v>2005</v>
      </c>
      <c r="B51" s="85">
        <v>1207.06</v>
      </c>
      <c r="C51" s="85">
        <v>2099.0300000000002</v>
      </c>
      <c r="D51" s="85">
        <v>10547.67</v>
      </c>
      <c r="E51" s="79">
        <v>5.3600000000000002E-2</v>
      </c>
    </row>
    <row r="52" spans="1:5" ht="15" customHeight="1">
      <c r="A52" s="72">
        <v>2006</v>
      </c>
      <c r="B52" s="85">
        <v>1310.67</v>
      </c>
      <c r="C52" s="85">
        <v>2265.17</v>
      </c>
      <c r="D52" s="85">
        <v>11408.67</v>
      </c>
      <c r="E52" s="79">
        <v>5.7799999999999997E-2</v>
      </c>
    </row>
    <row r="53" spans="1:5" ht="15" customHeight="1">
      <c r="A53" s="72">
        <v>2007</v>
      </c>
      <c r="B53" s="85">
        <v>1476.66</v>
      </c>
      <c r="C53" s="85">
        <v>2577.12</v>
      </c>
      <c r="D53" s="85">
        <v>13169.98</v>
      </c>
      <c r="E53" s="79">
        <v>5.2900000000000003E-2</v>
      </c>
    </row>
    <row r="54" spans="1:5" ht="15" customHeight="1">
      <c r="A54" s="72">
        <v>2008</v>
      </c>
      <c r="B54" s="85">
        <v>1220.8900000000001</v>
      </c>
      <c r="C54" s="85">
        <v>2162.46</v>
      </c>
      <c r="D54" s="85">
        <v>11252.62</v>
      </c>
      <c r="E54" s="79">
        <v>3.5400000000000001E-2</v>
      </c>
    </row>
    <row r="55" spans="1:5" ht="15" customHeight="1">
      <c r="A55" s="72">
        <v>2009</v>
      </c>
      <c r="B55" s="85">
        <v>946.73</v>
      </c>
      <c r="C55" s="85">
        <v>1841.03</v>
      </c>
      <c r="D55" s="85">
        <v>8876.15</v>
      </c>
      <c r="E55" s="87">
        <v>1.8599999999999998E-2</v>
      </c>
    </row>
    <row r="56" spans="1:5" ht="15" customHeight="1">
      <c r="A56" s="64" t="s">
        <v>111</v>
      </c>
      <c r="B56" s="140">
        <f>AVERAGE(B48:B55)</f>
        <v>1156.47875</v>
      </c>
      <c r="C56" s="140">
        <f>AVERAGE(C48:C55)</f>
        <v>2014.78</v>
      </c>
      <c r="D56" s="140">
        <f>AVERAGE(D48:D55)</f>
        <v>10474.062499999998</v>
      </c>
      <c r="E56" s="167">
        <f>AVERAGE(E48:E55)</f>
        <v>4.1849999999999998E-2</v>
      </c>
    </row>
    <row r="57" spans="1:5" ht="15" customHeight="1">
      <c r="A57" s="72"/>
      <c r="B57" s="85"/>
      <c r="C57" s="85"/>
      <c r="D57" s="85"/>
      <c r="E57" s="87"/>
    </row>
    <row r="58" spans="1:5" ht="15" customHeight="1">
      <c r="A58" s="190" t="s">
        <v>113</v>
      </c>
      <c r="B58" s="190"/>
      <c r="C58" s="190"/>
      <c r="D58" s="190"/>
      <c r="E58" s="190"/>
    </row>
    <row r="59" spans="1:5" ht="15" customHeight="1">
      <c r="A59" s="72">
        <v>2010</v>
      </c>
      <c r="B59" s="85">
        <v>1139.31</v>
      </c>
      <c r="C59" s="85">
        <v>2347.6999999999998</v>
      </c>
      <c r="D59" s="85">
        <v>10662.8</v>
      </c>
      <c r="E59" s="87">
        <v>6.0400000000000002E-2</v>
      </c>
    </row>
    <row r="60" spans="1:5" ht="15" customHeight="1">
      <c r="A60" s="72">
        <v>2011</v>
      </c>
      <c r="B60" s="85">
        <v>1268.8900000000001</v>
      </c>
      <c r="C60" s="85">
        <v>2680.42</v>
      </c>
      <c r="D60" s="85">
        <v>11966.36</v>
      </c>
      <c r="E60" s="87">
        <v>6.7699999999999996E-2</v>
      </c>
    </row>
    <row r="61" spans="1:5" ht="15" customHeight="1">
      <c r="A61" s="72">
        <v>2012</v>
      </c>
      <c r="B61" s="85">
        <v>1379.56</v>
      </c>
      <c r="C61" s="85">
        <v>2965.77</v>
      </c>
      <c r="D61" s="85">
        <v>12967.08</v>
      </c>
      <c r="E61" s="87">
        <v>6.2E-2</v>
      </c>
    </row>
    <row r="62" spans="1:5" ht="15" customHeight="1">
      <c r="A62" s="72">
        <v>2013</v>
      </c>
      <c r="B62" s="85">
        <v>1462.51</v>
      </c>
      <c r="C62" s="85">
        <v>3537.69</v>
      </c>
      <c r="D62" s="85">
        <v>14999.67</v>
      </c>
      <c r="E62" s="87">
        <v>5.57E-2</v>
      </c>
    </row>
    <row r="63" spans="1:5" ht="15" customHeight="1">
      <c r="A63" s="72">
        <v>2014</v>
      </c>
      <c r="B63" s="85">
        <v>1930.67</v>
      </c>
      <c r="C63" s="85">
        <v>4374.3100000000004</v>
      </c>
      <c r="D63" s="85">
        <v>16773.990000000002</v>
      </c>
      <c r="E63" s="87">
        <v>5.2499999999999998E-2</v>
      </c>
    </row>
    <row r="64" spans="1:5" ht="15" customHeight="1">
      <c r="A64" s="72">
        <v>2015</v>
      </c>
      <c r="B64" s="85">
        <v>2061.1999999999998</v>
      </c>
      <c r="C64" s="85">
        <v>4943.49</v>
      </c>
      <c r="D64" s="85">
        <v>17590.61</v>
      </c>
      <c r="E64" s="87">
        <v>4.5900000000000003E-2</v>
      </c>
    </row>
    <row r="65" spans="1:5" ht="15" customHeight="1">
      <c r="A65" s="72">
        <v>2016</v>
      </c>
      <c r="B65" s="85">
        <v>2092.39</v>
      </c>
      <c r="C65" s="85">
        <v>4982.49</v>
      </c>
      <c r="D65" s="85">
        <v>17908.080000000002</v>
      </c>
      <c r="E65" s="87">
        <v>4.1700000000000001E-2</v>
      </c>
    </row>
    <row r="66" spans="1:5" ht="15" customHeight="1">
      <c r="A66" s="72">
        <v>2017</v>
      </c>
      <c r="B66" s="85">
        <v>2448.2199999999998</v>
      </c>
      <c r="C66" s="85">
        <v>6231.28</v>
      </c>
      <c r="D66" s="85">
        <v>21741.91</v>
      </c>
      <c r="E66" s="87">
        <v>4.2200000000000001E-2</v>
      </c>
    </row>
    <row r="67" spans="1:5" ht="15" customHeight="1">
      <c r="A67" s="72">
        <v>2018</v>
      </c>
      <c r="B67" s="85">
        <v>2744.68</v>
      </c>
      <c r="C67" s="85">
        <v>7419.27</v>
      </c>
      <c r="D67" s="85">
        <v>25045.75</v>
      </c>
      <c r="E67" s="87">
        <v>4.6600000000000003E-2</v>
      </c>
    </row>
    <row r="68" spans="1:5" ht="15" customHeight="1">
      <c r="A68" s="72">
        <v>2019</v>
      </c>
      <c r="B68" s="85">
        <v>2912.5</v>
      </c>
      <c r="C68" s="85">
        <v>7936.85</v>
      </c>
      <c r="D68" s="85">
        <v>26378.41</v>
      </c>
      <c r="E68" s="87">
        <v>4.53E-2</v>
      </c>
    </row>
    <row r="69" spans="1:5" ht="15" customHeight="1">
      <c r="A69" s="72">
        <v>2020</v>
      </c>
      <c r="B69" s="85">
        <v>3218.5</v>
      </c>
      <c r="C69" s="85">
        <v>10192.67</v>
      </c>
      <c r="D69" s="85">
        <v>26906.89</v>
      </c>
      <c r="E69" s="87">
        <v>3.2599999999999997E-2</v>
      </c>
    </row>
    <row r="70" spans="1:5" ht="15" customHeight="1">
      <c r="A70" s="64" t="s">
        <v>111</v>
      </c>
      <c r="B70" s="140">
        <f>AVERAGE(B59:B69)</f>
        <v>2059.8572727272726</v>
      </c>
      <c r="C70" s="140">
        <f>AVERAGE(C59:C69)</f>
        <v>5237.44909090909</v>
      </c>
      <c r="D70" s="140">
        <f>AVERAGE(D59:D69)</f>
        <v>18449.231818181815</v>
      </c>
      <c r="E70" s="167">
        <f>AVERAGE(E59:E69)</f>
        <v>5.0236363636363635E-2</v>
      </c>
    </row>
    <row r="71" spans="1:5" ht="15" customHeight="1">
      <c r="A71" s="64"/>
      <c r="B71" s="140"/>
      <c r="C71" s="140"/>
      <c r="D71" s="140"/>
      <c r="E71" s="167"/>
    </row>
    <row r="72" spans="1:5" ht="15" customHeight="1">
      <c r="A72" s="64"/>
      <c r="B72" s="140"/>
      <c r="C72" s="140"/>
      <c r="D72" s="140"/>
      <c r="E72" s="167"/>
    </row>
    <row r="73" spans="1:5" ht="15" customHeight="1">
      <c r="A73" s="192" t="s">
        <v>114</v>
      </c>
      <c r="B73" s="192"/>
      <c r="C73" s="192"/>
      <c r="D73" s="192"/>
      <c r="E73" s="192"/>
    </row>
    <row r="74" spans="1:5" ht="15" customHeight="1">
      <c r="A74" s="72">
        <v>2021</v>
      </c>
      <c r="B74" s="85">
        <v>4266.8</v>
      </c>
      <c r="C74" s="85">
        <v>14358.18</v>
      </c>
      <c r="D74" s="85">
        <v>34009.89</v>
      </c>
      <c r="E74" s="87">
        <v>3.7900000000000003E-2</v>
      </c>
    </row>
    <row r="75" spans="1:5" ht="15" customHeight="1">
      <c r="A75" s="72">
        <v>2022</v>
      </c>
      <c r="B75" s="85">
        <v>4100.7</v>
      </c>
      <c r="C75" s="85">
        <v>12242.17</v>
      </c>
      <c r="D75" s="85">
        <v>32911.74</v>
      </c>
      <c r="E75" s="87">
        <v>4.7899999999999998E-2</v>
      </c>
    </row>
    <row r="76" spans="1:5" ht="15" customHeight="1">
      <c r="A76" s="72">
        <v>2023</v>
      </c>
      <c r="B76" s="85"/>
      <c r="C76" s="85"/>
      <c r="D76" s="85"/>
      <c r="E76" s="87"/>
    </row>
    <row r="77" spans="1:5" ht="15" customHeight="1">
      <c r="A77" s="72" t="s">
        <v>73</v>
      </c>
      <c r="B77" s="85">
        <v>3912.97</v>
      </c>
      <c r="C77" s="85">
        <v>11478.72</v>
      </c>
      <c r="D77" s="85">
        <v>33262.58</v>
      </c>
      <c r="E77" s="87">
        <v>4.2599999999999999E-2</v>
      </c>
    </row>
    <row r="78" spans="1:5" ht="15" customHeight="1">
      <c r="A78" s="72" t="s">
        <v>74</v>
      </c>
      <c r="B78" s="85">
        <v>4204.34</v>
      </c>
      <c r="C78" s="85">
        <v>12661.26</v>
      </c>
      <c r="D78" s="85">
        <v>22462.53</v>
      </c>
      <c r="E78" s="87"/>
    </row>
    <row r="79" spans="1:5" ht="15" customHeight="1" thickBot="1">
      <c r="A79" s="76"/>
      <c r="B79" s="88"/>
      <c r="C79" s="88"/>
      <c r="D79" s="88"/>
      <c r="E79" s="80"/>
    </row>
    <row r="80" spans="1:5" ht="15" customHeight="1" thickTop="1">
      <c r="A80" s="60"/>
      <c r="B80" s="84"/>
      <c r="C80" s="84"/>
      <c r="D80" s="85"/>
      <c r="E80" s="79"/>
    </row>
    <row r="81" spans="1:5" ht="15" customHeight="1">
      <c r="A81" s="60" t="s">
        <v>115</v>
      </c>
      <c r="B81" s="84"/>
      <c r="C81" s="84"/>
      <c r="D81" s="85"/>
      <c r="E81" s="79"/>
    </row>
    <row r="82" spans="1:5" ht="15" customHeight="1">
      <c r="A82" s="60" t="s">
        <v>116</v>
      </c>
      <c r="B82" s="84"/>
      <c r="C82" s="84"/>
      <c r="D82" s="85"/>
      <c r="E82" s="79"/>
    </row>
    <row r="83" spans="1:5" ht="15" customHeight="1">
      <c r="A83" s="60"/>
      <c r="B83" s="84"/>
      <c r="C83" s="84"/>
      <c r="D83" s="85"/>
      <c r="E83" s="79"/>
    </row>
    <row r="84" spans="1:5" ht="15" customHeight="1">
      <c r="A84" s="60" t="s">
        <v>78</v>
      </c>
      <c r="B84" s="84"/>
      <c r="C84" s="84"/>
      <c r="D84" s="85"/>
      <c r="E84" s="79"/>
    </row>
    <row r="85" spans="1:5" ht="15" customHeight="1">
      <c r="B85" s="84"/>
      <c r="C85" s="84"/>
      <c r="D85" s="85"/>
      <c r="E85" s="84"/>
    </row>
    <row r="86" spans="1:5" ht="15" customHeight="1">
      <c r="B86" s="67"/>
      <c r="C86" s="67"/>
      <c r="D86" s="85"/>
      <c r="E86" s="67"/>
    </row>
    <row r="87" spans="1:5" ht="15" customHeight="1">
      <c r="B87" s="67"/>
      <c r="C87" s="67"/>
      <c r="D87" s="85"/>
      <c r="E87" s="67"/>
    </row>
    <row r="88" spans="1:5" ht="15" customHeight="1">
      <c r="B88" s="67"/>
      <c r="C88" s="67"/>
      <c r="D88" s="85"/>
      <c r="E88" s="67"/>
    </row>
    <row r="89" spans="1:5" ht="15" customHeight="1">
      <c r="B89" s="67"/>
      <c r="C89" s="67"/>
      <c r="D89" s="67"/>
      <c r="E89" s="67"/>
    </row>
    <row r="90" spans="1:5" ht="15" customHeight="1">
      <c r="B90" s="67"/>
      <c r="C90" s="67"/>
      <c r="D90" s="67"/>
      <c r="E90" s="67"/>
    </row>
    <row r="91" spans="1:5" ht="15" customHeight="1"/>
    <row r="92" spans="1:5" ht="15" customHeight="1"/>
    <row r="93" spans="1:5" ht="15" customHeight="1"/>
    <row r="94" spans="1:5" ht="15" customHeight="1"/>
    <row r="95" spans="1:5" ht="15" customHeight="1"/>
    <row r="96" spans="1: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</sheetData>
  <mergeCells count="7">
    <mergeCell ref="A73:E73"/>
    <mergeCell ref="A58:E58"/>
    <mergeCell ref="A4:E4"/>
    <mergeCell ref="A11:E11"/>
    <mergeCell ref="A22:E22"/>
    <mergeCell ref="A34:E34"/>
    <mergeCell ref="A47:E47"/>
  </mergeCells>
  <printOptions horizontalCentered="1" verticalCentered="1"/>
  <pageMargins left="0.5" right="0.5" top="0.5" bottom="0.5" header="0.5" footer="0.5"/>
  <pageSetup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9"/>
  <sheetViews>
    <sheetView workbookViewId="0">
      <selection activeCell="A36" sqref="A36"/>
    </sheetView>
  </sheetViews>
  <sheetFormatPr defaultColWidth="8.76953125" defaultRowHeight="15"/>
  <cols>
    <col min="1" max="2" width="8.76953125" style="57"/>
    <col min="3" max="3" width="16.2265625" style="57" customWidth="1"/>
    <col min="4" max="4" width="12.31640625" style="57" customWidth="1"/>
    <col min="5" max="5" width="17.08984375" style="57" customWidth="1"/>
    <col min="6" max="16384" width="8.76953125" style="57"/>
  </cols>
  <sheetData>
    <row r="1" spans="1:5">
      <c r="E1" s="58" t="s">
        <v>117</v>
      </c>
    </row>
    <row r="2" spans="1:5">
      <c r="E2" s="58" t="s">
        <v>118</v>
      </c>
    </row>
    <row r="5" spans="1:5" ht="17.7">
      <c r="A5" s="197" t="s">
        <v>119</v>
      </c>
      <c r="B5" s="197"/>
      <c r="C5" s="197"/>
      <c r="D5" s="197"/>
      <c r="E5" s="197"/>
    </row>
    <row r="6" spans="1:5" ht="17.7">
      <c r="A6" s="197" t="s">
        <v>120</v>
      </c>
      <c r="B6" s="197"/>
      <c r="C6" s="197"/>
      <c r="D6" s="197"/>
      <c r="E6" s="197"/>
    </row>
    <row r="7" spans="1:5" ht="17.7">
      <c r="A7" s="197" t="s">
        <v>121</v>
      </c>
      <c r="B7" s="197"/>
      <c r="C7" s="197"/>
      <c r="D7" s="197"/>
      <c r="E7" s="197"/>
    </row>
    <row r="8" spans="1:5" ht="18" thickBot="1">
      <c r="A8" s="115"/>
      <c r="B8" s="115"/>
      <c r="C8" s="115"/>
      <c r="D8" s="115"/>
      <c r="E8" s="115"/>
    </row>
    <row r="9" spans="1:5" ht="15.3" thickTop="1"/>
    <row r="10" spans="1:5">
      <c r="C10" s="196" t="s">
        <v>122</v>
      </c>
      <c r="D10" s="196"/>
      <c r="E10" s="196"/>
    </row>
    <row r="11" spans="1:5">
      <c r="A11" s="59" t="s">
        <v>38</v>
      </c>
      <c r="C11" s="59" t="s">
        <v>106</v>
      </c>
      <c r="D11" s="59"/>
      <c r="E11" s="59" t="s">
        <v>123</v>
      </c>
    </row>
    <row r="12" spans="1:5">
      <c r="A12" s="104"/>
      <c r="B12" s="104"/>
      <c r="C12" s="104"/>
      <c r="D12" s="104"/>
      <c r="E12" s="104"/>
    </row>
    <row r="14" spans="1:5">
      <c r="A14" s="59">
        <v>2005</v>
      </c>
      <c r="C14" s="59" t="s">
        <v>124</v>
      </c>
      <c r="D14" s="59"/>
      <c r="E14" s="59" t="s">
        <v>125</v>
      </c>
    </row>
    <row r="15" spans="1:5">
      <c r="A15" s="59">
        <v>2006</v>
      </c>
      <c r="C15" s="59" t="s">
        <v>124</v>
      </c>
      <c r="D15" s="59"/>
      <c r="E15" s="59" t="s">
        <v>125</v>
      </c>
    </row>
    <row r="16" spans="1:5">
      <c r="A16" s="59">
        <v>2007</v>
      </c>
      <c r="C16" s="59" t="s">
        <v>124</v>
      </c>
      <c r="D16" s="59"/>
      <c r="E16" s="59" t="s">
        <v>125</v>
      </c>
    </row>
    <row r="17" spans="1:5">
      <c r="A17" s="59">
        <v>2008</v>
      </c>
      <c r="C17" s="59" t="s">
        <v>124</v>
      </c>
      <c r="D17" s="59"/>
      <c r="E17" s="59" t="s">
        <v>125</v>
      </c>
    </row>
    <row r="18" spans="1:5">
      <c r="A18" s="59">
        <v>2009</v>
      </c>
      <c r="C18" s="59" t="s">
        <v>126</v>
      </c>
      <c r="D18" s="59"/>
      <c r="E18" s="59" t="s">
        <v>127</v>
      </c>
    </row>
    <row r="19" spans="1:5">
      <c r="A19" s="59">
        <v>2010</v>
      </c>
      <c r="C19" s="59" t="s">
        <v>128</v>
      </c>
      <c r="D19" s="59"/>
      <c r="E19" s="59" t="s">
        <v>129</v>
      </c>
    </row>
    <row r="20" spans="1:5">
      <c r="A20" s="59">
        <v>2011</v>
      </c>
      <c r="C20" s="59" t="s">
        <v>128</v>
      </c>
      <c r="D20" s="59"/>
      <c r="E20" s="59" t="s">
        <v>129</v>
      </c>
    </row>
    <row r="21" spans="1:5">
      <c r="A21" s="59">
        <v>2012</v>
      </c>
      <c r="C21" s="59" t="s">
        <v>128</v>
      </c>
      <c r="D21" s="59"/>
      <c r="E21" s="59" t="s">
        <v>129</v>
      </c>
    </row>
    <row r="22" spans="1:5">
      <c r="A22" s="59">
        <v>2013</v>
      </c>
      <c r="C22" s="59" t="s">
        <v>128</v>
      </c>
      <c r="D22" s="59"/>
      <c r="E22" s="59" t="s">
        <v>129</v>
      </c>
    </row>
    <row r="23" spans="1:5">
      <c r="A23" s="59">
        <v>2014</v>
      </c>
      <c r="C23" s="59" t="s">
        <v>128</v>
      </c>
      <c r="D23" s="59"/>
      <c r="E23" s="59" t="s">
        <v>130</v>
      </c>
    </row>
    <row r="24" spans="1:5">
      <c r="A24" s="59">
        <v>2015</v>
      </c>
      <c r="C24" s="59" t="s">
        <v>128</v>
      </c>
      <c r="D24" s="59"/>
      <c r="E24" s="59" t="s">
        <v>131</v>
      </c>
    </row>
    <row r="25" spans="1:5">
      <c r="A25" s="59">
        <v>2016</v>
      </c>
      <c r="C25" s="59" t="s">
        <v>132</v>
      </c>
      <c r="D25" s="59"/>
      <c r="E25" s="59" t="s">
        <v>131</v>
      </c>
    </row>
    <row r="26" spans="1:5">
      <c r="A26" s="59">
        <v>2017</v>
      </c>
      <c r="C26" s="59" t="s">
        <v>133</v>
      </c>
      <c r="D26" s="59"/>
      <c r="E26" s="59" t="s">
        <v>131</v>
      </c>
    </row>
    <row r="27" spans="1:5">
      <c r="A27" s="59">
        <v>2018</v>
      </c>
      <c r="C27" s="59" t="s">
        <v>133</v>
      </c>
      <c r="D27" s="59"/>
      <c r="E27" s="59" t="s">
        <v>131</v>
      </c>
    </row>
    <row r="28" spans="1:5">
      <c r="A28" s="59">
        <v>2019</v>
      </c>
      <c r="C28" s="59" t="s">
        <v>133</v>
      </c>
      <c r="D28" s="59"/>
      <c r="E28" s="59" t="s">
        <v>131</v>
      </c>
    </row>
    <row r="29" spans="1:5">
      <c r="A29" s="59">
        <v>2020</v>
      </c>
      <c r="C29" s="59" t="s">
        <v>133</v>
      </c>
      <c r="D29" s="59"/>
      <c r="E29" s="59" t="s">
        <v>131</v>
      </c>
    </row>
    <row r="30" spans="1:5">
      <c r="A30" s="59">
        <v>2021</v>
      </c>
      <c r="C30" s="59" t="s">
        <v>133</v>
      </c>
      <c r="D30" s="59"/>
      <c r="E30" s="59" t="s">
        <v>131</v>
      </c>
    </row>
    <row r="31" spans="1:5">
      <c r="A31" s="59">
        <v>2022</v>
      </c>
      <c r="C31" s="59" t="s">
        <v>133</v>
      </c>
      <c r="D31" s="59"/>
      <c r="E31" s="59" t="s">
        <v>131</v>
      </c>
    </row>
    <row r="32" spans="1:5">
      <c r="A32" s="59">
        <v>2023</v>
      </c>
      <c r="C32" s="59" t="s">
        <v>134</v>
      </c>
      <c r="D32" s="59"/>
      <c r="E32" s="59" t="s">
        <v>131</v>
      </c>
    </row>
    <row r="33" spans="1:5" ht="15.3" thickBot="1">
      <c r="A33" s="91"/>
      <c r="B33" s="101"/>
      <c r="C33" s="91"/>
      <c r="D33" s="91"/>
      <c r="E33" s="91"/>
    </row>
    <row r="34" spans="1:5" ht="15.3" thickTop="1">
      <c r="A34" s="59"/>
      <c r="C34" s="59"/>
      <c r="D34" s="59"/>
      <c r="E34" s="59"/>
    </row>
    <row r="35" spans="1:5">
      <c r="A35" s="102" t="s">
        <v>135</v>
      </c>
      <c r="C35" s="59"/>
      <c r="D35" s="59"/>
      <c r="E35" s="59"/>
    </row>
    <row r="36" spans="1:5">
      <c r="A36" s="102"/>
      <c r="C36" s="59"/>
      <c r="D36" s="59"/>
      <c r="E36" s="59"/>
    </row>
    <row r="37" spans="1:5">
      <c r="A37" s="57" t="s">
        <v>136</v>
      </c>
      <c r="C37" s="59"/>
      <c r="D37" s="59"/>
      <c r="E37" s="59"/>
    </row>
    <row r="38" spans="1:5">
      <c r="A38" s="57" t="s">
        <v>137</v>
      </c>
      <c r="C38" s="59"/>
      <c r="D38" s="59"/>
      <c r="E38" s="59"/>
    </row>
    <row r="39" spans="1:5">
      <c r="A39" s="57" t="s">
        <v>138</v>
      </c>
    </row>
  </sheetData>
  <mergeCells count="4">
    <mergeCell ref="C10:E10"/>
    <mergeCell ref="A5:E5"/>
    <mergeCell ref="A6:E6"/>
    <mergeCell ref="A7:E7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"/>
  <sheetViews>
    <sheetView workbookViewId="0">
      <selection activeCell="A31" sqref="A31"/>
    </sheetView>
  </sheetViews>
  <sheetFormatPr defaultRowHeight="15"/>
  <cols>
    <col min="1" max="1" width="28.54296875" customWidth="1"/>
    <col min="2" max="2" width="9.453125" customWidth="1"/>
    <col min="4" max="4" width="3.54296875" customWidth="1"/>
    <col min="5" max="5" width="18.08984375" customWidth="1"/>
    <col min="6" max="6" width="3.2265625" customWidth="1"/>
  </cols>
  <sheetData>
    <row r="1" spans="1:6">
      <c r="E1" s="1" t="str">
        <f>+'DCP-5, P 1'!E1</f>
        <v>Exh. DCP-5</v>
      </c>
    </row>
    <row r="2" spans="1:6">
      <c r="E2" s="1" t="s">
        <v>139</v>
      </c>
    </row>
    <row r="3" spans="1:6">
      <c r="D3" s="1"/>
    </row>
    <row r="6" spans="1:6" ht="20.100000000000001">
      <c r="A6" s="189" t="s">
        <v>140</v>
      </c>
      <c r="B6" s="189"/>
      <c r="C6" s="189"/>
      <c r="D6" s="189"/>
      <c r="E6" s="189"/>
    </row>
    <row r="7" spans="1:6" ht="20.100000000000001">
      <c r="A7" s="189" t="s">
        <v>141</v>
      </c>
      <c r="B7" s="189"/>
      <c r="C7" s="189"/>
      <c r="D7" s="189"/>
      <c r="E7" s="189"/>
    </row>
    <row r="8" spans="1:6" ht="20.100000000000001">
      <c r="A8" s="189">
        <v>2023</v>
      </c>
      <c r="B8" s="189"/>
      <c r="C8" s="189"/>
      <c r="D8" s="189"/>
      <c r="E8" s="189"/>
    </row>
    <row r="10" spans="1:6">
      <c r="E10" s="4" t="s">
        <v>142</v>
      </c>
    </row>
    <row r="11" spans="1:6">
      <c r="A11" s="59" t="s">
        <v>143</v>
      </c>
      <c r="C11" s="4" t="s">
        <v>123</v>
      </c>
      <c r="E11" s="4" t="s">
        <v>144</v>
      </c>
    </row>
    <row r="12" spans="1:6">
      <c r="A12" s="18"/>
      <c r="B12" s="18"/>
      <c r="C12" s="18"/>
      <c r="D12" s="18"/>
      <c r="E12" s="18"/>
    </row>
    <row r="14" spans="1:6">
      <c r="A14" s="102" t="s">
        <v>145</v>
      </c>
      <c r="C14" s="4" t="s">
        <v>125</v>
      </c>
      <c r="D14" s="41" t="s">
        <v>9</v>
      </c>
      <c r="E14" s="4" t="s">
        <v>124</v>
      </c>
      <c r="F14" s="3" t="s">
        <v>9</v>
      </c>
    </row>
    <row r="15" spans="1:6">
      <c r="A15" s="102"/>
      <c r="C15" s="17"/>
      <c r="D15" s="17"/>
      <c r="E15" s="17"/>
    </row>
    <row r="16" spans="1:6">
      <c r="A16" s="102" t="s">
        <v>146</v>
      </c>
      <c r="C16" s="4" t="s">
        <v>147</v>
      </c>
      <c r="D16" s="41" t="s">
        <v>15</v>
      </c>
      <c r="E16" s="4" t="s">
        <v>133</v>
      </c>
      <c r="F16" s="3" t="s">
        <v>15</v>
      </c>
    </row>
    <row r="17" spans="1:6">
      <c r="A17" s="102"/>
      <c r="C17" s="17"/>
      <c r="D17" s="17"/>
      <c r="E17" s="17"/>
    </row>
    <row r="18" spans="1:6">
      <c r="A18" s="102" t="s">
        <v>148</v>
      </c>
      <c r="C18" s="4" t="s">
        <v>131</v>
      </c>
      <c r="D18" s="41" t="s">
        <v>15</v>
      </c>
      <c r="E18" s="4" t="s">
        <v>128</v>
      </c>
      <c r="F18" s="3" t="s">
        <v>15</v>
      </c>
    </row>
    <row r="19" spans="1:6">
      <c r="A19" s="102"/>
      <c r="C19" s="17"/>
      <c r="D19" s="17"/>
      <c r="E19" s="17"/>
    </row>
    <row r="20" spans="1:6">
      <c r="A20" s="102" t="s">
        <v>149</v>
      </c>
      <c r="C20" s="4" t="s">
        <v>129</v>
      </c>
      <c r="D20" s="41" t="s">
        <v>15</v>
      </c>
      <c r="E20" s="4" t="s">
        <v>133</v>
      </c>
      <c r="F20" s="3" t="s">
        <v>15</v>
      </c>
    </row>
    <row r="21" spans="1:6">
      <c r="A21" s="102"/>
      <c r="C21" s="17"/>
      <c r="D21" s="17"/>
      <c r="E21" s="17"/>
    </row>
    <row r="22" spans="1:6">
      <c r="A22" s="102" t="s">
        <v>150</v>
      </c>
      <c r="C22" s="4" t="s">
        <v>129</v>
      </c>
      <c r="D22" s="41" t="s">
        <v>15</v>
      </c>
      <c r="E22" s="4" t="s">
        <v>133</v>
      </c>
      <c r="F22" s="3" t="s">
        <v>15</v>
      </c>
    </row>
    <row r="23" spans="1:6">
      <c r="A23" s="102"/>
      <c r="C23" s="17"/>
      <c r="D23" s="17"/>
      <c r="E23" s="17"/>
    </row>
    <row r="24" spans="1:6">
      <c r="A24" s="102"/>
      <c r="C24" s="4"/>
      <c r="D24" s="17"/>
      <c r="E24" s="4"/>
    </row>
    <row r="25" spans="1:6" ht="15.3" thickBot="1">
      <c r="A25" s="36"/>
      <c r="B25" s="36"/>
      <c r="C25" s="36"/>
      <c r="D25" s="36"/>
      <c r="E25" s="36"/>
    </row>
    <row r="26" spans="1:6" ht="15.3" thickTop="1"/>
    <row r="27" spans="1:6">
      <c r="A27" s="3" t="s">
        <v>151</v>
      </c>
    </row>
    <row r="28" spans="1:6">
      <c r="A28" s="3" t="s">
        <v>152</v>
      </c>
    </row>
    <row r="30" spans="1:6">
      <c r="A30" s="1" t="s">
        <v>153</v>
      </c>
    </row>
  </sheetData>
  <mergeCells count="3">
    <mergeCell ref="A6:E6"/>
    <mergeCell ref="A7:E7"/>
    <mergeCell ref="A8:E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93"/>
  <sheetViews>
    <sheetView zoomScaleNormal="100" workbookViewId="0">
      <selection activeCell="B92" sqref="B92"/>
    </sheetView>
  </sheetViews>
  <sheetFormatPr defaultColWidth="8.86328125" defaultRowHeight="15"/>
  <cols>
    <col min="1" max="1" width="8.86328125" style="57"/>
    <col min="2" max="2" width="16.54296875" style="57" customWidth="1"/>
    <col min="3" max="5" width="15.76953125" style="57" customWidth="1"/>
    <col min="6" max="6" width="16.453125" style="57" customWidth="1"/>
    <col min="7" max="16384" width="8.86328125" style="57"/>
  </cols>
  <sheetData>
    <row r="1" spans="2:6">
      <c r="F1" s="58"/>
    </row>
    <row r="2" spans="2:6">
      <c r="F2" s="58" t="s">
        <v>154</v>
      </c>
    </row>
    <row r="3" spans="2:6">
      <c r="F3" s="58" t="s">
        <v>29</v>
      </c>
    </row>
    <row r="4" spans="2:6">
      <c r="F4" s="58"/>
    </row>
    <row r="5" spans="2:6" ht="20.100000000000001">
      <c r="B5" s="99" t="s">
        <v>1</v>
      </c>
      <c r="C5" s="99"/>
      <c r="D5" s="99"/>
      <c r="E5" s="99"/>
      <c r="F5" s="99"/>
    </row>
    <row r="6" spans="2:6" ht="20.100000000000001">
      <c r="B6" s="99" t="s">
        <v>155</v>
      </c>
      <c r="C6" s="100"/>
      <c r="D6" s="100"/>
      <c r="E6" s="100"/>
      <c r="F6" s="100"/>
    </row>
    <row r="7" spans="2:6" ht="20.100000000000001">
      <c r="B7" s="99" t="s">
        <v>156</v>
      </c>
      <c r="C7" s="100"/>
      <c r="D7" s="100"/>
      <c r="E7" s="100"/>
      <c r="F7" s="100"/>
    </row>
    <row r="8" spans="2:6" ht="20.100000000000001">
      <c r="B8" s="117" t="s">
        <v>157</v>
      </c>
      <c r="C8" s="100"/>
      <c r="D8" s="100"/>
      <c r="E8" s="100"/>
      <c r="F8" s="100"/>
    </row>
    <row r="11" spans="2:6" ht="15.3" thickBot="1">
      <c r="B11" s="101"/>
      <c r="C11" s="101"/>
      <c r="D11" s="101"/>
      <c r="E11" s="101"/>
      <c r="F11" s="101"/>
    </row>
    <row r="12" spans="2:6" ht="15.3" thickTop="1"/>
    <row r="13" spans="2:6">
      <c r="C13" s="59" t="s">
        <v>158</v>
      </c>
      <c r="D13" s="59" t="s">
        <v>159</v>
      </c>
      <c r="E13" s="59" t="s">
        <v>160</v>
      </c>
      <c r="F13" s="59" t="s">
        <v>161</v>
      </c>
    </row>
    <row r="14" spans="2:6">
      <c r="B14" s="59" t="s">
        <v>162</v>
      </c>
      <c r="C14" s="59" t="s">
        <v>163</v>
      </c>
      <c r="D14" s="59" t="s">
        <v>164</v>
      </c>
      <c r="E14" s="59" t="s">
        <v>165</v>
      </c>
      <c r="F14" s="59" t="s">
        <v>166</v>
      </c>
    </row>
    <row r="15" spans="2:6">
      <c r="B15" s="104"/>
      <c r="C15" s="104"/>
      <c r="D15" s="104"/>
      <c r="E15" s="104"/>
      <c r="F15" s="104"/>
    </row>
    <row r="16" spans="2:6">
      <c r="C16" s="118"/>
      <c r="D16" s="118"/>
      <c r="E16" s="118"/>
      <c r="F16" s="119"/>
    </row>
    <row r="17" spans="2:8">
      <c r="B17" s="120" t="s">
        <v>167</v>
      </c>
      <c r="C17" s="121">
        <v>4010500</v>
      </c>
      <c r="D17" s="121">
        <f>3700+41300+41300</f>
        <v>86300</v>
      </c>
      <c r="E17" s="121">
        <v>3721000</v>
      </c>
      <c r="F17" s="121">
        <f>216900+184400</f>
        <v>401300</v>
      </c>
    </row>
    <row r="18" spans="2:8">
      <c r="B18" s="59" t="s">
        <v>168</v>
      </c>
      <c r="C18" s="118">
        <f>+C17/SUM($C17:$F17)</f>
        <v>0.48794880218028736</v>
      </c>
      <c r="D18" s="118">
        <f>+D17/SUM($C17:$F17)</f>
        <v>1.0499933082697619E-2</v>
      </c>
      <c r="E18" s="118">
        <f>+E17/SUM($C17:$F17)</f>
        <v>0.45272596756335853</v>
      </c>
      <c r="F18" s="118">
        <f>+F17/SUM($C17:$F17)</f>
        <v>4.8825297173656482E-2</v>
      </c>
      <c r="G18" s="122"/>
      <c r="H18" s="122"/>
    </row>
    <row r="19" spans="2:8">
      <c r="B19" s="59"/>
      <c r="C19" s="118">
        <f>+C17/(SUM($C17:$E17))</f>
        <v>0.51299598352477682</v>
      </c>
      <c r="D19" s="118">
        <f>+D17/(SUM($C17:$E17))</f>
        <v>1.1038911202640129E-2</v>
      </c>
      <c r="E19" s="118">
        <f>+E17/(SUM($C17:$E17))</f>
        <v>0.47596510527258307</v>
      </c>
      <c r="F19" s="118"/>
      <c r="G19" s="122"/>
      <c r="H19" s="122"/>
    </row>
    <row r="20" spans="2:8">
      <c r="B20" s="59"/>
      <c r="C20" s="121"/>
      <c r="D20" s="121"/>
      <c r="E20" s="121"/>
      <c r="F20" s="121"/>
      <c r="H20" s="122"/>
    </row>
    <row r="21" spans="2:8">
      <c r="B21" s="59">
        <v>2006</v>
      </c>
      <c r="C21" s="121">
        <v>4285500</v>
      </c>
      <c r="D21" s="121">
        <f>37500+41300</f>
        <v>78800</v>
      </c>
      <c r="E21" s="121">
        <v>3966800</v>
      </c>
      <c r="F21" s="121">
        <f>126900+397300</f>
        <v>524200</v>
      </c>
      <c r="H21" s="122"/>
    </row>
    <row r="22" spans="2:8">
      <c r="B22" s="59"/>
      <c r="C22" s="118">
        <f>+C21/SUM($C21:$F21)</f>
        <v>0.48394746648899528</v>
      </c>
      <c r="D22" s="118">
        <f>+D21/SUM($C21:$F21)</f>
        <v>8.8986256817950825E-3</v>
      </c>
      <c r="E22" s="118">
        <f>+E21/SUM($C21:$F21)</f>
        <v>0.44795772023533931</v>
      </c>
      <c r="F22" s="118">
        <f>+F21/SUM($C21:$F21)</f>
        <v>5.9196187593870339E-2</v>
      </c>
      <c r="G22" s="122"/>
      <c r="H22" s="122"/>
    </row>
    <row r="23" spans="2:8">
      <c r="B23" s="59"/>
      <c r="C23" s="118">
        <f>+C21/(SUM($C21:$E21))</f>
        <v>0.51439785862611176</v>
      </c>
      <c r="D23" s="118">
        <f>+D21/(SUM($C21:$E21))</f>
        <v>9.4585348873498093E-3</v>
      </c>
      <c r="E23" s="118">
        <f>+E21/(SUM($C21:$E21))</f>
        <v>0.47614360648653842</v>
      </c>
      <c r="F23" s="118"/>
      <c r="G23" s="122"/>
      <c r="H23" s="122"/>
    </row>
    <row r="24" spans="2:8">
      <c r="B24" s="59"/>
      <c r="C24" s="121"/>
      <c r="D24" s="121"/>
      <c r="E24" s="121"/>
      <c r="F24" s="121"/>
      <c r="H24" s="122"/>
    </row>
    <row r="25" spans="2:8">
      <c r="B25" s="59">
        <v>2007</v>
      </c>
      <c r="C25" s="121">
        <v>5039000</v>
      </c>
      <c r="D25" s="121">
        <v>41000</v>
      </c>
      <c r="E25" s="121">
        <v>4753000</v>
      </c>
      <c r="F25" s="121">
        <v>414000</v>
      </c>
      <c r="H25" s="122"/>
    </row>
    <row r="26" spans="2:8">
      <c r="B26" s="59"/>
      <c r="C26" s="118">
        <f>+C25/SUM($C25:$F25)</f>
        <v>0.49175368400507463</v>
      </c>
      <c r="D26" s="118">
        <f>+D25/SUM($C25:$F25)</f>
        <v>4.0011710744608181E-3</v>
      </c>
      <c r="E26" s="118">
        <f>+E25/SUM($C25:$F25)</f>
        <v>0.46384307602225039</v>
      </c>
      <c r="F26" s="118">
        <f>+F25/SUM($C25:$F25)</f>
        <v>4.0402068898214114E-2</v>
      </c>
      <c r="G26" s="122"/>
      <c r="H26" s="122"/>
    </row>
    <row r="27" spans="2:8">
      <c r="B27" s="59"/>
      <c r="C27" s="118">
        <f>+C25/(SUM($C25:$E25))</f>
        <v>0.51245804942540429</v>
      </c>
      <c r="D27" s="118">
        <f>+D25/(SUM($C25:$E25))</f>
        <v>4.1696328689108109E-3</v>
      </c>
      <c r="E27" s="118">
        <f>+E25/(SUM($C25:$E25))</f>
        <v>0.48337231770568495</v>
      </c>
      <c r="F27" s="118"/>
      <c r="G27" s="122"/>
      <c r="H27" s="122"/>
    </row>
    <row r="28" spans="2:8">
      <c r="B28" s="59"/>
      <c r="C28" s="121"/>
      <c r="D28" s="121"/>
      <c r="E28" s="121"/>
      <c r="F28" s="121"/>
      <c r="H28" s="122"/>
    </row>
    <row r="29" spans="2:8">
      <c r="B29" s="59">
        <v>2008</v>
      </c>
      <c r="C29" s="121">
        <v>5946000</v>
      </c>
      <c r="D29" s="121">
        <v>41000</v>
      </c>
      <c r="E29" s="121">
        <v>5424000</v>
      </c>
      <c r="F29" s="121">
        <f>85000+144000</f>
        <v>229000</v>
      </c>
      <c r="H29" s="122"/>
    </row>
    <row r="30" spans="2:8">
      <c r="C30" s="118">
        <f>+C29/SUM($C29:$F29)</f>
        <v>0.5108247422680412</v>
      </c>
      <c r="D30" s="118">
        <f>+D29/SUM($C29:$F29)</f>
        <v>3.5223367697594502E-3</v>
      </c>
      <c r="E30" s="118">
        <f>+E29/SUM($C29:$F29)</f>
        <v>0.46597938144329898</v>
      </c>
      <c r="F30" s="118">
        <f>+F29/SUM($C29:$F29)</f>
        <v>1.9673539518900343E-2</v>
      </c>
      <c r="G30" s="122"/>
      <c r="H30" s="122"/>
    </row>
    <row r="31" spans="2:8">
      <c r="C31" s="118">
        <f>+C29/(SUM($C29:$E29))</f>
        <v>0.52107615458767853</v>
      </c>
      <c r="D31" s="118">
        <f>+D29/(SUM($C29:$E29))</f>
        <v>3.5930242748225395E-3</v>
      </c>
      <c r="E31" s="118">
        <f>+E29/(SUM($C29:$E29))</f>
        <v>0.47533082113749892</v>
      </c>
      <c r="F31" s="118"/>
      <c r="G31" s="122"/>
      <c r="H31" s="122"/>
    </row>
    <row r="32" spans="2:8">
      <c r="C32" s="118"/>
      <c r="D32" s="118"/>
      <c r="E32" s="118"/>
      <c r="F32" s="119"/>
      <c r="H32" s="122"/>
    </row>
    <row r="33" spans="2:8">
      <c r="B33" s="59">
        <v>2009</v>
      </c>
      <c r="C33" s="121">
        <v>6607121</v>
      </c>
      <c r="D33" s="121">
        <v>41463</v>
      </c>
      <c r="E33" s="121">
        <v>6372343</v>
      </c>
      <c r="F33" s="121">
        <v>0</v>
      </c>
      <c r="H33" s="122"/>
    </row>
    <row r="34" spans="2:8">
      <c r="C34" s="118">
        <f>+C33/SUM($C33:$F33)</f>
        <v>0.50742324260016203</v>
      </c>
      <c r="D34" s="118">
        <f>+D33/SUM($C33:$F33)</f>
        <v>3.1843354931641965E-3</v>
      </c>
      <c r="E34" s="118">
        <f>+E33/SUM($C33:$F33)</f>
        <v>0.48939242190667376</v>
      </c>
      <c r="F34" s="118">
        <f>+F33/SUM($C33:$F33)</f>
        <v>0</v>
      </c>
      <c r="G34" s="122"/>
      <c r="H34" s="122"/>
    </row>
    <row r="35" spans="2:8">
      <c r="C35" s="118">
        <f>+C33/(SUM($C33:$E33))</f>
        <v>0.50742324260016203</v>
      </c>
      <c r="D35" s="118">
        <f>+D33/(SUM($C33:$E33))</f>
        <v>3.1843354931641965E-3</v>
      </c>
      <c r="E35" s="118">
        <f>+E33/(SUM($C33:$E33))</f>
        <v>0.48939242190667376</v>
      </c>
      <c r="F35" s="118"/>
      <c r="G35" s="122"/>
      <c r="H35" s="122"/>
    </row>
    <row r="36" spans="2:8">
      <c r="C36" s="118"/>
      <c r="D36" s="118"/>
      <c r="E36" s="118"/>
      <c r="F36" s="119"/>
      <c r="H36" s="122"/>
    </row>
    <row r="37" spans="2:8">
      <c r="B37" s="120" t="s">
        <v>169</v>
      </c>
      <c r="C37" s="121">
        <v>7270501</v>
      </c>
      <c r="D37" s="121">
        <v>40733</v>
      </c>
      <c r="E37" s="121">
        <v>6357741</v>
      </c>
      <c r="F37" s="121">
        <v>36000</v>
      </c>
      <c r="H37" s="122"/>
    </row>
    <row r="38" spans="2:8">
      <c r="C38" s="118">
        <f>+C37/SUM($C37:$F37)</f>
        <v>0.53050085826497317</v>
      </c>
      <c r="D38" s="118">
        <f>+D37/SUM($C37:$F37)</f>
        <v>2.9721323825836967E-3</v>
      </c>
      <c r="E38" s="118">
        <f>+E37/SUM($C37:$F37)</f>
        <v>0.4639002260128165</v>
      </c>
      <c r="F38" s="118">
        <f>+F37/SUM($C37:$F37)</f>
        <v>2.6267833396266685E-3</v>
      </c>
      <c r="G38" s="122"/>
      <c r="H38" s="122"/>
    </row>
    <row r="39" spans="2:8">
      <c r="C39" s="118">
        <f>+C37/(SUM($C37:$E37))</f>
        <v>0.53189803917265188</v>
      </c>
      <c r="D39" s="118">
        <f>+D37/(SUM($C37:$E37))</f>
        <v>2.9799600921063944E-3</v>
      </c>
      <c r="E39" s="118">
        <f>+E37/(SUM($C37:$E37))</f>
        <v>0.46512200073524168</v>
      </c>
      <c r="F39" s="118"/>
      <c r="G39" s="122"/>
      <c r="H39" s="122"/>
    </row>
    <row r="40" spans="2:8">
      <c r="C40" s="118"/>
      <c r="D40" s="118"/>
      <c r="E40" s="118"/>
      <c r="F40" s="119"/>
      <c r="H40" s="122"/>
    </row>
    <row r="41" spans="2:8">
      <c r="B41" s="59">
        <v>2011</v>
      </c>
      <c r="C41" s="121">
        <v>7271166</v>
      </c>
      <c r="D41" s="121">
        <v>40733</v>
      </c>
      <c r="E41" s="121">
        <v>6171055</v>
      </c>
      <c r="F41" s="121">
        <v>688527</v>
      </c>
      <c r="H41" s="122"/>
    </row>
    <row r="42" spans="2:8">
      <c r="C42" s="118">
        <f>+C41/SUM($C41:$F41)</f>
        <v>0.51308441227843438</v>
      </c>
      <c r="D42" s="118">
        <f>+D41/SUM($C41:$F41)</f>
        <v>2.8742938017557941E-3</v>
      </c>
      <c r="E42" s="118">
        <f>+E41/SUM($C41:$F41)</f>
        <v>0.43545589906940568</v>
      </c>
      <c r="F42" s="118">
        <f>+F41/SUM($C41:$F41)</f>
        <v>4.8585394850404133E-2</v>
      </c>
      <c r="G42" s="122"/>
      <c r="H42" s="122"/>
    </row>
    <row r="43" spans="2:8">
      <c r="C43" s="118">
        <f>+C41/(SUM($C41:$E41))</f>
        <v>0.53928582712660744</v>
      </c>
      <c r="D43" s="118">
        <f>+D41/(SUM($C41:$E41))</f>
        <v>3.0210738685305908E-3</v>
      </c>
      <c r="E43" s="118">
        <f>+E41/(SUM($C41:$E41))</f>
        <v>0.45769309900486199</v>
      </c>
      <c r="F43" s="118"/>
      <c r="G43" s="122"/>
      <c r="H43" s="122"/>
    </row>
    <row r="44" spans="2:8">
      <c r="C44" s="118"/>
      <c r="D44" s="118"/>
      <c r="E44" s="118"/>
      <c r="F44" s="119"/>
      <c r="H44" s="122"/>
    </row>
    <row r="45" spans="2:8">
      <c r="B45" s="59">
        <v>2012</v>
      </c>
      <c r="C45" s="121">
        <v>7603505</v>
      </c>
      <c r="D45" s="121">
        <v>40733</v>
      </c>
      <c r="E45" s="121">
        <v>6820029</v>
      </c>
      <c r="F45" s="121">
        <v>11110</v>
      </c>
      <c r="H45" s="122"/>
    </row>
    <row r="46" spans="2:8">
      <c r="C46" s="118">
        <f>+C45/SUM($C45:$F45)</f>
        <v>0.52527163886646955</v>
      </c>
      <c r="D46" s="118">
        <f>+D45/SUM($C45:$F45)</f>
        <v>2.8139508905363915E-3</v>
      </c>
      <c r="E46" s="118">
        <f>+E45/SUM($C45:$F45)</f>
        <v>0.47114690000820014</v>
      </c>
      <c r="F46" s="118">
        <f>+F45/SUM($C45:$F45)</f>
        <v>7.6751023479388486E-4</v>
      </c>
      <c r="G46" s="122"/>
      <c r="H46" s="122"/>
    </row>
    <row r="47" spans="2:8">
      <c r="C47" s="118">
        <f>+C45/(SUM($C45:$E45))</f>
        <v>0.52567509988580829</v>
      </c>
      <c r="D47" s="118">
        <f>+D45/(SUM($C45:$E45))</f>
        <v>2.8161122855378706E-3</v>
      </c>
      <c r="E47" s="118">
        <f>+E45/(SUM($C45:$E45))</f>
        <v>0.47150878782865391</v>
      </c>
      <c r="F47" s="118"/>
      <c r="G47" s="122"/>
      <c r="H47" s="122"/>
    </row>
    <row r="48" spans="2:8">
      <c r="C48" s="118"/>
      <c r="D48" s="118"/>
      <c r="E48" s="118"/>
      <c r="F48" s="119"/>
      <c r="H48" s="122"/>
    </row>
    <row r="49" spans="2:8">
      <c r="B49" s="59">
        <v>2013</v>
      </c>
      <c r="C49" s="121">
        <v>7785144</v>
      </c>
      <c r="D49" s="121">
        <v>2398</v>
      </c>
      <c r="E49" s="121">
        <v>6842300</v>
      </c>
      <c r="F49" s="121">
        <v>8617</v>
      </c>
      <c r="H49" s="122"/>
    </row>
    <row r="50" spans="2:8">
      <c r="C50" s="118">
        <f>+C49/SUM($C49:$F49)</f>
        <v>0.53182811114202666</v>
      </c>
      <c r="D50" s="118">
        <f>+D49/SUM($C49:$F49)</f>
        <v>1.6381505730896946E-4</v>
      </c>
      <c r="E50" s="118">
        <f>+E49/SUM($C49:$F49)</f>
        <v>0.46741941894293654</v>
      </c>
      <c r="F50" s="118">
        <f>+F49/SUM($C49:$F49)</f>
        <v>5.8865485772785237E-4</v>
      </c>
      <c r="G50" s="122"/>
      <c r="H50" s="122"/>
    </row>
    <row r="51" spans="2:8">
      <c r="C51" s="118">
        <f>+C49/(SUM($C49:$E49))</f>
        <v>0.53214135873784552</v>
      </c>
      <c r="D51" s="118">
        <f>+D49/(SUM($C49:$E49))</f>
        <v>1.6391154463595711E-4</v>
      </c>
      <c r="E51" s="118">
        <f>+E49/(SUM($C49:$E49))</f>
        <v>0.46769472971751846</v>
      </c>
      <c r="F51" s="118"/>
      <c r="G51" s="122"/>
      <c r="H51" s="122"/>
    </row>
    <row r="52" spans="2:8">
      <c r="C52" s="118"/>
      <c r="D52" s="118"/>
      <c r="E52" s="118"/>
      <c r="F52" s="119"/>
      <c r="H52" s="122"/>
    </row>
    <row r="53" spans="2:8">
      <c r="B53" s="59">
        <v>2014</v>
      </c>
      <c r="C53" s="121">
        <v>7753267</v>
      </c>
      <c r="D53" s="121">
        <v>2398</v>
      </c>
      <c r="E53" s="121">
        <v>7031538</v>
      </c>
      <c r="F53" s="121">
        <v>20000</v>
      </c>
      <c r="H53" s="122"/>
    </row>
    <row r="54" spans="2:8">
      <c r="C54" s="118">
        <f>+C53/SUM($C53:$F53)</f>
        <v>0.52361455434898807</v>
      </c>
      <c r="D54" s="118">
        <f>+D53/SUM($C53:$F53)</f>
        <v>1.619482085847003E-4</v>
      </c>
      <c r="E54" s="118">
        <f>+E53/SUM($C53:$F53)</f>
        <v>0.47487280345923533</v>
      </c>
      <c r="F54" s="118">
        <f>+F53/SUM($C53:$F53)</f>
        <v>1.350693983191829E-3</v>
      </c>
      <c r="G54" s="122"/>
      <c r="H54" s="122"/>
    </row>
    <row r="55" spans="2:8">
      <c r="C55" s="118">
        <f>+C53/(SUM($C53:$E53))</f>
        <v>0.52432275393798278</v>
      </c>
      <c r="D55" s="118">
        <f>+D53/(SUM($C53:$E53))</f>
        <v>1.6216724690937156E-4</v>
      </c>
      <c r="E55" s="118">
        <f>+E53/(SUM($C53:$E53))</f>
        <v>0.47551507881510791</v>
      </c>
      <c r="F55" s="118"/>
      <c r="G55" s="122"/>
      <c r="H55" s="122"/>
    </row>
    <row r="56" spans="2:8">
      <c r="C56" s="118"/>
      <c r="D56" s="118"/>
      <c r="E56" s="118"/>
      <c r="F56" s="119"/>
      <c r="H56" s="122"/>
    </row>
    <row r="57" spans="2:8">
      <c r="B57" s="59">
        <v>2015</v>
      </c>
      <c r="C57" s="121">
        <v>7500092</v>
      </c>
      <c r="D57" s="121">
        <v>2398</v>
      </c>
      <c r="E57" s="121">
        <v>7159339</v>
      </c>
      <c r="F57" s="121">
        <v>20000</v>
      </c>
      <c r="H57" s="122"/>
    </row>
    <row r="58" spans="2:8">
      <c r="C58" s="118">
        <f>+C57/SUM($C57:$F57)</f>
        <v>0.51084180315681382</v>
      </c>
      <c r="D58" s="118">
        <f>+D57/SUM($C57:$F57)</f>
        <v>1.6333114900057751E-4</v>
      </c>
      <c r="E58" s="118">
        <f>+E57/SUM($C57:$F57)</f>
        <v>0.48763263759576547</v>
      </c>
      <c r="F58" s="118">
        <f>+F57/SUM($C57:$F57)</f>
        <v>1.3622280984201627E-3</v>
      </c>
      <c r="G58" s="122"/>
      <c r="H58" s="122"/>
    </row>
    <row r="59" spans="2:8">
      <c r="C59" s="118">
        <f>+C57/(SUM($C57:$E57))</f>
        <v>0.51153863545946421</v>
      </c>
      <c r="D59" s="118">
        <f>+D57/(SUM($C57:$E57))</f>
        <v>1.6355394678249215E-4</v>
      </c>
      <c r="E59" s="118">
        <f>+E57/(SUM($C57:$E57))</f>
        <v>0.48829781059375332</v>
      </c>
      <c r="F59" s="118"/>
      <c r="G59" s="122"/>
      <c r="H59" s="122"/>
    </row>
    <row r="60" spans="2:8">
      <c r="C60" s="118"/>
      <c r="D60" s="118"/>
      <c r="E60" s="118"/>
      <c r="F60" s="118"/>
      <c r="G60" s="122"/>
      <c r="H60" s="122"/>
    </row>
    <row r="61" spans="2:8">
      <c r="B61" s="59">
        <v>2016</v>
      </c>
      <c r="C61" s="121">
        <v>7386862</v>
      </c>
      <c r="D61" s="121">
        <v>2398</v>
      </c>
      <c r="E61" s="121">
        <v>7093197</v>
      </c>
      <c r="F61" s="121">
        <v>270000</v>
      </c>
      <c r="G61" s="122"/>
      <c r="H61" s="122"/>
    </row>
    <row r="62" spans="2:8">
      <c r="B62" s="59"/>
      <c r="C62" s="118">
        <f>+C61/SUM($C61:$F61)</f>
        <v>0.50072079518686274</v>
      </c>
      <c r="D62" s="118">
        <f>+D61/SUM($C61:$F61)</f>
        <v>1.6254919434776187E-4</v>
      </c>
      <c r="E62" s="118">
        <f>+E61/SUM($C61:$F61)</f>
        <v>0.48081461955794891</v>
      </c>
      <c r="F62" s="118">
        <f>+F61/SUM($C61:$F61)</f>
        <v>1.8302036060840576E-2</v>
      </c>
      <c r="G62" s="122"/>
      <c r="H62" s="122"/>
    </row>
    <row r="63" spans="2:8">
      <c r="B63" s="59"/>
      <c r="C63" s="118">
        <f>+C61/(SUM($C61:$E61))</f>
        <v>0.5100558558537408</v>
      </c>
      <c r="D63" s="118">
        <f>+D61/(SUM($C61:$E61))</f>
        <v>1.6557963886928853E-4</v>
      </c>
      <c r="E63" s="118">
        <f>+E61/(SUM($C61:$E61))</f>
        <v>0.48977856450738988</v>
      </c>
      <c r="F63" s="118"/>
      <c r="G63" s="122"/>
      <c r="H63" s="122"/>
    </row>
    <row r="64" spans="2:8">
      <c r="B64" s="59"/>
      <c r="C64" s="121"/>
      <c r="D64" s="121"/>
      <c r="E64" s="121"/>
      <c r="F64" s="121"/>
      <c r="G64" s="122"/>
      <c r="H64" s="122"/>
    </row>
    <row r="65" spans="2:8">
      <c r="B65" s="59">
        <v>2017</v>
      </c>
      <c r="C65" s="121">
        <v>7552464</v>
      </c>
      <c r="D65" s="121">
        <v>2398</v>
      </c>
      <c r="E65" s="121">
        <v>7041475</v>
      </c>
      <c r="F65" s="121">
        <v>80000</v>
      </c>
      <c r="G65" s="122"/>
      <c r="H65" s="122"/>
    </row>
    <row r="66" spans="2:8">
      <c r="B66" s="59"/>
      <c r="C66" s="118">
        <f>+C65/SUM($C65:$F65)</f>
        <v>0.51460142949838228</v>
      </c>
      <c r="D66" s="118">
        <f>+D65/SUM($C65:$F65)</f>
        <v>1.6339226879295564E-4</v>
      </c>
      <c r="E66" s="118">
        <f>+E65/SUM($C65:$F65)</f>
        <v>0.47978422681354344</v>
      </c>
      <c r="F66" s="118">
        <f>+F65/SUM($C65:$F65)</f>
        <v>5.4509514192812554E-3</v>
      </c>
      <c r="G66" s="122"/>
      <c r="H66" s="122"/>
    </row>
    <row r="67" spans="2:8">
      <c r="B67" s="59"/>
      <c r="C67" s="118">
        <f>+C65/(SUM($C65:$E65))</f>
        <v>0.51742187098036996</v>
      </c>
      <c r="D67" s="118">
        <f>+D65/(SUM($C65:$E65))</f>
        <v>1.6428779357451119E-4</v>
      </c>
      <c r="E67" s="118">
        <f>+E65/(SUM($C65:$E65))</f>
        <v>0.48241384122605557</v>
      </c>
      <c r="F67" s="118"/>
      <c r="G67" s="122"/>
      <c r="H67" s="122"/>
    </row>
    <row r="68" spans="2:8">
      <c r="B68" s="59"/>
      <c r="C68" s="118"/>
      <c r="D68" s="118"/>
      <c r="E68" s="118"/>
      <c r="F68" s="118"/>
      <c r="G68" s="122"/>
      <c r="H68" s="122"/>
    </row>
    <row r="69" spans="2:8">
      <c r="B69" s="59">
        <v>2018</v>
      </c>
      <c r="C69" s="121">
        <v>7843519</v>
      </c>
      <c r="D69" s="121">
        <v>2398</v>
      </c>
      <c r="E69" s="121">
        <v>7055275</v>
      </c>
      <c r="F69" s="121">
        <v>30000</v>
      </c>
      <c r="G69" s="122"/>
      <c r="H69" s="122"/>
    </row>
    <row r="70" spans="2:8">
      <c r="B70" s="59"/>
      <c r="C70" s="118">
        <f>+C69/SUM($C69:$F69)</f>
        <v>0.52531097316275888</v>
      </c>
      <c r="D70" s="118">
        <f>+D69/SUM($C69:$F69)</f>
        <v>1.6060338652131725E-4</v>
      </c>
      <c r="E70" s="118">
        <f>+E69/SUM($C69:$F69)</f>
        <v>0.47251920677197107</v>
      </c>
      <c r="F70" s="118">
        <f>+F69/SUM($C69:$F69)</f>
        <v>2.0092166787487563E-3</v>
      </c>
      <c r="G70" s="122"/>
      <c r="H70" s="122"/>
    </row>
    <row r="71" spans="2:8">
      <c r="B71" s="59"/>
      <c r="C71" s="118">
        <f>+C69/(SUM($C69:$E69))</f>
        <v>0.52636856165600709</v>
      </c>
      <c r="D71" s="118">
        <f>+D69/(SUM($C69:$E69))</f>
        <v>1.6092672317758204E-4</v>
      </c>
      <c r="E71" s="118">
        <f>+E69/(SUM($C69:$E69))</f>
        <v>0.47347051162081533</v>
      </c>
      <c r="F71" s="118"/>
      <c r="G71" s="122"/>
      <c r="H71" s="122"/>
    </row>
    <row r="72" spans="2:8">
      <c r="B72" s="59"/>
      <c r="C72" s="121"/>
      <c r="D72" s="121"/>
      <c r="E72" s="121"/>
      <c r="F72" s="121"/>
      <c r="G72" s="122"/>
      <c r="H72" s="122"/>
    </row>
    <row r="73" spans="2:8">
      <c r="B73" s="59">
        <v>2019</v>
      </c>
      <c r="C73" s="121">
        <v>8435391</v>
      </c>
      <c r="D73" s="121">
        <v>2398</v>
      </c>
      <c r="E73" s="121">
        <v>7705275</v>
      </c>
      <c r="F73" s="121">
        <v>130000</v>
      </c>
      <c r="G73" s="122"/>
      <c r="H73" s="122"/>
    </row>
    <row r="74" spans="2:8">
      <c r="B74" s="59"/>
      <c r="C74" s="118">
        <f>+C73/SUM($C73:$F73)</f>
        <v>0.51836525684407064</v>
      </c>
      <c r="D74" s="118">
        <f>+D73/SUM($C73:$F73)</f>
        <v>1.4736007920819336E-4</v>
      </c>
      <c r="E74" s="118">
        <f>+E73/SUM($C73:$F73)</f>
        <v>0.47349872156835371</v>
      </c>
      <c r="F74" s="118">
        <f>+F73/SUM($C73:$F73)</f>
        <v>7.9886615083674464E-3</v>
      </c>
      <c r="G74" s="122"/>
      <c r="H74" s="122"/>
    </row>
    <row r="75" spans="2:8">
      <c r="B75" s="59"/>
      <c r="C75" s="118">
        <f>+C73/(SUM($C73:$E73))</f>
        <v>0.5225396492264418</v>
      </c>
      <c r="D75" s="118">
        <f>+D73/(SUM($C73:$E73))</f>
        <v>1.4854676906441057E-4</v>
      </c>
      <c r="E75" s="118">
        <f>+E73/(SUM($C73:$E73))</f>
        <v>0.4773118040044938</v>
      </c>
      <c r="F75" s="118"/>
      <c r="G75" s="122"/>
      <c r="H75" s="122"/>
    </row>
    <row r="76" spans="2:8">
      <c r="B76" s="59"/>
      <c r="C76" s="118"/>
      <c r="D76" s="118"/>
      <c r="E76" s="118"/>
      <c r="F76" s="118"/>
      <c r="G76" s="122"/>
      <c r="H76" s="122"/>
    </row>
    <row r="77" spans="2:8">
      <c r="B77" s="59">
        <v>2020</v>
      </c>
      <c r="C77" s="121">
        <v>9171101</v>
      </c>
      <c r="D77" s="121">
        <v>2398</v>
      </c>
      <c r="E77" s="121">
        <v>8667150</v>
      </c>
      <c r="F77" s="121">
        <v>93000</v>
      </c>
      <c r="G77" s="122"/>
      <c r="H77" s="122"/>
    </row>
    <row r="78" spans="2:8">
      <c r="B78" s="59"/>
      <c r="C78" s="118">
        <f>+C77/SUM($C77:$F77)</f>
        <v>0.51139068239821128</v>
      </c>
      <c r="D78" s="118">
        <f>+D77/SUM($C77:$F77)</f>
        <v>1.3371511843462532E-4</v>
      </c>
      <c r="E78" s="118">
        <f>+E77/SUM($C77:$F77)</f>
        <v>0.48328982015874183</v>
      </c>
      <c r="F78" s="118">
        <f>+F77/SUM($C77:$F77)</f>
        <v>5.1857823246122415E-3</v>
      </c>
      <c r="G78" s="122"/>
      <c r="H78" s="122"/>
    </row>
    <row r="79" spans="2:8">
      <c r="B79" s="59"/>
      <c r="C79" s="118">
        <f>+C77/(SUM($C77:$E77))</f>
        <v>0.51405646734039778</v>
      </c>
      <c r="D79" s="118">
        <f>+D77/(SUM($C77:$E77))</f>
        <v>1.3441215058936478E-4</v>
      </c>
      <c r="E79" s="118">
        <f>+E77/(SUM($C77:$E77))</f>
        <v>0.48580912050901287</v>
      </c>
      <c r="F79" s="118"/>
      <c r="G79" s="122"/>
      <c r="H79" s="122"/>
    </row>
    <row r="80" spans="2:8">
      <c r="B80" s="59"/>
      <c r="C80" s="121"/>
      <c r="D80" s="121"/>
      <c r="E80" s="121"/>
      <c r="F80" s="121"/>
      <c r="G80" s="122"/>
      <c r="H80" s="122"/>
    </row>
    <row r="81" spans="2:8">
      <c r="B81" s="59">
        <v>2021</v>
      </c>
      <c r="C81" s="121">
        <v>9910947</v>
      </c>
      <c r="D81" s="121">
        <v>2398</v>
      </c>
      <c r="E81" s="121">
        <v>8797150</v>
      </c>
      <c r="F81" s="121">
        <v>0</v>
      </c>
      <c r="G81" s="122"/>
      <c r="H81" s="122"/>
    </row>
    <row r="82" spans="2:8">
      <c r="B82" s="59"/>
      <c r="C82" s="118">
        <f>+C81/SUM($C81:$F81)</f>
        <v>0.52969988233876231</v>
      </c>
      <c r="D82" s="118">
        <f>+D81/SUM($C81:$F81)</f>
        <v>1.2816336499916223E-4</v>
      </c>
      <c r="E82" s="118">
        <f>+E81/SUM($C81:$F81)</f>
        <v>0.47017195429623854</v>
      </c>
      <c r="F82" s="118">
        <f>+F81/SUM($C81:$F81)</f>
        <v>0</v>
      </c>
      <c r="G82" s="122"/>
      <c r="H82" s="122"/>
    </row>
    <row r="83" spans="2:8">
      <c r="B83" s="59"/>
      <c r="C83" s="118">
        <f>+C81/(SUM($C81:$E81))</f>
        <v>0.52969988233876231</v>
      </c>
      <c r="D83" s="118">
        <f>+D81/(SUM($C81:$E81))</f>
        <v>1.2816336499916223E-4</v>
      </c>
      <c r="E83" s="118">
        <f>+E81/(SUM($C81:$E81))</f>
        <v>0.47017195429623854</v>
      </c>
      <c r="F83" s="118"/>
      <c r="G83" s="122"/>
      <c r="H83" s="122"/>
    </row>
    <row r="84" spans="2:8">
      <c r="B84" s="59"/>
      <c r="C84" s="121"/>
      <c r="D84" s="121"/>
      <c r="E84" s="121"/>
      <c r="F84" s="121"/>
      <c r="G84" s="122"/>
      <c r="H84" s="122"/>
    </row>
    <row r="85" spans="2:8">
      <c r="B85" s="59">
        <v>2022</v>
      </c>
      <c r="C85" s="121">
        <v>10738677</v>
      </c>
      <c r="D85" s="121">
        <v>2398</v>
      </c>
      <c r="E85" s="121">
        <v>9742150</v>
      </c>
      <c r="F85" s="121">
        <v>0</v>
      </c>
      <c r="G85" s="122"/>
      <c r="H85" s="122"/>
    </row>
    <row r="86" spans="2:8">
      <c r="B86" s="59"/>
      <c r="C86" s="118">
        <f>+C85/SUM($C85:$F85)</f>
        <v>0.52426690621227856</v>
      </c>
      <c r="D86" s="118">
        <f>+D85/SUM($C85:$F85)</f>
        <v>1.1707140843299822E-4</v>
      </c>
      <c r="E86" s="118">
        <f>+E85/SUM($C85:$F85)</f>
        <v>0.47561602237928841</v>
      </c>
      <c r="F86" s="118">
        <f>+F85/SUM($C85:$F85)</f>
        <v>0</v>
      </c>
      <c r="G86" s="122"/>
      <c r="H86" s="122"/>
    </row>
    <row r="87" spans="2:8">
      <c r="B87" s="59"/>
      <c r="C87" s="118">
        <f>+C85/(SUM($C85:$E85))</f>
        <v>0.52426690621227856</v>
      </c>
      <c r="D87" s="118">
        <f>+D85/(SUM($C85:$E85))</f>
        <v>1.1707140843299822E-4</v>
      </c>
      <c r="E87" s="118">
        <f>+E85/(SUM($C85:$E85))</f>
        <v>0.47561602237928841</v>
      </c>
      <c r="F87" s="118"/>
      <c r="G87" s="122"/>
      <c r="H87" s="122"/>
    </row>
    <row r="88" spans="2:8" ht="15.3" thickBot="1">
      <c r="B88" s="91"/>
      <c r="C88" s="123"/>
      <c r="D88" s="123"/>
      <c r="E88" s="123"/>
      <c r="F88" s="123"/>
      <c r="G88" s="124"/>
    </row>
    <row r="89" spans="2:8" ht="15.3" thickTop="1">
      <c r="C89" s="124"/>
      <c r="D89" s="124"/>
      <c r="E89" s="124"/>
      <c r="F89" s="124"/>
      <c r="G89" s="124"/>
    </row>
    <row r="90" spans="2:8">
      <c r="B90" s="57" t="s">
        <v>170</v>
      </c>
    </row>
    <row r="92" spans="2:8">
      <c r="B92" s="57" t="s">
        <v>171</v>
      </c>
    </row>
    <row r="93" spans="2:8">
      <c r="B93" s="57" t="s">
        <v>172</v>
      </c>
    </row>
  </sheetData>
  <printOptions horizontalCentered="1"/>
  <pageMargins left="0.75" right="0.75" top="1" bottom="1" header="0.5" footer="0.5"/>
  <pageSetup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40"/>
  <sheetViews>
    <sheetView zoomScaleNormal="100" workbookViewId="0">
      <selection activeCell="D19" sqref="D19"/>
    </sheetView>
  </sheetViews>
  <sheetFormatPr defaultColWidth="8.86328125" defaultRowHeight="15"/>
  <cols>
    <col min="1" max="1" width="14.76953125" style="57" customWidth="1"/>
    <col min="2" max="3" width="17.2265625" style="57" customWidth="1"/>
    <col min="4" max="4" width="16.86328125" style="57" customWidth="1"/>
    <col min="5" max="5" width="20.2265625" style="57" customWidth="1"/>
    <col min="6" max="16384" width="8.86328125" style="57"/>
  </cols>
  <sheetData>
    <row r="1" spans="1:5">
      <c r="E1" s="58"/>
    </row>
    <row r="2" spans="1:5">
      <c r="E2" s="58" t="str">
        <f>+' DCP-6, P 1'!F2</f>
        <v>Exh. DCP-6</v>
      </c>
    </row>
    <row r="3" spans="1:5">
      <c r="E3" s="58" t="s">
        <v>81</v>
      </c>
    </row>
    <row r="4" spans="1:5">
      <c r="E4" s="58"/>
    </row>
    <row r="5" spans="1:5" ht="20.100000000000001">
      <c r="A5" s="189" t="s">
        <v>173</v>
      </c>
      <c r="B5" s="189"/>
      <c r="C5" s="189"/>
      <c r="D5" s="189"/>
      <c r="E5" s="189"/>
    </row>
    <row r="6" spans="1:5" ht="20.100000000000001">
      <c r="A6" s="189" t="s">
        <v>174</v>
      </c>
      <c r="B6" s="189"/>
      <c r="C6" s="189"/>
      <c r="D6" s="189"/>
      <c r="E6" s="189"/>
    </row>
    <row r="7" spans="1:5" ht="20.100000000000001">
      <c r="A7" s="189" t="s">
        <v>155</v>
      </c>
      <c r="B7" s="189"/>
      <c r="C7" s="189"/>
      <c r="D7" s="189"/>
      <c r="E7" s="189"/>
    </row>
    <row r="8" spans="1:5" ht="20.100000000000001">
      <c r="A8" s="189" t="s">
        <v>175</v>
      </c>
      <c r="B8" s="189"/>
      <c r="C8" s="189"/>
      <c r="D8" s="189"/>
      <c r="E8" s="189"/>
    </row>
    <row r="9" spans="1:5" ht="20.100000000000001">
      <c r="A9" s="198" t="s">
        <v>176</v>
      </c>
      <c r="B9" s="199"/>
      <c r="C9" s="199"/>
      <c r="D9" s="199"/>
      <c r="E9" s="199"/>
    </row>
    <row r="10" spans="1:5" ht="20.399999999999999" thickBot="1">
      <c r="A10" s="125"/>
      <c r="B10" s="125"/>
      <c r="C10" s="125"/>
      <c r="D10" s="125"/>
      <c r="E10" s="125"/>
    </row>
    <row r="11" spans="1:5" ht="20.399999999999999" thickTop="1">
      <c r="A11" s="126"/>
      <c r="B11" s="126"/>
      <c r="C11" s="126"/>
      <c r="D11" s="126"/>
      <c r="E11" s="126"/>
    </row>
    <row r="12" spans="1:5">
      <c r="B12" s="59" t="s">
        <v>158</v>
      </c>
      <c r="C12" s="59" t="s">
        <v>159</v>
      </c>
      <c r="D12" s="59" t="s">
        <v>160</v>
      </c>
      <c r="E12" s="59" t="s">
        <v>161</v>
      </c>
    </row>
    <row r="13" spans="1:5">
      <c r="A13" s="59" t="s">
        <v>162</v>
      </c>
      <c r="B13" s="59" t="s">
        <v>163</v>
      </c>
      <c r="C13" s="59" t="s">
        <v>164</v>
      </c>
      <c r="D13" s="59" t="s">
        <v>177</v>
      </c>
      <c r="E13" s="59" t="s">
        <v>166</v>
      </c>
    </row>
    <row r="14" spans="1:5">
      <c r="A14" s="104"/>
      <c r="B14" s="104"/>
      <c r="C14" s="104"/>
      <c r="D14" s="104"/>
      <c r="E14" s="104"/>
    </row>
    <row r="16" spans="1:5">
      <c r="A16" s="59">
        <v>2018</v>
      </c>
      <c r="B16" s="121">
        <v>29593</v>
      </c>
      <c r="C16" s="121"/>
      <c r="D16" s="121">
        <f>8577+100+25492</f>
        <v>34169</v>
      </c>
      <c r="E16" s="121">
        <f>2516+2081</f>
        <v>4597</v>
      </c>
    </row>
    <row r="17" spans="1:6">
      <c r="A17" s="59"/>
      <c r="B17" s="118">
        <f>B16/(SUM($B16:$E16))</f>
        <v>0.43290568908263727</v>
      </c>
      <c r="C17" s="118"/>
      <c r="D17" s="118">
        <f>D16/(SUM($B16:$E16))</f>
        <v>0.49984639915738965</v>
      </c>
      <c r="E17" s="118">
        <f>E16/(SUM($B16:$E16))</f>
        <v>6.7247911759973078E-2</v>
      </c>
      <c r="F17" s="122"/>
    </row>
    <row r="18" spans="1:6">
      <c r="A18" s="59"/>
      <c r="B18" s="118">
        <f>+B16/SUM($B16:$D16)</f>
        <v>0.46411655845174243</v>
      </c>
      <c r="C18" s="118"/>
      <c r="D18" s="118">
        <f>+D16/SUM($B16:$D16)</f>
        <v>0.53588344154825762</v>
      </c>
      <c r="E18" s="119"/>
      <c r="F18" s="122"/>
    </row>
    <row r="19" spans="1:6">
      <c r="A19" s="59"/>
      <c r="B19" s="118"/>
      <c r="C19" s="118"/>
      <c r="D19" s="118"/>
      <c r="E19" s="119"/>
      <c r="F19" s="122"/>
    </row>
    <row r="20" spans="1:6">
      <c r="A20" s="59">
        <v>2019</v>
      </c>
      <c r="B20" s="121">
        <v>32449</v>
      </c>
      <c r="C20" s="121"/>
      <c r="D20" s="121">
        <f>8231+100+28483</f>
        <v>36814</v>
      </c>
      <c r="E20" s="121">
        <f>3214+2539</f>
        <v>5753</v>
      </c>
      <c r="F20" s="122"/>
    </row>
    <row r="21" spans="1:6">
      <c r="A21" s="59"/>
      <c r="B21" s="118">
        <f>B20/(SUM($B20:$E20))</f>
        <v>0.43256105364188974</v>
      </c>
      <c r="C21" s="118"/>
      <c r="D21" s="118">
        <f>D20/(SUM($B20:$E20))</f>
        <v>0.49074864029007143</v>
      </c>
      <c r="E21" s="118">
        <f>E20/(SUM($B20:$E20))</f>
        <v>7.6690306068038824E-2</v>
      </c>
      <c r="F21" s="122"/>
    </row>
    <row r="22" spans="1:6">
      <c r="A22" s="59"/>
      <c r="B22" s="118">
        <f>+B20/SUM($B20:$D20)</f>
        <v>0.4684896698092777</v>
      </c>
      <c r="C22" s="118"/>
      <c r="D22" s="118">
        <f>+D20/SUM($B20:$D20)</f>
        <v>0.53151033019072236</v>
      </c>
      <c r="E22" s="119"/>
      <c r="F22" s="122"/>
    </row>
    <row r="23" spans="1:6">
      <c r="A23" s="59"/>
      <c r="B23" s="118"/>
      <c r="C23" s="118"/>
      <c r="D23" s="118"/>
      <c r="E23" s="119"/>
      <c r="F23" s="122"/>
    </row>
    <row r="24" spans="1:6">
      <c r="A24" s="59">
        <v>2020</v>
      </c>
      <c r="B24" s="121">
        <f>43010-3750</f>
        <v>39260</v>
      </c>
      <c r="C24" s="121">
        <v>3750</v>
      </c>
      <c r="D24" s="121">
        <f>12997+100+34930</f>
        <v>48027</v>
      </c>
      <c r="E24" s="121">
        <f>2286+1839</f>
        <v>4125</v>
      </c>
      <c r="F24" s="122"/>
    </row>
    <row r="25" spans="1:6">
      <c r="A25" s="59"/>
      <c r="B25" s="118">
        <f>B24/(SUM($B24:$E24))</f>
        <v>0.41255963514848365</v>
      </c>
      <c r="C25" s="118">
        <f>C24/(SUM($B24:$E24))</f>
        <v>3.9406485782139927E-2</v>
      </c>
      <c r="D25" s="118">
        <f>D24/(SUM($B24:$E24))</f>
        <v>0.50468674470902253</v>
      </c>
      <c r="E25" s="118">
        <f>E24/(SUM($B24:$E24))</f>
        <v>4.3347134360353923E-2</v>
      </c>
      <c r="F25" s="122"/>
    </row>
    <row r="26" spans="1:6">
      <c r="A26" s="59"/>
      <c r="B26" s="118">
        <f>+B24/SUM($B24:$D24)</f>
        <v>0.43125322671001898</v>
      </c>
      <c r="C26" s="118">
        <f>+C24/SUM($B24:$D24)</f>
        <v>4.1192042795786331E-2</v>
      </c>
      <c r="D26" s="118">
        <f>+D24/SUM($B24:$D24)</f>
        <v>0.52755473049419466</v>
      </c>
      <c r="E26" s="119"/>
      <c r="F26" s="122"/>
    </row>
    <row r="27" spans="1:6">
      <c r="A27" s="59"/>
      <c r="B27" s="121"/>
      <c r="C27" s="121"/>
      <c r="D27" s="121"/>
      <c r="E27" s="121"/>
      <c r="F27" s="122"/>
    </row>
    <row r="28" spans="1:6">
      <c r="A28" s="59">
        <v>2021</v>
      </c>
      <c r="B28" s="121">
        <f>46694-1650</f>
        <v>45044</v>
      </c>
      <c r="C28" s="121">
        <v>1650</v>
      </c>
      <c r="D28" s="121">
        <f>13003+100+35394</f>
        <v>48497</v>
      </c>
      <c r="E28" s="121">
        <f>2009+1265</f>
        <v>3274</v>
      </c>
      <c r="F28" s="122"/>
    </row>
    <row r="29" spans="1:6">
      <c r="A29" s="59"/>
      <c r="B29" s="118">
        <f>B28/(SUM($B28:$E28))</f>
        <v>0.45746204235007365</v>
      </c>
      <c r="C29" s="118">
        <f>C28/(SUM($B28:$E28))</f>
        <v>1.6757223378865586E-2</v>
      </c>
      <c r="D29" s="118">
        <f>D28/(SUM($B28:$E28))</f>
        <v>0.49253034073020868</v>
      </c>
      <c r="E29" s="118">
        <f>E28/(SUM($B28:$E28))</f>
        <v>3.3250393540852081E-2</v>
      </c>
      <c r="F29" s="122"/>
    </row>
    <row r="30" spans="1:6">
      <c r="A30" s="59"/>
      <c r="B30" s="118">
        <f>+B28/SUM($B28:$D28)</f>
        <v>0.47319599541973506</v>
      </c>
      <c r="C30" s="118">
        <f>+C28/SUM($B28:$D28)</f>
        <v>1.7333571451082559E-2</v>
      </c>
      <c r="D30" s="118">
        <f>+D28/SUM($B28:$D28)</f>
        <v>0.50947043312918239</v>
      </c>
      <c r="E30" s="119"/>
      <c r="F30" s="122"/>
    </row>
    <row r="31" spans="1:6">
      <c r="A31" s="59"/>
      <c r="B31" s="121"/>
      <c r="C31" s="121"/>
      <c r="D31" s="121"/>
      <c r="E31" s="121"/>
      <c r="F31" s="122"/>
    </row>
    <row r="32" spans="1:6">
      <c r="A32" s="59">
        <v>2022</v>
      </c>
      <c r="B32" s="121">
        <f>46832-850</f>
        <v>45982</v>
      </c>
      <c r="C32" s="121">
        <v>850</v>
      </c>
      <c r="D32" s="121">
        <f>13096+100+35238</f>
        <v>48434</v>
      </c>
      <c r="E32" s="121">
        <f>1119+3201</f>
        <v>4320</v>
      </c>
      <c r="F32" s="122"/>
    </row>
    <row r="33" spans="1:6">
      <c r="A33" s="59"/>
      <c r="B33" s="118">
        <f>B32/(SUM($B32:$E32))</f>
        <v>0.4617315686943948</v>
      </c>
      <c r="C33" s="118">
        <f>C32/(SUM($B32:$E32))</f>
        <v>8.5353362922499145E-3</v>
      </c>
      <c r="D33" s="118">
        <f>D32/(SUM($B32:$E32))</f>
        <v>0.48635350350450868</v>
      </c>
      <c r="E33" s="118">
        <f>E32/(SUM($B32:$E32))</f>
        <v>4.3379591508846627E-2</v>
      </c>
      <c r="F33" s="122"/>
    </row>
    <row r="34" spans="1:6">
      <c r="A34" s="59"/>
      <c r="B34" s="118">
        <f>+B32/SUM($B32:$D32)</f>
        <v>0.48266957781370057</v>
      </c>
      <c r="C34" s="118">
        <f>+C32/SUM($B32:$D32)</f>
        <v>8.9223857409778933E-3</v>
      </c>
      <c r="D34" s="118">
        <f>+D32/SUM($B32:$D32)</f>
        <v>0.50840803644532151</v>
      </c>
      <c r="E34" s="119"/>
      <c r="F34" s="122"/>
    </row>
    <row r="35" spans="1:6">
      <c r="A35" s="59"/>
      <c r="B35" s="121"/>
      <c r="C35" s="121"/>
      <c r="D35" s="121"/>
      <c r="E35" s="121"/>
      <c r="F35" s="122"/>
    </row>
    <row r="36" spans="1:6" ht="15.3" thickBot="1">
      <c r="A36" s="91"/>
      <c r="B36" s="127"/>
      <c r="C36" s="127"/>
      <c r="D36" s="127"/>
      <c r="E36" s="128"/>
    </row>
    <row r="37" spans="1:6" ht="15.3" thickTop="1">
      <c r="A37" s="59"/>
    </row>
    <row r="38" spans="1:6">
      <c r="A38" s="102" t="s">
        <v>178</v>
      </c>
    </row>
    <row r="39" spans="1:6">
      <c r="A39" s="59"/>
    </row>
    <row r="40" spans="1:6">
      <c r="A40" s="57" t="s">
        <v>179</v>
      </c>
    </row>
  </sheetData>
  <mergeCells count="5">
    <mergeCell ref="A5:E5"/>
    <mergeCell ref="A7:E7"/>
    <mergeCell ref="A8:E8"/>
    <mergeCell ref="A9:E9"/>
    <mergeCell ref="A6:E6"/>
  </mergeCells>
  <printOptions horizontalCentered="1" verticalCentered="1"/>
  <pageMargins left="0.5" right="0.5" top="0.5" bottom="0.5" header="0.5" footer="0.5"/>
  <pageSetup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L43"/>
  <sheetViews>
    <sheetView showOutlineSymbols="0" topLeftCell="A28" zoomScaleNormal="100" workbookViewId="0">
      <selection activeCell="F1" sqref="F1"/>
    </sheetView>
  </sheetViews>
  <sheetFormatPr defaultColWidth="9.76953125" defaultRowHeight="15"/>
  <cols>
    <col min="1" max="1" width="6.76953125" style="57" customWidth="1"/>
    <col min="2" max="2" width="20.76953125" style="57" customWidth="1"/>
    <col min="3" max="4" width="15.76953125" style="57" customWidth="1"/>
    <col min="5" max="5" width="14.76953125" style="57" customWidth="1"/>
    <col min="6" max="6" width="15.76953125" style="57" customWidth="1"/>
    <col min="7" max="7" width="4.76953125" style="57" customWidth="1"/>
    <col min="8" max="8" width="15.08984375" style="57" customWidth="1"/>
    <col min="9" max="16384" width="9.76953125" style="57"/>
  </cols>
  <sheetData>
    <row r="1" spans="2:8">
      <c r="F1" s="58"/>
    </row>
    <row r="2" spans="2:8">
      <c r="F2" s="58" t="str">
        <f>+'DCP-6, P 2 '!E2</f>
        <v>Exh. DCP-6</v>
      </c>
    </row>
    <row r="3" spans="2:8">
      <c r="F3" s="58" t="s">
        <v>104</v>
      </c>
    </row>
    <row r="4" spans="2:8">
      <c r="E4" s="58"/>
    </row>
    <row r="5" spans="2:8" ht="20.100000000000001">
      <c r="B5" s="99" t="s">
        <v>180</v>
      </c>
      <c r="C5" s="99"/>
      <c r="D5" s="99"/>
      <c r="E5" s="99"/>
      <c r="F5" s="99"/>
    </row>
    <row r="6" spans="2:8" ht="20.100000000000001">
      <c r="B6" s="99" t="s">
        <v>155</v>
      </c>
      <c r="C6" s="100"/>
      <c r="D6" s="100"/>
      <c r="E6" s="100"/>
      <c r="F6" s="100"/>
    </row>
    <row r="7" spans="2:8" ht="20.100000000000001">
      <c r="B7" s="99" t="s">
        <v>181</v>
      </c>
      <c r="C7" s="100"/>
      <c r="D7" s="100"/>
      <c r="E7" s="100"/>
      <c r="F7" s="100"/>
    </row>
    <row r="8" spans="2:8" ht="20.100000000000001">
      <c r="B8" s="117" t="s">
        <v>182</v>
      </c>
      <c r="C8" s="100"/>
      <c r="D8" s="100"/>
      <c r="E8" s="100"/>
      <c r="F8" s="100"/>
    </row>
    <row r="10" spans="2:8" ht="15.3" thickBot="1">
      <c r="B10" s="101"/>
      <c r="C10" s="101"/>
      <c r="D10" s="101"/>
      <c r="E10" s="101"/>
      <c r="F10" s="101"/>
    </row>
    <row r="11" spans="2:8" ht="15.3" thickTop="1"/>
    <row r="12" spans="2:8">
      <c r="C12" s="59" t="s">
        <v>158</v>
      </c>
      <c r="D12" s="59" t="s">
        <v>159</v>
      </c>
      <c r="E12" s="59" t="s">
        <v>183</v>
      </c>
      <c r="F12" s="59" t="s">
        <v>161</v>
      </c>
    </row>
    <row r="13" spans="2:8">
      <c r="B13" s="59" t="s">
        <v>184</v>
      </c>
      <c r="C13" s="59" t="s">
        <v>163</v>
      </c>
      <c r="D13" s="59" t="s">
        <v>185</v>
      </c>
      <c r="E13" s="59" t="s">
        <v>177</v>
      </c>
      <c r="F13" s="59" t="s">
        <v>166</v>
      </c>
    </row>
    <row r="14" spans="2:8">
      <c r="B14" s="104"/>
      <c r="C14" s="104"/>
      <c r="D14" s="104"/>
      <c r="E14" s="104"/>
      <c r="F14" s="104"/>
    </row>
    <row r="15" spans="2:8" ht="20.5" customHeight="1"/>
    <row r="16" spans="2:8" ht="18.600000000000001" customHeight="1">
      <c r="B16" s="102" t="s">
        <v>186</v>
      </c>
      <c r="C16" s="121">
        <v>3354</v>
      </c>
      <c r="D16" s="121"/>
      <c r="E16" s="121">
        <v>3195</v>
      </c>
      <c r="F16" s="121">
        <v>0</v>
      </c>
      <c r="H16" s="122"/>
    </row>
    <row r="17" spans="2:12">
      <c r="B17" s="102"/>
      <c r="C17" s="118">
        <f>+C16/SUM(C16:F16)</f>
        <v>0.51213925790196979</v>
      </c>
      <c r="D17" s="118">
        <f>+D16/SUM(C16:F16)</f>
        <v>0</v>
      </c>
      <c r="E17" s="118">
        <f>+E16/SUM(C16:F16)</f>
        <v>0.48786074209803021</v>
      </c>
      <c r="F17" s="118">
        <f>+F16/SUM(C16:F16)</f>
        <v>0</v>
      </c>
      <c r="H17" s="122"/>
    </row>
    <row r="18" spans="2:12">
      <c r="B18" s="102"/>
      <c r="C18" s="118">
        <f>+C16/(SUM(C16:E16))</f>
        <v>0.51213925790196979</v>
      </c>
      <c r="D18" s="118">
        <f>+D16/(SUM(C16:E16))</f>
        <v>0</v>
      </c>
      <c r="E18" s="118">
        <f>+E16/(SUM(C16:E16))</f>
        <v>0.48786074209803021</v>
      </c>
      <c r="F18" s="119"/>
      <c r="H18" s="122"/>
    </row>
    <row r="19" spans="2:12">
      <c r="B19" s="102"/>
      <c r="C19" s="118"/>
      <c r="D19" s="118"/>
      <c r="E19" s="118"/>
      <c r="F19" s="119"/>
      <c r="H19" s="122"/>
    </row>
    <row r="20" spans="2:12">
      <c r="B20" s="102" t="s">
        <v>150</v>
      </c>
      <c r="C20" s="121">
        <v>2048</v>
      </c>
      <c r="D20" s="121">
        <v>0</v>
      </c>
      <c r="E20" s="121">
        <v>898</v>
      </c>
      <c r="F20" s="121">
        <v>250</v>
      </c>
      <c r="H20" s="122"/>
    </row>
    <row r="21" spans="2:12">
      <c r="B21" s="102"/>
      <c r="C21" s="118">
        <f>+C20/SUM(C20:F20)</f>
        <v>0.64080100125156447</v>
      </c>
      <c r="D21" s="118">
        <f>+D20/SUM(C20:F20)</f>
        <v>0</v>
      </c>
      <c r="E21" s="118">
        <f>+E20/SUM(C20:F20)</f>
        <v>0.28097622027534419</v>
      </c>
      <c r="F21" s="118">
        <f>+F20/SUM(C20:F20)</f>
        <v>7.8222778473091364E-2</v>
      </c>
      <c r="H21" s="122"/>
    </row>
    <row r="22" spans="2:12">
      <c r="B22" s="102"/>
      <c r="C22" s="118">
        <f>+C20/(SUM(C20:E20))</f>
        <v>0.69517990495587234</v>
      </c>
      <c r="D22" s="118">
        <f>+D20/(SUM(C20:E20))</f>
        <v>0</v>
      </c>
      <c r="E22" s="118">
        <f>+E20/(SUM(C20:E20))</f>
        <v>0.3048200950441276</v>
      </c>
      <c r="F22" s="119"/>
      <c r="H22" s="122"/>
    </row>
    <row r="23" spans="2:12">
      <c r="B23" s="102"/>
      <c r="C23" s="118"/>
      <c r="D23" s="118"/>
      <c r="E23" s="118"/>
      <c r="F23" s="119"/>
      <c r="H23" s="122"/>
    </row>
    <row r="24" spans="2:12">
      <c r="B24" s="102" t="s">
        <v>187</v>
      </c>
      <c r="C24" s="121">
        <v>9645</v>
      </c>
      <c r="D24" s="121">
        <v>0</v>
      </c>
      <c r="E24" s="121">
        <v>7412</v>
      </c>
      <c r="F24" s="121">
        <v>317</v>
      </c>
      <c r="H24" s="122"/>
    </row>
    <row r="25" spans="2:12">
      <c r="B25" s="102"/>
      <c r="C25" s="118">
        <f>+C24/SUM(C24:F24)</f>
        <v>0.55513986416484407</v>
      </c>
      <c r="D25" s="118">
        <f>+D24/SUM(C24:F24)</f>
        <v>0</v>
      </c>
      <c r="E25" s="118">
        <f>+E24/SUM(C24:F24)</f>
        <v>0.42661448140900193</v>
      </c>
      <c r="F25" s="118">
        <f>+F24/SUM(C24:F24)</f>
        <v>1.8245654426154022E-2</v>
      </c>
      <c r="H25" s="122"/>
    </row>
    <row r="26" spans="2:12">
      <c r="B26" s="102"/>
      <c r="C26" s="118">
        <f>+C24/(SUM(C24:E24))</f>
        <v>0.56545699712727915</v>
      </c>
      <c r="D26" s="118">
        <f>+D24/(SUM(C24:E24))</f>
        <v>0</v>
      </c>
      <c r="E26" s="118">
        <f>+E24/(SUM(C24:E24))</f>
        <v>0.43454300287272085</v>
      </c>
      <c r="F26" s="119"/>
      <c r="H26" s="122"/>
    </row>
    <row r="27" spans="2:12">
      <c r="B27" s="102"/>
      <c r="C27" s="118"/>
      <c r="D27" s="118"/>
      <c r="E27" s="118"/>
      <c r="F27" s="119"/>
      <c r="H27" s="122"/>
    </row>
    <row r="28" spans="2:12" ht="19.149999999999999" customHeight="1">
      <c r="B28" s="102" t="s">
        <v>148</v>
      </c>
      <c r="C28" s="121">
        <v>10739</v>
      </c>
      <c r="D28" s="121">
        <v>2</v>
      </c>
      <c r="E28" s="121">
        <v>9217</v>
      </c>
      <c r="F28" s="121">
        <v>449</v>
      </c>
      <c r="H28" s="122"/>
    </row>
    <row r="29" spans="2:12">
      <c r="B29" s="102"/>
      <c r="C29" s="118">
        <f>+C28/SUM(C28:F28)</f>
        <v>0.52624099573675698</v>
      </c>
      <c r="D29" s="118">
        <f>+D28/SUM(C28:F28)</f>
        <v>9.8005586318420146E-5</v>
      </c>
      <c r="E29" s="118">
        <f>+E28/SUM(C28:F28)</f>
        <v>0.45165874454843924</v>
      </c>
      <c r="F29" s="118">
        <f>+F28/SUM(C28:F28)</f>
        <v>2.2002254128485322E-2</v>
      </c>
      <c r="H29" s="122"/>
      <c r="I29" s="59"/>
      <c r="J29" s="59"/>
      <c r="K29" s="59"/>
      <c r="L29" s="59"/>
    </row>
    <row r="30" spans="2:12">
      <c r="B30" s="102"/>
      <c r="C30" s="118">
        <f>+C28/(SUM(C28:E28))</f>
        <v>0.53807996793265855</v>
      </c>
      <c r="D30" s="118">
        <f>+D28/(SUM(C28:E28))</f>
        <v>1.002104419280489E-4</v>
      </c>
      <c r="E30" s="118">
        <f>+E28/(SUM(C28:E28))</f>
        <v>0.46181982162541335</v>
      </c>
      <c r="F30" s="119"/>
      <c r="H30" s="122"/>
      <c r="I30" s="59"/>
      <c r="J30" s="59"/>
      <c r="K30" s="59"/>
      <c r="L30" s="59"/>
    </row>
    <row r="31" spans="2:12">
      <c r="B31" s="102"/>
      <c r="C31" s="118"/>
      <c r="D31" s="118"/>
      <c r="E31" s="118"/>
      <c r="F31" s="119"/>
      <c r="H31" s="122"/>
      <c r="I31" s="59"/>
      <c r="J31" s="59"/>
      <c r="K31" s="59"/>
      <c r="L31" s="59"/>
    </row>
    <row r="32" spans="2:12">
      <c r="B32" s="102"/>
      <c r="C32" s="118"/>
      <c r="D32" s="118"/>
      <c r="E32" s="118"/>
      <c r="F32" s="119"/>
      <c r="H32" s="122"/>
      <c r="I32" s="118"/>
      <c r="J32" s="118"/>
      <c r="K32" s="118"/>
      <c r="L32" s="119"/>
    </row>
    <row r="33" spans="2:12">
      <c r="B33" s="102" t="s">
        <v>188</v>
      </c>
      <c r="C33" s="121">
        <f>46832-850</f>
        <v>45982</v>
      </c>
      <c r="D33" s="121">
        <v>850</v>
      </c>
      <c r="E33" s="121">
        <f>13096+100+35238</f>
        <v>48434</v>
      </c>
      <c r="F33" s="121">
        <f>1119+3201</f>
        <v>4320</v>
      </c>
      <c r="H33" s="122"/>
      <c r="I33" s="118"/>
      <c r="J33" s="118"/>
      <c r="K33" s="118"/>
      <c r="L33" s="119"/>
    </row>
    <row r="34" spans="2:12">
      <c r="B34" s="57" t="s">
        <v>189</v>
      </c>
      <c r="C34" s="118">
        <f>+C33/SUM(C33:F33)</f>
        <v>0.4617315686943948</v>
      </c>
      <c r="D34" s="118">
        <f>+D33/SUM(C33:F33)</f>
        <v>8.5353362922499145E-3</v>
      </c>
      <c r="E34" s="118">
        <f>+E33/SUM(C33:F33)</f>
        <v>0.48635350350450868</v>
      </c>
      <c r="F34" s="118">
        <f>+F33/SUM(C33:F33)</f>
        <v>4.3379591508846627E-2</v>
      </c>
      <c r="H34" s="122"/>
      <c r="I34" s="118"/>
      <c r="J34" s="118"/>
      <c r="K34" s="118"/>
      <c r="L34" s="119"/>
    </row>
    <row r="35" spans="2:12">
      <c r="B35" s="102" t="s">
        <v>190</v>
      </c>
      <c r="C35" s="118">
        <f>+C33/(SUM(C33:E33))</f>
        <v>0.48266957781370057</v>
      </c>
      <c r="D35" s="118">
        <f>+D33/(SUM(C33:E33))</f>
        <v>8.9223857409778933E-3</v>
      </c>
      <c r="E35" s="118">
        <f>+E33/(SUM(C33:E33))</f>
        <v>0.50840803644532151</v>
      </c>
      <c r="F35" s="119"/>
      <c r="H35" s="122"/>
      <c r="I35" s="118"/>
      <c r="J35" s="118"/>
      <c r="K35" s="118"/>
      <c r="L35" s="119"/>
    </row>
    <row r="36" spans="2:12">
      <c r="C36" s="118"/>
      <c r="D36" s="118"/>
      <c r="E36" s="118"/>
      <c r="F36" s="119"/>
      <c r="I36" s="118"/>
      <c r="J36" s="118"/>
      <c r="K36" s="118"/>
      <c r="L36" s="119"/>
    </row>
    <row r="37" spans="2:12" ht="15.3" thickBot="1">
      <c r="B37" s="101"/>
      <c r="C37" s="101"/>
      <c r="D37" s="101"/>
      <c r="E37" s="101"/>
      <c r="F37" s="101"/>
    </row>
    <row r="38" spans="2:12" ht="15.3" thickTop="1"/>
    <row r="39" spans="2:12">
      <c r="B39" s="57" t="s">
        <v>170</v>
      </c>
    </row>
    <row r="41" spans="2:12">
      <c r="B41" s="102" t="s">
        <v>178</v>
      </c>
    </row>
    <row r="43" spans="2:12">
      <c r="B43" s="57" t="s">
        <v>191</v>
      </c>
    </row>
  </sheetData>
  <printOptions horizontalCentered="1"/>
  <pageMargins left="0.5" right="0.5" top="0.5" bottom="0.55000000000000004" header="0" footer="0"/>
  <pageSetup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B02860E-072C-442D-ACFE-75307B7482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78514-7A22-44CA-AEF1-B5240A757484}">
  <ds:schemaRefs>
    <ds:schemaRef ds:uri="http://schemas.microsoft.com/office/2006/documentManagement/types"/>
    <ds:schemaRef ds:uri="8a9c0665-ce9c-4bea-9835-c9a33fcc7dbd"/>
    <ds:schemaRef ds:uri="0bd10957-05d0-4cfe-8a39-57475fe25a6a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1B0DF2E-43A4-465D-A68E-ED27921EA52E}"/>
</file>

<file path=customXml/itemProps4.xml><?xml version="1.0" encoding="utf-8"?>
<ds:datastoreItem xmlns:ds="http://schemas.openxmlformats.org/officeDocument/2006/customXml" ds:itemID="{048E893F-C2BE-4910-9382-EFBC246EDC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17</vt:i4>
      </vt:variant>
    </vt:vector>
  </HeadingPairs>
  <TitlesOfParts>
    <vt:vector size="44" baseType="lpstr">
      <vt:lpstr>DCP-3</vt:lpstr>
      <vt:lpstr>DCP-4, P 1</vt:lpstr>
      <vt:lpstr>DCP-4, P 2</vt:lpstr>
      <vt:lpstr>DCP-4, P 3</vt:lpstr>
      <vt:lpstr>DCP-5, P 1</vt:lpstr>
      <vt:lpstr>Sch 5, P 2</vt:lpstr>
      <vt:lpstr> DCP-6, P 1</vt:lpstr>
      <vt:lpstr>DCP-6, P 2 </vt:lpstr>
      <vt:lpstr>DCP-6, p 3</vt:lpstr>
      <vt:lpstr>DCP-7</vt:lpstr>
      <vt:lpstr>DCP-8</vt:lpstr>
      <vt:lpstr>DCP-9, P 1</vt:lpstr>
      <vt:lpstr>DCP-9, P 2</vt:lpstr>
      <vt:lpstr>DCP-9, P 3</vt:lpstr>
      <vt:lpstr>DCP-9, P 4</vt:lpstr>
      <vt:lpstr>DCP-9, P 5</vt:lpstr>
      <vt:lpstr>DCP-10</vt:lpstr>
      <vt:lpstr>DCP-11</vt:lpstr>
      <vt:lpstr>DCP-12, P 1</vt:lpstr>
      <vt:lpstr>DCP-12, P 2</vt:lpstr>
      <vt:lpstr>DCP-12, P 3</vt:lpstr>
      <vt:lpstr>DCP-13</vt:lpstr>
      <vt:lpstr>DCP-14, P 1</vt:lpstr>
      <vt:lpstr>DCP-14, P 2</vt:lpstr>
      <vt:lpstr>DCP-15, P 1</vt:lpstr>
      <vt:lpstr>DCP-15, P2</vt:lpstr>
      <vt:lpstr>DCP-15, P3</vt:lpstr>
      <vt:lpstr>'DCP-4, P 1'!AAA</vt:lpstr>
      <vt:lpstr>'DCP-4, P 2'!BBB</vt:lpstr>
      <vt:lpstr>'DCP-4, P 3'!CCC</vt:lpstr>
      <vt:lpstr>'DCP-6, p 3'!DDD</vt:lpstr>
      <vt:lpstr>'DCP-13'!PPP</vt:lpstr>
      <vt:lpstr>'DCP-12, P 1'!Print_Area</vt:lpstr>
      <vt:lpstr>'DCP-12, P 2'!Print_Area</vt:lpstr>
      <vt:lpstr>'DCP-4, P 1'!Print_Area</vt:lpstr>
      <vt:lpstr>'DCP-4, P 2'!Print_Area</vt:lpstr>
      <vt:lpstr>'DCP-4, P 3'!Print_Area</vt:lpstr>
      <vt:lpstr>'DCP-6, P 2 '!Print_Area</vt:lpstr>
      <vt:lpstr>'DCP-9, P 2'!Print_Area</vt:lpstr>
      <vt:lpstr>'DCP-9, P 3'!Print_Area</vt:lpstr>
      <vt:lpstr>'Sch 5, P 2'!Print_Area</vt:lpstr>
      <vt:lpstr>'DCP-4, P 1'!Print_Titles</vt:lpstr>
      <vt:lpstr>'DCP-4, P 2'!Print_Titles</vt:lpstr>
      <vt:lpstr>'DCP-4, P 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gaw</dc:creator>
  <cp:keywords/>
  <dc:description/>
  <cp:lastModifiedBy>David Parcell</cp:lastModifiedBy>
  <cp:revision/>
  <dcterms:created xsi:type="dcterms:W3CDTF">2001-11-16T16:54:37Z</dcterms:created>
  <dcterms:modified xsi:type="dcterms:W3CDTF">2023-09-11T15:20:34Z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