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45" windowWidth="4695" windowHeight="11940" tabRatio="904"/>
  </bookViews>
  <sheets>
    <sheet name="Lead E" sheetId="28" r:id="rId1"/>
    <sheet name="Lead G" sheetId="15" r:id="rId2"/>
    <sheet name="For ERF ===&gt;" sheetId="85" r:id="rId3"/>
    <sheet name="Annualize Costs" sheetId="83" r:id="rId4"/>
    <sheet name="Test Year Info ===&gt;" sheetId="84" r:id="rId5"/>
    <sheet name="Test Year Dfrl Amort" sheetId="79" r:id="rId6"/>
    <sheet name="Actual Costs" sheetId="80" r:id="rId7"/>
    <sheet name="From 180282&amp;3 ===&gt;" sheetId="82" r:id="rId8"/>
    <sheet name="Deferral in 180282&amp;3" sheetId="76" r:id="rId9"/>
    <sheet name="Estimate used in 180282&amp;3" sheetId="86" r:id="rId10"/>
  </sheets>
  <externalReferences>
    <externalReference r:id="rId11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z.Version.Number">"1.00"</definedName>
    <definedName name="z.Version.Sub">"d"</definedName>
  </definedNames>
  <calcPr calcId="145621"/>
</workbook>
</file>

<file path=xl/calcChain.xml><?xml version="1.0" encoding="utf-8"?>
<calcChain xmlns="http://schemas.openxmlformats.org/spreadsheetml/2006/main">
  <c r="E3" i="83" l="1"/>
  <c r="D3" i="83"/>
  <c r="C20" i="76" l="1"/>
  <c r="G21" i="76"/>
  <c r="D21" i="76"/>
  <c r="F17" i="83"/>
  <c r="F16" i="83"/>
  <c r="F15" i="83"/>
  <c r="F14" i="83"/>
  <c r="F13" i="83"/>
  <c r="C21" i="76" l="1"/>
  <c r="E17" i="83"/>
  <c r="D17" i="83"/>
  <c r="E35" i="86"/>
  <c r="C35" i="86"/>
  <c r="C36" i="86" s="1"/>
  <c r="A33" i="86"/>
  <c r="A18" i="86"/>
  <c r="E12" i="86"/>
  <c r="E13" i="86" s="1"/>
  <c r="E14" i="86" s="1"/>
  <c r="E15" i="86" s="1"/>
  <c r="B12" i="86"/>
  <c r="D12" i="86" s="1"/>
  <c r="D14" i="83" l="1"/>
  <c r="D15" i="83"/>
  <c r="G3" i="83"/>
  <c r="D16" i="83"/>
  <c r="D13" i="83"/>
  <c r="E14" i="83"/>
  <c r="E16" i="83"/>
  <c r="H3" i="83"/>
  <c r="E13" i="83"/>
  <c r="E15" i="83"/>
  <c r="C37" i="86"/>
  <c r="E36" i="86"/>
  <c r="B7" i="86"/>
  <c r="C38" i="86" l="1"/>
  <c r="E37" i="86"/>
  <c r="C7" i="86" s="1"/>
  <c r="C39" i="86" l="1"/>
  <c r="E38" i="86"/>
  <c r="C40" i="86" l="1"/>
  <c r="E39" i="86"/>
  <c r="C41" i="86" l="1"/>
  <c r="E40" i="86"/>
  <c r="C42" i="86" l="1"/>
  <c r="E41" i="86"/>
  <c r="C43" i="86" l="1"/>
  <c r="E42" i="86"/>
  <c r="C44" i="86" l="1"/>
  <c r="E43" i="86"/>
  <c r="C45" i="86" l="1"/>
  <c r="E44" i="86"/>
  <c r="C46" i="86" l="1"/>
  <c r="E45" i="86"/>
  <c r="C13" i="86" s="1"/>
  <c r="B13" i="86"/>
  <c r="D13" i="86" s="1"/>
  <c r="C47" i="86" l="1"/>
  <c r="E46" i="86"/>
  <c r="C48" i="86" l="1"/>
  <c r="E47" i="86"/>
  <c r="C49" i="86" l="1"/>
  <c r="E48" i="86"/>
  <c r="C50" i="86" l="1"/>
  <c r="E49" i="86"/>
  <c r="C8" i="86" s="1"/>
  <c r="B8" i="86"/>
  <c r="C51" i="86" l="1"/>
  <c r="E50" i="86"/>
  <c r="C52" i="86" l="1"/>
  <c r="E51" i="86"/>
  <c r="C53" i="86" l="1"/>
  <c r="E52" i="86"/>
  <c r="C54" i="86" l="1"/>
  <c r="E53" i="86"/>
  <c r="C55" i="86" l="1"/>
  <c r="E54" i="86"/>
  <c r="C56" i="86" l="1"/>
  <c r="E55" i="86"/>
  <c r="C57" i="86" l="1"/>
  <c r="E56" i="86"/>
  <c r="C58" i="86" l="1"/>
  <c r="E57" i="86"/>
  <c r="C14" i="86" s="1"/>
  <c r="B14" i="86"/>
  <c r="D14" i="86" s="1"/>
  <c r="C59" i="86" l="1"/>
  <c r="E58" i="86"/>
  <c r="C60" i="86" l="1"/>
  <c r="E59" i="86"/>
  <c r="C61" i="86" l="1"/>
  <c r="E60" i="86"/>
  <c r="C62" i="86" l="1"/>
  <c r="E61" i="86"/>
  <c r="C9" i="86" s="1"/>
  <c r="B9" i="86"/>
  <c r="C63" i="86" l="1"/>
  <c r="E62" i="86"/>
  <c r="C64" i="86" l="1"/>
  <c r="E63" i="86"/>
  <c r="C65" i="86" l="1"/>
  <c r="E64" i="86"/>
  <c r="C66" i="86" l="1"/>
  <c r="E65" i="86"/>
  <c r="C67" i="86" l="1"/>
  <c r="E66" i="86"/>
  <c r="C68" i="86" l="1"/>
  <c r="E67" i="86"/>
  <c r="C69" i="86" l="1"/>
  <c r="E68" i="86"/>
  <c r="E69" i="86" l="1"/>
  <c r="C15" i="86" s="1"/>
  <c r="B15" i="86"/>
  <c r="D15" i="86" s="1"/>
  <c r="H16" i="83" l="1"/>
  <c r="F12" i="83"/>
  <c r="F11" i="83"/>
  <c r="F10" i="83"/>
  <c r="C10" i="83" s="1"/>
  <c r="F9" i="83"/>
  <c r="C9" i="83" s="1"/>
  <c r="F8" i="83"/>
  <c r="F6" i="83"/>
  <c r="C6" i="83" s="1"/>
  <c r="F7" i="83"/>
  <c r="H7" i="83" l="1"/>
  <c r="C7" i="83"/>
  <c r="E10" i="83"/>
  <c r="D10" i="83"/>
  <c r="D6" i="83"/>
  <c r="E6" i="83"/>
  <c r="G11" i="83"/>
  <c r="C11" i="83"/>
  <c r="H8" i="83"/>
  <c r="C8" i="83"/>
  <c r="H12" i="83"/>
  <c r="C12" i="83"/>
  <c r="E9" i="83"/>
  <c r="D9" i="83"/>
  <c r="G15" i="83"/>
  <c r="H15" i="83"/>
  <c r="H13" i="83"/>
  <c r="G7" i="83"/>
  <c r="H9" i="83"/>
  <c r="H17" i="83"/>
  <c r="H11" i="83"/>
  <c r="F19" i="83"/>
  <c r="H10" i="83"/>
  <c r="H14" i="83"/>
  <c r="H6" i="83"/>
  <c r="G8" i="83"/>
  <c r="G12" i="83"/>
  <c r="G16" i="83"/>
  <c r="G9" i="83"/>
  <c r="G13" i="83"/>
  <c r="G17" i="83"/>
  <c r="G6" i="83"/>
  <c r="G10" i="83"/>
  <c r="G14" i="83"/>
  <c r="D12" i="83" l="1"/>
  <c r="E12" i="83"/>
  <c r="D11" i="83"/>
  <c r="E11" i="83"/>
  <c r="C19" i="83"/>
  <c r="D8" i="83"/>
  <c r="E8" i="83"/>
  <c r="E7" i="83"/>
  <c r="D7" i="83"/>
  <c r="H19" i="83"/>
  <c r="D12" i="15" s="1"/>
  <c r="G19" i="83"/>
  <c r="D12" i="28" s="1"/>
  <c r="A26" i="28"/>
  <c r="A25" i="15"/>
  <c r="E19" i="83" l="1"/>
  <c r="C12" i="15" s="1"/>
  <c r="D19" i="83"/>
  <c r="C12" i="28" s="1"/>
  <c r="A21" i="15"/>
  <c r="A22" i="15" s="1"/>
  <c r="A23" i="15" s="1"/>
  <c r="A24" i="15" s="1"/>
  <c r="A21" i="28"/>
  <c r="A22" i="28"/>
  <c r="A23" i="28" s="1"/>
  <c r="A24" i="28" s="1"/>
  <c r="A25" i="28" s="1"/>
  <c r="B22" i="79" l="1"/>
  <c r="B11" i="15" l="1"/>
  <c r="B14" i="79" l="1"/>
  <c r="B15" i="79"/>
  <c r="B16" i="79"/>
  <c r="B17" i="79"/>
  <c r="B18" i="79"/>
  <c r="B13" i="79"/>
  <c r="AV12" i="80" l="1"/>
  <c r="AT12" i="80"/>
  <c r="AR12" i="80"/>
  <c r="AV10" i="80"/>
  <c r="AT10" i="80"/>
  <c r="AR10" i="80"/>
  <c r="A12" i="15" l="1"/>
  <c r="A13" i="15" s="1"/>
  <c r="A14" i="15" s="1"/>
  <c r="A15" i="15" s="1"/>
  <c r="A16" i="15" s="1"/>
  <c r="A17" i="15" s="1"/>
  <c r="A18" i="15" s="1"/>
  <c r="A19" i="15" s="1"/>
  <c r="A20" i="15" s="1"/>
  <c r="B20" i="79" l="1"/>
  <c r="A6" i="15" l="1"/>
  <c r="D10" i="80" l="1"/>
  <c r="F10" i="80"/>
  <c r="H10" i="80"/>
  <c r="J10" i="80"/>
  <c r="L10" i="80"/>
  <c r="N10" i="80"/>
  <c r="P10" i="80"/>
  <c r="R10" i="80"/>
  <c r="T10" i="80"/>
  <c r="V10" i="80"/>
  <c r="X10" i="80"/>
  <c r="Z10" i="80"/>
  <c r="AB10" i="80"/>
  <c r="AD10" i="80"/>
  <c r="AF10" i="80"/>
  <c r="AH10" i="80"/>
  <c r="AJ10" i="80"/>
  <c r="AL10" i="80"/>
  <c r="AN10" i="80"/>
  <c r="AP10" i="80"/>
  <c r="D12" i="80"/>
  <c r="F12" i="80"/>
  <c r="H12" i="80"/>
  <c r="J12" i="80"/>
  <c r="L12" i="80"/>
  <c r="N12" i="80"/>
  <c r="P12" i="80"/>
  <c r="R12" i="80"/>
  <c r="T12" i="80"/>
  <c r="V12" i="80"/>
  <c r="X12" i="80"/>
  <c r="Z12" i="80"/>
  <c r="AB12" i="80"/>
  <c r="AD12" i="80"/>
  <c r="AF12" i="80"/>
  <c r="AH12" i="80"/>
  <c r="AJ12" i="80"/>
  <c r="AL12" i="80"/>
  <c r="AN12" i="80"/>
  <c r="AP12" i="80"/>
  <c r="D13" i="80"/>
  <c r="F13" i="80"/>
  <c r="H13" i="80" s="1"/>
  <c r="J13" i="80" s="1"/>
  <c r="L13" i="80" s="1"/>
  <c r="N13" i="80" s="1"/>
  <c r="P13" i="80" s="1"/>
  <c r="R13" i="80" s="1"/>
  <c r="T13" i="80" s="1"/>
  <c r="V13" i="80" s="1"/>
  <c r="X13" i="80" s="1"/>
  <c r="Z13" i="80" s="1"/>
  <c r="AB13" i="80" s="1"/>
  <c r="AD13" i="80" s="1"/>
  <c r="AF13" i="80" s="1"/>
  <c r="AH13" i="80" s="1"/>
  <c r="C13" i="15" l="1"/>
  <c r="C13" i="28"/>
  <c r="B21" i="79"/>
  <c r="D20" i="76" l="1"/>
  <c r="E20" i="76" s="1"/>
  <c r="G20" i="76" s="1"/>
  <c r="E21" i="76" l="1"/>
  <c r="G22" i="76"/>
  <c r="D22" i="76"/>
  <c r="C22" i="76"/>
  <c r="E22" i="76" l="1"/>
  <c r="C10" i="76"/>
  <c r="C9" i="76"/>
  <c r="D10" i="76"/>
  <c r="D9" i="76"/>
  <c r="G9" i="76"/>
  <c r="G10" i="76"/>
  <c r="D12" i="76" l="1"/>
  <c r="C12" i="76"/>
  <c r="E10" i="76"/>
  <c r="E9" i="76"/>
  <c r="G12" i="76"/>
  <c r="D13" i="28" l="1"/>
  <c r="D13" i="15"/>
  <c r="E12" i="76"/>
  <c r="C14" i="15"/>
  <c r="C14" i="28"/>
  <c r="A12" i="28"/>
  <c r="A13" i="28" s="1"/>
  <c r="A14" i="28" s="1"/>
  <c r="A15" i="28" s="1"/>
  <c r="A16" i="28" s="1"/>
  <c r="A17" i="28" s="1"/>
  <c r="A18" i="28" l="1"/>
  <c r="A19" i="28" s="1"/>
  <c r="A20" i="28" s="1"/>
  <c r="E12" i="28" l="1"/>
  <c r="D14" i="28"/>
  <c r="E13" i="28"/>
  <c r="E12" i="15" l="1"/>
  <c r="E14" i="28"/>
  <c r="E16" i="28" l="1"/>
  <c r="E13" i="15"/>
  <c r="D14" i="15"/>
  <c r="E18" i="28" l="1"/>
  <c r="E20" i="28" s="1"/>
  <c r="E14" i="15"/>
  <c r="E16" i="15" l="1"/>
  <c r="E18" i="15" l="1"/>
  <c r="E20" i="15" l="1"/>
</calcChain>
</file>

<file path=xl/sharedStrings.xml><?xml version="1.0" encoding="utf-8"?>
<sst xmlns="http://schemas.openxmlformats.org/spreadsheetml/2006/main" count="165" uniqueCount="120">
  <si>
    <t>LINE</t>
  </si>
  <si>
    <t>NO.</t>
  </si>
  <si>
    <t>DESCRIPTION</t>
  </si>
  <si>
    <t>TEST YEAR</t>
  </si>
  <si>
    <t>ADJUSTMENT</t>
  </si>
  <si>
    <t>INCREASE (DECREASE) FIT @</t>
  </si>
  <si>
    <t>INCREASE (DECREASE) NOI</t>
  </si>
  <si>
    <t>INCREASE (DECREASE) IN EXPENSE</t>
  </si>
  <si>
    <t xml:space="preserve">PUGET SOUND ENERGY </t>
  </si>
  <si>
    <t>Electric</t>
  </si>
  <si>
    <t>Gas</t>
  </si>
  <si>
    <t>*</t>
  </si>
  <si>
    <t>RESTATED</t>
  </si>
  <si>
    <t>INCREASE(DECREASE) OPERATING EXPENSE (LINES 3 &amp; 8)</t>
  </si>
  <si>
    <t>Cost</t>
  </si>
  <si>
    <t>on-Demand (debit/credit)</t>
  </si>
  <si>
    <t>Total Deferral</t>
  </si>
  <si>
    <t>Calculation of Estimated Credit Card Processing Deferral</t>
  </si>
  <si>
    <t>Rate Per Contract</t>
  </si>
  <si>
    <t>Aug - Dec 2016</t>
  </si>
  <si>
    <t>Jan - Dec 2017</t>
  </si>
  <si>
    <t>Estimated Deferral</t>
  </si>
  <si>
    <t>Estimated Transactions</t>
  </si>
  <si>
    <t>End of 2017</t>
  </si>
  <si>
    <t>Expected</t>
  </si>
  <si>
    <t>Level of</t>
  </si>
  <si>
    <t>Expense</t>
  </si>
  <si>
    <t>to be</t>
  </si>
  <si>
    <t>amortized</t>
  </si>
  <si>
    <t>over one</t>
  </si>
  <si>
    <t>year</t>
  </si>
  <si>
    <t>|</t>
  </si>
  <si>
    <t>^</t>
  </si>
  <si>
    <t>Participation Rates from Original Petition Table No. 7,  Page 15</t>
  </si>
  <si>
    <r>
      <t xml:space="preserve">Participation Rates are applied to total </t>
    </r>
    <r>
      <rPr>
        <sz val="11"/>
        <rFont val="Calibri"/>
        <family val="2"/>
        <scheme val="minor"/>
      </rPr>
      <t>transactions</t>
    </r>
  </si>
  <si>
    <r>
      <t xml:space="preserve">Estimated total </t>
    </r>
    <r>
      <rPr>
        <sz val="11"/>
        <rFont val="Calibri"/>
        <family val="2"/>
        <scheme val="minor"/>
      </rPr>
      <t>transactions</t>
    </r>
    <r>
      <rPr>
        <sz val="11"/>
        <color theme="1"/>
        <rFont val="Calibri"/>
        <family val="2"/>
        <scheme val="minor"/>
      </rPr>
      <t xml:space="preserve"> based on the 12 months of total </t>
    </r>
    <r>
      <rPr>
        <sz val="11"/>
        <rFont val="Calibri"/>
        <family val="2"/>
        <scheme val="minor"/>
      </rPr>
      <t>transactions</t>
    </r>
    <r>
      <rPr>
        <sz val="11"/>
        <color theme="1"/>
        <rFont val="Calibri"/>
        <family val="2"/>
        <scheme val="minor"/>
      </rPr>
      <t xml:space="preserve"> prior to launch (Sept</t>
    </r>
  </si>
  <si>
    <t>2015 - August 2016) escalated at 1/2 percent per year (consistent with the Petition).</t>
  </si>
  <si>
    <t>Launch was August 26th, 2016.  Actual transactions/Costs in Bold.  Forecast in Italics</t>
  </si>
  <si>
    <t>Forecast</t>
  </si>
  <si>
    <t>Estimate based on Year</t>
  </si>
  <si>
    <t>Card Transactions</t>
  </si>
  <si>
    <t>Percent of Mix</t>
  </si>
  <si>
    <t>Total Payments</t>
  </si>
  <si>
    <t>Actual (Sept 15 - Aug 16)</t>
  </si>
  <si>
    <t>Year 1 (Sep 2016 - Aug 2017)</t>
  </si>
  <si>
    <t>Year 2 (Sept 2017 - Aug 2018)</t>
  </si>
  <si>
    <t>Year 3 (Sept 2018 - Aug 2019)</t>
  </si>
  <si>
    <t>Spread to</t>
  </si>
  <si>
    <t>Month</t>
  </si>
  <si>
    <t># of total pymts</t>
  </si>
  <si>
    <t># of card tx's</t>
  </si>
  <si>
    <t>Months</t>
  </si>
  <si>
    <t>Cost at $1.26</t>
  </si>
  <si>
    <t>--</t>
  </si>
  <si>
    <t>PAYMENT PROCESSING COSTS-GAS</t>
  </si>
  <si>
    <t>PAYMENT PROCESSING COSTS-ELECTRIC</t>
  </si>
  <si>
    <t>AMORTIZATION OF DEFERRAL- 3 Year Amort</t>
  </si>
  <si>
    <t>DOCKET UE-180282 &amp; UG-180283 CREDIT CARD FEES</t>
  </si>
  <si>
    <t xml:space="preserve">  ZO12                      Orders: Actual 12 Month Ended</t>
  </si>
  <si>
    <t>Orders</t>
  </si>
  <si>
    <t>12 Months</t>
  </si>
  <si>
    <t>90300619  1110 - Credit Card Fee Amortization - E</t>
  </si>
  <si>
    <t>90303019  1110 - Credit Card Fee Amortization - G</t>
  </si>
  <si>
    <t>Debit</t>
  </si>
  <si>
    <t>Over/underabsorption</t>
  </si>
  <si>
    <t>Electric Test Year Payment Processing Amortization</t>
  </si>
  <si>
    <t>Gas Test Year Payment Processing Amortization</t>
  </si>
  <si>
    <t>TEST YEAR INCLUDES FULL YEAR OF PROCESSING FEES</t>
  </si>
  <si>
    <t>*August 2016 dataset begins on program launch date (8/25/16) through end of month (8/31/16)</t>
  </si>
  <si>
    <t>$0**</t>
  </si>
  <si>
    <t>Cumulative Total of Line 2</t>
  </si>
  <si>
    <t>Cumulative Deferral Balance (FERC Acct 182.3)</t>
  </si>
  <si>
    <t>Line 1/Line 4</t>
  </si>
  <si>
    <t>Card payments as a percent of total payments (i.e. participation rate)</t>
  </si>
  <si>
    <t>Payment Summary</t>
  </si>
  <si>
    <t>Total number of payments to PSE</t>
  </si>
  <si>
    <t>Line 1/Line 2</t>
  </si>
  <si>
    <t>Average cost per card payment</t>
  </si>
  <si>
    <t>Third party vendor Invoice</t>
  </si>
  <si>
    <t>Total fees incurred by PSE to process card payments</t>
  </si>
  <si>
    <t>Total number of card payments (i.e. Credit/Debit)</t>
  </si>
  <si>
    <t>Source</t>
  </si>
  <si>
    <t>Card Payments made to PSE by Residential and Small-Medium Business Customers</t>
  </si>
  <si>
    <t>Line</t>
  </si>
  <si>
    <t>August 25,2016</t>
  </si>
  <si>
    <t>Launch</t>
  </si>
  <si>
    <t>Fee Free  Bank Card Program  Report per UTC Docket Nos. UE-160203 and UG-160204</t>
  </si>
  <si>
    <t>Puget Sound Energy</t>
  </si>
  <si>
    <t>2018 EXPEDITED RATE CASE</t>
  </si>
  <si>
    <t>40730020  Credit Card Deferral Amort - UE-170033</t>
  </si>
  <si>
    <t>40730301  Credit Card Deferral Amort - UG-170034</t>
  </si>
  <si>
    <t>FOR THE TWELVE MONTHS ENDED JUNE 30, 2018</t>
  </si>
  <si>
    <t>&lt;==check</t>
  </si>
  <si>
    <r>
      <t xml:space="preserve">included in the Payment Processing adjustment in </t>
    </r>
    <r>
      <rPr>
        <u/>
        <sz val="11"/>
        <color rgb="FFFF0000"/>
        <rFont val="Calibri"/>
        <family val="2"/>
        <scheme val="minor"/>
      </rPr>
      <t>DOCKET UE-180282 &amp; UG-180283</t>
    </r>
  </si>
  <si>
    <t>** PSE began amortizing the deferral balance December 19,  2017 in accordance with general rate case Order 08 in Dockets UE-170033 and UG-170034.</t>
  </si>
  <si>
    <t>AMORTIZATION OF DEFERRAL- 3 YEAR AMORT</t>
  </si>
  <si>
    <t>THE NEW SERVICE AGREEMENT THAT WAS PROFORMED IN THE 2017 GRC BECAME EFFECTIVE</t>
  </si>
  <si>
    <t>10/1/2016 AND SO WAS FULLY INCLUDED IN TEST YEAR RESULTS AND REQUIRES NO FURTHER</t>
  </si>
  <si>
    <t>ADJUSTMENT.</t>
  </si>
  <si>
    <t>Total</t>
  </si>
  <si>
    <t>Description</t>
  </si>
  <si>
    <t>Determination of annualized payment processing fees</t>
  </si>
  <si>
    <t>Total Annualized Payment Processing Costs</t>
  </si>
  <si>
    <r>
      <t>Actual Costs</t>
    </r>
    <r>
      <rPr>
        <vertAlign val="superscript"/>
        <sz val="11"/>
        <rFont val="Calibri"/>
        <family val="2"/>
        <scheme val="minor"/>
      </rPr>
      <t>(1)</t>
    </r>
  </si>
  <si>
    <t>Annualized</t>
  </si>
  <si>
    <t>Test Year</t>
  </si>
  <si>
    <r>
      <t>Actual Costs</t>
    </r>
    <r>
      <rPr>
        <vertAlign val="superscript"/>
        <sz val="11"/>
        <rFont val="Calibri"/>
        <family val="2"/>
        <scheme val="minor"/>
      </rPr>
      <t>(1), (2)</t>
    </r>
  </si>
  <si>
    <t>(1)  From December 2017 through April 2018 amounts represent actual costs as reported in UE-160203 and UG-160204.  For May and</t>
  </si>
  <si>
    <t>June of 2018, amounts represent actual costs that would have been reported in UE-160203 and UG-160204 had reporting continued</t>
  </si>
  <si>
    <t>in those dockets.</t>
  </si>
  <si>
    <t>(2)  To coincide with the date of new rates in the 2017 GRC, PSE stopped deferring costs on December 18, 2017.  Therefore, the test</t>
  </si>
  <si>
    <t>year contains 13 out of 31 days of the total cost for December 2017 in O&amp;M.</t>
  </si>
  <si>
    <t xml:space="preserve">(3)  Annual costs for the fee free program were proformed in the GRC using actual transactions through September 2016 escalated </t>
  </si>
  <si>
    <t xml:space="preserve">at rates equivalent to those included in the accounting petition in UE-160203 and UG-160204 and the resulting level of </t>
  </si>
  <si>
    <t xml:space="preserve">transactions were priced at $1.26 which was the level of cost experienced at September 2016.  During the ERF test year, PSE </t>
  </si>
  <si>
    <t xml:space="preserve">deferred the actual costs of the fee free program from July 2017 through December 18, 2017.  Therefore, the test year only </t>
  </si>
  <si>
    <t xml:space="preserve">includes 5 ½ months of expense associated with the fee free program.  In order to properly match the expenses for the fee </t>
  </si>
  <si>
    <t>free program with the revenues that are being proformed that are recovering those costs, the costs built into the 2017 GRC</t>
  </si>
  <si>
    <t>for these months was used.</t>
  </si>
  <si>
    <r>
      <t>Costs included in 2017 GRC</t>
    </r>
    <r>
      <rPr>
        <vertAlign val="superscript"/>
        <sz val="11"/>
        <rFont val="Calibri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</si>
</sst>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[$-409]mmm\-yy;@"/>
    <numFmt numFmtId="168" formatCode="#,##0;&quot;-&quot;#,##0"/>
    <numFmt numFmtId="169" formatCode="_(* #,##0.0_);_(* \(#,##0.0\);_(* &quot;-&quot;??_);_(@_)"/>
    <numFmt numFmtId="170" formatCode="[$-409]mmmm\ d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Times New Roman"/>
      <family val="1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2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0" fontId="9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18" fontId="9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 applyProtection="1">
      <alignment horizontal="left"/>
      <protection locked="0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Continuous"/>
    </xf>
    <xf numFmtId="0" fontId="9" fillId="0" borderId="0" xfId="0" applyFont="1" applyFill="1"/>
    <xf numFmtId="0" fontId="15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/>
    <xf numFmtId="42" fontId="8" fillId="0" borderId="0" xfId="0" applyNumberFormat="1" applyFont="1"/>
    <xf numFmtId="0" fontId="8" fillId="0" borderId="0" xfId="0" applyFont="1"/>
    <xf numFmtId="42" fontId="8" fillId="0" borderId="0" xfId="0" applyNumberFormat="1" applyFont="1" applyBorder="1" applyAlignment="1" applyProtection="1">
      <alignment horizontal="right"/>
      <protection locked="0"/>
    </xf>
    <xf numFmtId="41" fontId="8" fillId="0" borderId="3" xfId="0" applyNumberFormat="1" applyFont="1" applyBorder="1"/>
    <xf numFmtId="0" fontId="14" fillId="0" borderId="0" xfId="0" applyFont="1"/>
    <xf numFmtId="0" fontId="14" fillId="0" borderId="0" xfId="0" applyFont="1" applyAlignment="1">
      <alignment horizontal="left" indent="1"/>
    </xf>
    <xf numFmtId="41" fontId="14" fillId="0" borderId="0" xfId="0" applyNumberFormat="1" applyFont="1"/>
    <xf numFmtId="44" fontId="6" fillId="0" borderId="0" xfId="0" applyNumberFormat="1" applyFont="1" applyBorder="1" applyAlignment="1">
      <alignment horizontal="center" vertical="center" wrapText="1"/>
    </xf>
    <xf numFmtId="42" fontId="14" fillId="0" borderId="2" xfId="0" applyNumberFormat="1" applyFont="1" applyBorder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1" fontId="14" fillId="0" borderId="0" xfId="0" applyNumberFormat="1" applyFont="1" applyBorder="1"/>
    <xf numFmtId="42" fontId="14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0" fontId="14" fillId="0" borderId="4" xfId="0" applyFont="1" applyBorder="1"/>
    <xf numFmtId="42" fontId="14" fillId="0" borderId="11" xfId="0" applyNumberFormat="1" applyFont="1" applyBorder="1"/>
    <xf numFmtId="0" fontId="7" fillId="0" borderId="0" xfId="0" applyFont="1" applyAlignment="1">
      <alignment horizontal="left"/>
    </xf>
    <xf numFmtId="8" fontId="6" fillId="0" borderId="0" xfId="0" applyNumberFormat="1" applyFont="1" applyBorder="1" applyAlignment="1">
      <alignment horizontal="center" vertical="center" wrapText="1"/>
    </xf>
    <xf numFmtId="9" fontId="8" fillId="0" borderId="0" xfId="0" applyNumberFormat="1" applyFont="1" applyAlignment="1">
      <alignment horizontal="right"/>
    </xf>
    <xf numFmtId="41" fontId="8" fillId="0" borderId="0" xfId="0" applyNumberFormat="1" applyFont="1" applyBorder="1" applyAlignment="1" applyProtection="1">
      <alignment horizontal="right"/>
      <protection locked="0"/>
    </xf>
    <xf numFmtId="41" fontId="8" fillId="0" borderId="3" xfId="0" applyNumberFormat="1" applyFont="1" applyBorder="1" applyAlignment="1" applyProtection="1">
      <alignment horizontal="right"/>
      <protection locked="0"/>
    </xf>
    <xf numFmtId="42" fontId="8" fillId="0" borderId="1" xfId="0" applyNumberFormat="1" applyFont="1" applyBorder="1" applyAlignment="1">
      <alignment horizontal="right"/>
    </xf>
    <xf numFmtId="0" fontId="5" fillId="0" borderId="0" xfId="0" applyFont="1"/>
    <xf numFmtId="43" fontId="0" fillId="0" borderId="0" xfId="0" applyNumberFormat="1" applyFont="1"/>
    <xf numFmtId="43" fontId="5" fillId="0" borderId="0" xfId="0" applyNumberFormat="1" applyFont="1"/>
    <xf numFmtId="164" fontId="0" fillId="0" borderId="0" xfId="0" applyNumberFormat="1" applyFont="1"/>
    <xf numFmtId="0" fontId="4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166" fontId="4" fillId="2" borderId="1" xfId="0" quotePrefix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1" xfId="0" quotePrefix="1" applyNumberFormat="1" applyFont="1" applyBorder="1" applyAlignment="1">
      <alignment horizontal="right"/>
    </xf>
    <xf numFmtId="166" fontId="4" fillId="0" borderId="1" xfId="0" applyNumberFormat="1" applyFont="1" applyBorder="1"/>
    <xf numFmtId="16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5" fontId="0" fillId="2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9" fontId="0" fillId="0" borderId="1" xfId="0" applyNumberFormat="1" applyFont="1" applyBorder="1"/>
    <xf numFmtId="165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168" fontId="14" fillId="2" borderId="1" xfId="0" applyNumberFormat="1" applyFont="1" applyFill="1" applyBorder="1" applyAlignment="1">
      <alignment horizontal="center"/>
    </xf>
    <xf numFmtId="168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44" fontId="4" fillId="2" borderId="1" xfId="0" applyNumberFormat="1" applyFont="1" applyFill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44" fontId="4" fillId="0" borderId="1" xfId="0" applyNumberFormat="1" applyFont="1" applyBorder="1"/>
    <xf numFmtId="166" fontId="0" fillId="0" borderId="1" xfId="0" applyNumberFormat="1" applyFont="1" applyBorder="1" applyAlignment="1">
      <alignment vertical="center"/>
    </xf>
    <xf numFmtId="166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/>
    <xf numFmtId="166" fontId="0" fillId="0" borderId="1" xfId="0" applyNumberFormat="1" applyFont="1" applyBorder="1" applyAlignment="1">
      <alignment horizontal="right" vertical="center"/>
    </xf>
    <xf numFmtId="166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17" fontId="12" fillId="0" borderId="0" xfId="0" applyNumberFormat="1" applyFont="1" applyAlignment="1">
      <alignment horizontal="right"/>
    </xf>
    <xf numFmtId="17" fontId="12" fillId="0" borderId="0" xfId="0" applyNumberFormat="1" applyFont="1"/>
    <xf numFmtId="0" fontId="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7" fillId="0" borderId="0" xfId="0" applyFont="1"/>
    <xf numFmtId="0" fontId="3" fillId="0" borderId="0" xfId="0" applyFont="1"/>
    <xf numFmtId="17" fontId="12" fillId="0" borderId="0" xfId="0" applyNumberFormat="1" applyFont="1" applyAlignment="1">
      <alignment horizontal="right"/>
    </xf>
    <xf numFmtId="164" fontId="0" fillId="0" borderId="1" xfId="0" applyNumberFormat="1" applyFont="1" applyBorder="1" applyAlignment="1">
      <alignment vertical="center"/>
    </xf>
    <xf numFmtId="0" fontId="3" fillId="0" borderId="1" xfId="0" applyFont="1" applyBorder="1"/>
    <xf numFmtId="166" fontId="0" fillId="0" borderId="1" xfId="0" applyNumberFormat="1" applyFont="1" applyBorder="1" applyAlignment="1">
      <alignment vertical="center"/>
    </xf>
    <xf numFmtId="44" fontId="3" fillId="2" borderId="1" xfId="0" applyNumberFormat="1" applyFont="1" applyFill="1" applyBorder="1" applyAlignment="1">
      <alignment horizontal="right"/>
    </xf>
    <xf numFmtId="164" fontId="0" fillId="0" borderId="1" xfId="0" applyNumberFormat="1" applyFont="1" applyBorder="1"/>
    <xf numFmtId="165" fontId="0" fillId="2" borderId="1" xfId="0" applyNumberFormat="1" applyFont="1" applyFill="1" applyBorder="1" applyAlignment="1">
      <alignment horizontal="right" vertical="center"/>
    </xf>
    <xf numFmtId="166" fontId="3" fillId="2" borderId="1" xfId="0" quotePrefix="1" applyNumberFormat="1" applyFont="1" applyFill="1" applyBorder="1" applyAlignment="1">
      <alignment horizontal="right"/>
    </xf>
    <xf numFmtId="17" fontId="0" fillId="0" borderId="0" xfId="0" applyNumberFormat="1"/>
    <xf numFmtId="43" fontId="0" fillId="0" borderId="0" xfId="0" applyNumberFormat="1" applyFont="1"/>
    <xf numFmtId="43" fontId="18" fillId="0" borderId="2" xfId="0" applyNumberFormat="1" applyFont="1" applyBorder="1"/>
    <xf numFmtId="0" fontId="18" fillId="0" borderId="0" xfId="0" applyFont="1"/>
    <xf numFmtId="169" fontId="14" fillId="0" borderId="0" xfId="0" applyNumberFormat="1" applyFont="1"/>
    <xf numFmtId="0" fontId="13" fillId="0" borderId="0" xfId="0" applyFont="1"/>
    <xf numFmtId="0" fontId="20" fillId="0" borderId="0" xfId="0" applyFont="1"/>
    <xf numFmtId="0" fontId="21" fillId="0" borderId="0" xfId="0" applyFont="1"/>
    <xf numFmtId="10" fontId="21" fillId="0" borderId="0" xfId="0" applyNumberFormat="1" applyFont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Continuous"/>
    </xf>
    <xf numFmtId="170" fontId="14" fillId="0" borderId="0" xfId="0" applyNumberFormat="1" applyFont="1" applyAlignment="1">
      <alignment horizontal="left"/>
    </xf>
    <xf numFmtId="42" fontId="14" fillId="0" borderId="0" xfId="0" applyNumberFormat="1" applyFont="1"/>
    <xf numFmtId="41" fontId="14" fillId="0" borderId="4" xfId="0" applyNumberFormat="1" applyFont="1" applyBorder="1"/>
    <xf numFmtId="0" fontId="14" fillId="0" borderId="0" xfId="0" quotePrefix="1" applyFont="1"/>
    <xf numFmtId="0" fontId="14" fillId="0" borderId="0" xfId="0" applyFont="1" applyAlignment="1">
      <alignment horizontal="left" indent="2"/>
    </xf>
    <xf numFmtId="0" fontId="2" fillId="0" borderId="6" xfId="0" applyFont="1" applyBorder="1"/>
    <xf numFmtId="0" fontId="2" fillId="0" borderId="4" xfId="0" applyFont="1" applyBorder="1"/>
    <xf numFmtId="0" fontId="2" fillId="0" borderId="10" xfId="0" applyFont="1" applyBorder="1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13" xfId="0" applyFont="1" applyBorder="1"/>
    <xf numFmtId="0" fontId="2" fillId="0" borderId="6" xfId="0" applyFont="1" applyBorder="1"/>
    <xf numFmtId="164" fontId="2" fillId="0" borderId="0" xfId="0" applyNumberFormat="1" applyFont="1" applyBorder="1"/>
    <xf numFmtId="166" fontId="2" fillId="0" borderId="9" xfId="0" applyNumberFormat="1" applyFont="1" applyBorder="1"/>
    <xf numFmtId="164" fontId="2" fillId="0" borderId="0" xfId="0" applyNumberFormat="1" applyFont="1"/>
    <xf numFmtId="164" fontId="2" fillId="0" borderId="3" xfId="0" applyNumberFormat="1" applyFont="1" applyBorder="1"/>
    <xf numFmtId="166" fontId="2" fillId="0" borderId="13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5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164" fontId="2" fillId="0" borderId="9" xfId="0" applyNumberFormat="1" applyFont="1" applyBorder="1"/>
    <xf numFmtId="9" fontId="2" fillId="0" borderId="0" xfId="0" applyNumberFormat="1" applyFont="1"/>
    <xf numFmtId="166" fontId="2" fillId="0" borderId="0" xfId="0" applyNumberFormat="1" applyFont="1" applyBorder="1"/>
    <xf numFmtId="164" fontId="2" fillId="0" borderId="0" xfId="0" applyNumberFormat="1" applyFont="1"/>
    <xf numFmtId="43" fontId="2" fillId="0" borderId="0" xfId="0" applyNumberFormat="1" applyFont="1"/>
    <xf numFmtId="0" fontId="2" fillId="0" borderId="12" xfId="0" applyFont="1" applyBorder="1" applyAlignment="1">
      <alignment horizontal="right"/>
    </xf>
    <xf numFmtId="166" fontId="2" fillId="0" borderId="3" xfId="0" applyNumberFormat="1" applyFont="1" applyBorder="1"/>
    <xf numFmtId="9" fontId="2" fillId="0" borderId="3" xfId="0" applyNumberFormat="1" applyFont="1" applyBorder="1" applyAlignment="1">
      <alignment horizontal="center"/>
    </xf>
    <xf numFmtId="164" fontId="2" fillId="0" borderId="13" xfId="0" applyNumberFormat="1" applyFont="1" applyBorder="1"/>
    <xf numFmtId="0" fontId="2" fillId="0" borderId="7" xfId="0" applyFont="1" applyBorder="1" applyAlignment="1">
      <alignment horizontal="right"/>
    </xf>
    <xf numFmtId="8" fontId="2" fillId="0" borderId="8" xfId="0" applyNumberFormat="1" applyFont="1" applyBorder="1"/>
    <xf numFmtId="8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7" fontId="12" fillId="0" borderId="0" xfId="0" applyNumberFormat="1" applyFont="1" applyAlignment="1">
      <alignment horizontal="right"/>
    </xf>
    <xf numFmtId="164" fontId="10" fillId="0" borderId="0" xfId="0" applyNumberFormat="1" applyFont="1"/>
    <xf numFmtId="164" fontId="10" fillId="0" borderId="0" xfId="0" quotePrefix="1" applyNumberFormat="1" applyFont="1" applyAlignment="1">
      <alignment horizontal="right"/>
    </xf>
    <xf numFmtId="42" fontId="10" fillId="0" borderId="0" xfId="0" applyNumberFormat="1" applyFont="1"/>
    <xf numFmtId="167" fontId="12" fillId="0" borderId="14" xfId="0" applyNumberFormat="1" applyFont="1" applyBorder="1" applyAlignment="1">
      <alignment horizontal="right"/>
    </xf>
    <xf numFmtId="164" fontId="10" fillId="0" borderId="14" xfId="0" applyNumberFormat="1" applyFont="1" applyBorder="1"/>
    <xf numFmtId="0" fontId="2" fillId="0" borderId="14" xfId="0" applyFont="1" applyBorder="1"/>
    <xf numFmtId="164" fontId="11" fillId="0" borderId="0" xfId="0" applyNumberFormat="1" applyFont="1"/>
    <xf numFmtId="167" fontId="12" fillId="0" borderId="0" xfId="0" applyNumberFormat="1" applyFont="1" applyFill="1" applyAlignment="1">
      <alignment horizontal="right"/>
    </xf>
    <xf numFmtId="164" fontId="11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 applyBorder="1"/>
    <xf numFmtId="44" fontId="14" fillId="0" borderId="0" xfId="0" applyNumberFormat="1" applyFont="1"/>
    <xf numFmtId="4" fontId="14" fillId="0" borderId="0" xfId="0" applyNumberFormat="1" applyFont="1"/>
    <xf numFmtId="9" fontId="2" fillId="0" borderId="0" xfId="0" applyNumberFormat="1" applyFont="1"/>
    <xf numFmtId="0" fontId="9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66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9">
          <cell r="E9">
            <v>0.5806</v>
          </cell>
          <cell r="F9">
            <v>0.4194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abSelected="1" zoomScaleNormal="100" workbookViewId="0">
      <selection activeCell="E30" sqref="E30"/>
    </sheetView>
  </sheetViews>
  <sheetFormatPr defaultColWidth="8.85546875" defaultRowHeight="12.75" x14ac:dyDescent="0.2"/>
  <cols>
    <col min="1" max="1" width="5.42578125" style="1" bestFit="1" customWidth="1"/>
    <col min="2" max="2" width="51.42578125" style="1" customWidth="1"/>
    <col min="3" max="3" width="12" style="1" customWidth="1"/>
    <col min="4" max="4" width="11.85546875" style="1" customWidth="1"/>
    <col min="5" max="5" width="14.28515625" style="1" customWidth="1"/>
    <col min="6" max="6" width="10.42578125" style="1" bestFit="1" customWidth="1"/>
    <col min="7" max="16384" width="8.85546875" style="1"/>
  </cols>
  <sheetData>
    <row r="2" spans="1:7" x14ac:dyDescent="0.2">
      <c r="A2" s="13"/>
      <c r="B2" s="13"/>
      <c r="C2" s="13"/>
      <c r="D2"/>
      <c r="E2"/>
      <c r="F2"/>
    </row>
    <row r="3" spans="1:7" x14ac:dyDescent="0.2">
      <c r="A3" s="18"/>
      <c r="B3" s="18"/>
      <c r="C3" s="18"/>
      <c r="D3" s="18"/>
      <c r="E3" s="18"/>
    </row>
    <row r="4" spans="1:7" x14ac:dyDescent="0.2">
      <c r="A4" s="9" t="s">
        <v>8</v>
      </c>
      <c r="B4" s="10"/>
      <c r="C4" s="10"/>
      <c r="D4" s="10"/>
      <c r="E4" s="11"/>
    </row>
    <row r="5" spans="1:7" x14ac:dyDescent="0.2">
      <c r="A5" s="177" t="s">
        <v>55</v>
      </c>
      <c r="B5" s="177"/>
      <c r="C5" s="177"/>
      <c r="D5" s="177"/>
      <c r="E5" s="177"/>
    </row>
    <row r="6" spans="1:7" x14ac:dyDescent="0.2">
      <c r="A6" s="10" t="s">
        <v>91</v>
      </c>
      <c r="B6" s="10"/>
      <c r="C6" s="10"/>
      <c r="D6" s="10"/>
      <c r="E6" s="12"/>
    </row>
    <row r="7" spans="1:7" x14ac:dyDescent="0.2">
      <c r="A7" s="9" t="s">
        <v>88</v>
      </c>
      <c r="B7" s="10"/>
      <c r="C7" s="10"/>
      <c r="D7" s="9"/>
      <c r="E7" s="12"/>
    </row>
    <row r="8" spans="1:7" x14ac:dyDescent="0.2">
      <c r="A8" s="13"/>
      <c r="B8" s="14"/>
      <c r="C8" s="14"/>
      <c r="D8" s="13"/>
      <c r="E8" s="13"/>
    </row>
    <row r="9" spans="1:7" x14ac:dyDescent="0.2">
      <c r="A9" s="20" t="s">
        <v>0</v>
      </c>
      <c r="B9" s="13"/>
      <c r="C9" s="13"/>
      <c r="D9" s="13"/>
      <c r="E9" s="13"/>
    </row>
    <row r="10" spans="1:7" x14ac:dyDescent="0.2">
      <c r="A10" s="15" t="s">
        <v>1</v>
      </c>
      <c r="B10" s="16" t="s">
        <v>2</v>
      </c>
      <c r="C10" s="15" t="s">
        <v>3</v>
      </c>
      <c r="D10" s="15" t="s">
        <v>12</v>
      </c>
      <c r="E10" s="17" t="s">
        <v>4</v>
      </c>
    </row>
    <row r="11" spans="1:7" x14ac:dyDescent="0.2">
      <c r="A11" s="5">
        <v>1</v>
      </c>
      <c r="B11" s="19" t="s">
        <v>57</v>
      </c>
      <c r="C11" s="7"/>
      <c r="D11" s="7"/>
      <c r="E11" s="7"/>
    </row>
    <row r="12" spans="1:7" x14ac:dyDescent="0.2">
      <c r="A12" s="5">
        <f t="shared" ref="A12:A26" si="0">A11+1</f>
        <v>2</v>
      </c>
      <c r="B12" s="4" t="s">
        <v>67</v>
      </c>
      <c r="C12" s="24">
        <f>'Annualize Costs'!D19</f>
        <v>1339630.0189698064</v>
      </c>
      <c r="D12" s="24">
        <f>'Annualize Costs'!G19</f>
        <v>2483233.9330930109</v>
      </c>
      <c r="E12" s="6">
        <f>+D12-C12</f>
        <v>1143603.9141232045</v>
      </c>
    </row>
    <row r="13" spans="1:7" x14ac:dyDescent="0.2">
      <c r="A13" s="5">
        <f t="shared" si="0"/>
        <v>3</v>
      </c>
      <c r="B13" s="4" t="s">
        <v>56</v>
      </c>
      <c r="C13" s="25">
        <f>+'Test Year Dfrl Amort'!B20</f>
        <v>443295</v>
      </c>
      <c r="D13" s="25">
        <f>'Deferral in 180282&amp;3'!E9/3</f>
        <v>828677.01230520185</v>
      </c>
      <c r="E13" s="44">
        <f>+D13-C13</f>
        <v>385382.01230520185</v>
      </c>
    </row>
    <row r="14" spans="1:7" x14ac:dyDescent="0.2">
      <c r="A14" s="5">
        <f t="shared" si="0"/>
        <v>4</v>
      </c>
      <c r="B14" s="4" t="s">
        <v>7</v>
      </c>
      <c r="C14" s="22">
        <f>SUM(C12:C13)</f>
        <v>1782925.0189698064</v>
      </c>
      <c r="D14" s="22">
        <f>SUM(D12:D13)</f>
        <v>3311910.9453982129</v>
      </c>
      <c r="E14" s="22">
        <f>SUM(E12:E13)</f>
        <v>1528985.9264284065</v>
      </c>
    </row>
    <row r="15" spans="1:7" x14ac:dyDescent="0.2">
      <c r="A15" s="5">
        <f t="shared" si="0"/>
        <v>5</v>
      </c>
      <c r="B15" s="4"/>
      <c r="F15"/>
      <c r="G15"/>
    </row>
    <row r="16" spans="1:7" x14ac:dyDescent="0.2">
      <c r="A16" s="5">
        <f t="shared" si="0"/>
        <v>6</v>
      </c>
      <c r="B16" s="4" t="s">
        <v>13</v>
      </c>
      <c r="C16" s="7"/>
      <c r="D16" s="7"/>
      <c r="E16" s="8">
        <f>E14</f>
        <v>1528985.9264284065</v>
      </c>
      <c r="F16"/>
      <c r="G16"/>
    </row>
    <row r="17" spans="1:7" x14ac:dyDescent="0.2">
      <c r="A17" s="5">
        <f t="shared" si="0"/>
        <v>7</v>
      </c>
      <c r="B17" s="4"/>
      <c r="C17" s="7"/>
      <c r="D17" s="7"/>
      <c r="E17" s="8"/>
      <c r="F17"/>
      <c r="G17"/>
    </row>
    <row r="18" spans="1:7" x14ac:dyDescent="0.2">
      <c r="A18" s="5">
        <f t="shared" si="0"/>
        <v>8</v>
      </c>
      <c r="B18" s="4" t="s">
        <v>5</v>
      </c>
      <c r="C18" s="7"/>
      <c r="D18" s="42">
        <v>0.21</v>
      </c>
      <c r="E18" s="43">
        <f>-E16*D18</f>
        <v>-321087.04454996536</v>
      </c>
      <c r="F18"/>
      <c r="G18"/>
    </row>
    <row r="19" spans="1:7" x14ac:dyDescent="0.2">
      <c r="A19" s="5">
        <f t="shared" si="0"/>
        <v>9</v>
      </c>
      <c r="B19" s="4"/>
      <c r="C19" s="7"/>
      <c r="D19" s="42"/>
      <c r="E19" s="44"/>
      <c r="F19"/>
      <c r="G19"/>
    </row>
    <row r="20" spans="1:7" x14ac:dyDescent="0.2">
      <c r="A20" s="5">
        <f t="shared" si="0"/>
        <v>10</v>
      </c>
      <c r="B20" s="4" t="s">
        <v>6</v>
      </c>
      <c r="C20" s="7"/>
      <c r="D20" s="7"/>
      <c r="E20" s="45">
        <f>-E16-E18</f>
        <v>-1207898.8818784412</v>
      </c>
      <c r="F20"/>
      <c r="G20"/>
    </row>
    <row r="21" spans="1:7" x14ac:dyDescent="0.2">
      <c r="A21" s="5">
        <f t="shared" si="0"/>
        <v>11</v>
      </c>
      <c r="B21" s="4"/>
      <c r="C21" s="7"/>
      <c r="D21" s="7"/>
      <c r="E21" s="7"/>
      <c r="F21"/>
      <c r="G21"/>
    </row>
    <row r="22" spans="1:7" x14ac:dyDescent="0.2">
      <c r="A22" s="5">
        <f t="shared" si="0"/>
        <v>12</v>
      </c>
      <c r="B22" s="4"/>
      <c r="C22" s="7"/>
      <c r="D22" s="7"/>
      <c r="E22" s="7"/>
      <c r="F22"/>
      <c r="G22"/>
    </row>
    <row r="23" spans="1:7" x14ac:dyDescent="0.2">
      <c r="A23" s="5">
        <f t="shared" si="0"/>
        <v>13</v>
      </c>
    </row>
    <row r="24" spans="1:7" x14ac:dyDescent="0.2">
      <c r="A24" s="5">
        <f t="shared" si="0"/>
        <v>14</v>
      </c>
      <c r="B24" s="1" t="s">
        <v>96</v>
      </c>
    </row>
    <row r="25" spans="1:7" x14ac:dyDescent="0.2">
      <c r="A25" s="5">
        <f t="shared" si="0"/>
        <v>15</v>
      </c>
      <c r="B25" s="1" t="s">
        <v>97</v>
      </c>
    </row>
    <row r="26" spans="1:7" x14ac:dyDescent="0.2">
      <c r="A26" s="5">
        <f t="shared" si="0"/>
        <v>16</v>
      </c>
      <c r="B26" s="1" t="s">
        <v>98</v>
      </c>
      <c r="C26"/>
      <c r="D26"/>
      <c r="E26"/>
    </row>
    <row r="27" spans="1:7" x14ac:dyDescent="0.2">
      <c r="C27"/>
      <c r="D27"/>
      <c r="E27"/>
    </row>
    <row r="28" spans="1:7" x14ac:dyDescent="0.2">
      <c r="C28"/>
      <c r="D28"/>
      <c r="E28"/>
    </row>
    <row r="29" spans="1:7" x14ac:dyDescent="0.2">
      <c r="C29"/>
      <c r="D29"/>
      <c r="E29"/>
    </row>
    <row r="30" spans="1:7" x14ac:dyDescent="0.2">
      <c r="A30" s="23"/>
      <c r="C30"/>
      <c r="D30"/>
      <c r="E30"/>
    </row>
    <row r="31" spans="1:7" x14ac:dyDescent="0.2">
      <c r="C31"/>
      <c r="D31"/>
      <c r="E31"/>
    </row>
    <row r="32" spans="1:7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</sheetData>
  <mergeCells count="1">
    <mergeCell ref="A5:E5"/>
  </mergeCells>
  <pageMargins left="0.5" right="0.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A7" workbookViewId="0">
      <selection activeCell="C20" sqref="C20"/>
    </sheetView>
  </sheetViews>
  <sheetFormatPr defaultColWidth="9.140625" defaultRowHeight="15" x14ac:dyDescent="0.25"/>
  <cols>
    <col min="1" max="1" width="27.85546875" style="124" customWidth="1"/>
    <col min="2" max="2" width="15.5703125" style="124" customWidth="1"/>
    <col min="3" max="3" width="15.7109375" style="124" customWidth="1"/>
    <col min="4" max="4" width="14.5703125" style="124" customWidth="1"/>
    <col min="5" max="5" width="13.140625" style="124" customWidth="1"/>
    <col min="6" max="6" width="14.28515625" style="124" bestFit="1" customWidth="1"/>
    <col min="7" max="7" width="14.85546875" style="124" bestFit="1" customWidth="1"/>
    <col min="8" max="8" width="12.28515625" style="124" bestFit="1" customWidth="1"/>
    <col min="9" max="15" width="11.5703125" style="124" customWidth="1"/>
    <col min="16" max="16384" width="9.140625" style="124"/>
  </cols>
  <sheetData>
    <row r="1" spans="1:14" x14ac:dyDescent="0.25">
      <c r="A1" s="121" t="s">
        <v>33</v>
      </c>
      <c r="B1" s="122"/>
      <c r="C1" s="122"/>
      <c r="D1" s="122"/>
      <c r="E1" s="123"/>
    </row>
    <row r="2" spans="1:14" x14ac:dyDescent="0.25">
      <c r="A2" s="125" t="s">
        <v>34</v>
      </c>
      <c r="B2" s="126"/>
      <c r="C2" s="126"/>
      <c r="D2" s="126"/>
      <c r="E2" s="127"/>
    </row>
    <row r="3" spans="1:14" x14ac:dyDescent="0.25">
      <c r="A3" s="125" t="s">
        <v>35</v>
      </c>
      <c r="B3" s="126"/>
      <c r="C3" s="126"/>
      <c r="D3" s="126"/>
      <c r="E3" s="127"/>
    </row>
    <row r="4" spans="1:14" x14ac:dyDescent="0.25">
      <c r="A4" s="128" t="s">
        <v>36</v>
      </c>
      <c r="B4" s="126"/>
      <c r="C4" s="126"/>
      <c r="D4" s="126"/>
      <c r="E4" s="127"/>
    </row>
    <row r="5" spans="1:14" x14ac:dyDescent="0.25">
      <c r="A5" s="129" t="s">
        <v>37</v>
      </c>
      <c r="B5" s="130"/>
      <c r="C5" s="130"/>
      <c r="D5" s="130"/>
      <c r="E5" s="131"/>
    </row>
    <row r="6" spans="1:14" x14ac:dyDescent="0.25">
      <c r="A6" s="132" t="s">
        <v>38</v>
      </c>
      <c r="B6" s="122"/>
      <c r="C6" s="123"/>
    </row>
    <row r="7" spans="1:14" x14ac:dyDescent="0.25">
      <c r="A7" s="128">
        <v>2016</v>
      </c>
      <c r="B7" s="133">
        <f>SUM(C33:C37)</f>
        <v>585901.66844211216</v>
      </c>
      <c r="C7" s="134">
        <f>SUM(E33:E37)</f>
        <v>738330.70223706122</v>
      </c>
    </row>
    <row r="8" spans="1:14" x14ac:dyDescent="0.25">
      <c r="A8" s="128">
        <v>2017</v>
      </c>
      <c r="B8" s="133">
        <f>SUM(C38:C49)</f>
        <v>2809452.8410890796</v>
      </c>
      <c r="C8" s="134">
        <f>SUM(E38:E49)</f>
        <v>3539910.5797722405</v>
      </c>
      <c r="D8" s="135"/>
    </row>
    <row r="9" spans="1:14" x14ac:dyDescent="0.25">
      <c r="A9" s="129">
        <v>2018</v>
      </c>
      <c r="B9" s="136">
        <f>SUM(C50:C61)</f>
        <v>3381710.1768714758</v>
      </c>
      <c r="C9" s="137">
        <f>SUM(E50:E61)</f>
        <v>4260954.8228580598</v>
      </c>
      <c r="D9" s="135"/>
    </row>
    <row r="10" spans="1:14" x14ac:dyDescent="0.25">
      <c r="A10" s="132" t="s">
        <v>39</v>
      </c>
      <c r="B10" s="122"/>
      <c r="C10" s="122"/>
      <c r="D10" s="122"/>
      <c r="E10" s="123"/>
      <c r="F10" s="138"/>
    </row>
    <row r="11" spans="1:14" ht="30" x14ac:dyDescent="0.25">
      <c r="A11" s="128"/>
      <c r="B11" s="139" t="s">
        <v>40</v>
      </c>
      <c r="C11" s="140" t="s">
        <v>14</v>
      </c>
      <c r="D11" s="139" t="s">
        <v>41</v>
      </c>
      <c r="E11" s="141" t="s">
        <v>42</v>
      </c>
      <c r="G11" s="140"/>
      <c r="H11" s="140"/>
      <c r="I11" s="140"/>
      <c r="J11" s="142"/>
      <c r="K11" s="142"/>
      <c r="L11" s="143"/>
      <c r="M11" s="143"/>
    </row>
    <row r="12" spans="1:14" x14ac:dyDescent="0.25">
      <c r="A12" s="144" t="s">
        <v>43</v>
      </c>
      <c r="B12" s="145">
        <f>SUM(C21:C33)</f>
        <v>1372983</v>
      </c>
      <c r="C12" s="140"/>
      <c r="D12" s="146">
        <f>B12/E12</f>
        <v>8.4697156416610797E-2</v>
      </c>
      <c r="E12" s="147">
        <f>SUM(B21:B32)</f>
        <v>16210497</v>
      </c>
      <c r="G12" s="140"/>
      <c r="H12" s="140"/>
      <c r="I12" s="140"/>
      <c r="J12" s="148"/>
    </row>
    <row r="13" spans="1:14" x14ac:dyDescent="0.25">
      <c r="A13" s="144" t="s">
        <v>44</v>
      </c>
      <c r="B13" s="133">
        <f>SUM(C34:C45)</f>
        <v>2284165.0554302409</v>
      </c>
      <c r="C13" s="149">
        <f>SUM(E34:E45)</f>
        <v>2878349.5298421038</v>
      </c>
      <c r="D13" s="146">
        <f>B13/E13</f>
        <v>0.14020551314246224</v>
      </c>
      <c r="E13" s="147">
        <f>E12*1.005</f>
        <v>16291549.484999998</v>
      </c>
      <c r="F13" s="176"/>
      <c r="G13" s="149"/>
      <c r="H13" s="149"/>
      <c r="I13" s="126"/>
      <c r="J13" s="148"/>
      <c r="K13" s="150"/>
      <c r="L13" s="150"/>
      <c r="M13" s="148"/>
      <c r="N13" s="148"/>
    </row>
    <row r="14" spans="1:14" x14ac:dyDescent="0.25">
      <c r="A14" s="144" t="s">
        <v>45</v>
      </c>
      <c r="B14" s="133">
        <f>SUM(C46:C57)</f>
        <v>3274814.3153413641</v>
      </c>
      <c r="C14" s="149">
        <f>SUM(E46:E57)</f>
        <v>4126266.0373301194</v>
      </c>
      <c r="D14" s="146">
        <f>B14/E14</f>
        <v>0.20001300120700757</v>
      </c>
      <c r="E14" s="147">
        <f t="shared" ref="E14:E15" si="0">E13*1.005</f>
        <v>16373007.232424995</v>
      </c>
      <c r="F14" s="176"/>
      <c r="G14" s="149"/>
      <c r="H14" s="149"/>
      <c r="I14" s="126"/>
      <c r="J14" s="148"/>
      <c r="K14" s="150"/>
      <c r="L14" s="150"/>
      <c r="M14" s="148"/>
      <c r="N14" s="148"/>
    </row>
    <row r="15" spans="1:14" x14ac:dyDescent="0.25">
      <c r="A15" s="152" t="s">
        <v>46</v>
      </c>
      <c r="B15" s="136">
        <f>SUM(C58:C69)</f>
        <v>4119493.6967027127</v>
      </c>
      <c r="C15" s="153">
        <f>SUM(E58:E69)</f>
        <v>5190562.0578454174</v>
      </c>
      <c r="D15" s="154">
        <f>B15/E15</f>
        <v>0.25035099813973999</v>
      </c>
      <c r="E15" s="155">
        <f t="shared" si="0"/>
        <v>16454872.268587118</v>
      </c>
      <c r="F15" s="176"/>
      <c r="G15" s="149"/>
      <c r="H15" s="149"/>
      <c r="I15" s="126"/>
      <c r="J15" s="148"/>
      <c r="K15" s="150"/>
      <c r="L15" s="150"/>
      <c r="M15" s="148"/>
      <c r="N15" s="148"/>
    </row>
    <row r="17" spans="1:5" x14ac:dyDescent="0.25">
      <c r="A17" s="156" t="s">
        <v>14</v>
      </c>
    </row>
    <row r="18" spans="1:5" x14ac:dyDescent="0.25">
      <c r="A18" s="157">
        <f>ROUND(E34/C34,2)</f>
        <v>1.26</v>
      </c>
      <c r="B18" s="158"/>
      <c r="C18" s="158"/>
      <c r="D18" s="158"/>
    </row>
    <row r="19" spans="1:5" x14ac:dyDescent="0.25">
      <c r="D19" s="159" t="s">
        <v>47</v>
      </c>
    </row>
    <row r="20" spans="1:5" x14ac:dyDescent="0.25">
      <c r="A20" s="160" t="s">
        <v>48</v>
      </c>
      <c r="B20" s="161" t="s">
        <v>49</v>
      </c>
      <c r="C20" s="161" t="s">
        <v>50</v>
      </c>
      <c r="D20" s="161" t="s">
        <v>51</v>
      </c>
      <c r="E20" s="161" t="s">
        <v>52</v>
      </c>
    </row>
    <row r="21" spans="1:5" x14ac:dyDescent="0.25">
      <c r="A21" s="162">
        <v>42262</v>
      </c>
      <c r="B21" s="163">
        <v>1327137</v>
      </c>
      <c r="C21" s="163">
        <v>97213</v>
      </c>
      <c r="E21" s="151"/>
    </row>
    <row r="22" spans="1:5" x14ac:dyDescent="0.25">
      <c r="A22" s="162">
        <v>42292</v>
      </c>
      <c r="B22" s="163">
        <v>1334279</v>
      </c>
      <c r="C22" s="163">
        <v>106127</v>
      </c>
    </row>
    <row r="23" spans="1:5" x14ac:dyDescent="0.25">
      <c r="A23" s="162">
        <v>42323</v>
      </c>
      <c r="B23" s="163">
        <v>1212826</v>
      </c>
      <c r="C23" s="163">
        <v>93067</v>
      </c>
    </row>
    <row r="24" spans="1:5" x14ac:dyDescent="0.25">
      <c r="A24" s="162">
        <v>42353</v>
      </c>
      <c r="B24" s="163">
        <v>1419957</v>
      </c>
      <c r="C24" s="163">
        <v>109754</v>
      </c>
    </row>
    <row r="25" spans="1:5" x14ac:dyDescent="0.25">
      <c r="A25" s="162">
        <v>42385</v>
      </c>
      <c r="B25" s="163">
        <v>1326620</v>
      </c>
      <c r="C25" s="163">
        <v>125666</v>
      </c>
    </row>
    <row r="26" spans="1:5" x14ac:dyDescent="0.25">
      <c r="A26" s="162">
        <v>42429</v>
      </c>
      <c r="B26" s="163">
        <v>1349669</v>
      </c>
      <c r="C26" s="163">
        <v>124912</v>
      </c>
    </row>
    <row r="27" spans="1:5" x14ac:dyDescent="0.25">
      <c r="A27" s="162">
        <v>42460</v>
      </c>
      <c r="B27" s="163">
        <v>1453263</v>
      </c>
      <c r="C27" s="163">
        <v>127004</v>
      </c>
    </row>
    <row r="28" spans="1:5" x14ac:dyDescent="0.25">
      <c r="A28" s="162">
        <v>42490</v>
      </c>
      <c r="B28" s="163">
        <v>1329507</v>
      </c>
      <c r="C28" s="163">
        <v>121463</v>
      </c>
    </row>
    <row r="29" spans="1:5" x14ac:dyDescent="0.25">
      <c r="A29" s="162">
        <v>42521</v>
      </c>
      <c r="B29" s="163">
        <v>1361870</v>
      </c>
      <c r="C29" s="163">
        <v>114744</v>
      </c>
    </row>
    <row r="30" spans="1:5" x14ac:dyDescent="0.25">
      <c r="A30" s="162">
        <v>42551</v>
      </c>
      <c r="B30" s="163">
        <v>1405451</v>
      </c>
      <c r="C30" s="163">
        <v>126404</v>
      </c>
    </row>
    <row r="31" spans="1:5" x14ac:dyDescent="0.25">
      <c r="A31" s="162">
        <v>42582</v>
      </c>
      <c r="B31" s="163">
        <v>1289006</v>
      </c>
      <c r="C31" s="163">
        <v>111888</v>
      </c>
    </row>
    <row r="32" spans="1:5" x14ac:dyDescent="0.25">
      <c r="A32" s="162">
        <v>42613</v>
      </c>
      <c r="B32" s="163">
        <v>1400912</v>
      </c>
      <c r="C32" s="163">
        <v>90795</v>
      </c>
    </row>
    <row r="33" spans="1:7" x14ac:dyDescent="0.25">
      <c r="A33" s="162">
        <f>A32</f>
        <v>42613</v>
      </c>
      <c r="B33" s="164" t="s">
        <v>53</v>
      </c>
      <c r="C33" s="163">
        <v>23946</v>
      </c>
      <c r="E33" s="165">
        <v>29965</v>
      </c>
    </row>
    <row r="34" spans="1:7" ht="15.75" thickBot="1" x14ac:dyDescent="0.3">
      <c r="A34" s="166">
        <v>42643</v>
      </c>
      <c r="B34" s="167">
        <v>1279402</v>
      </c>
      <c r="C34" s="167">
        <v>126194</v>
      </c>
      <c r="D34" s="168"/>
      <c r="E34" s="167">
        <v>159306</v>
      </c>
    </row>
    <row r="35" spans="1:7" x14ac:dyDescent="0.25">
      <c r="A35" s="162">
        <v>42674</v>
      </c>
      <c r="B35" s="169"/>
      <c r="C35" s="169">
        <f>C34*(1+$D$35)</f>
        <v>135279.96800000002</v>
      </c>
      <c r="D35" s="124">
        <v>7.1999999999999995E-2</v>
      </c>
      <c r="E35" s="133">
        <f>C35*$A$18</f>
        <v>170452.75968000002</v>
      </c>
      <c r="G35" s="151"/>
    </row>
    <row r="36" spans="1:7" x14ac:dyDescent="0.25">
      <c r="A36" s="162">
        <v>42704</v>
      </c>
      <c r="B36" s="169"/>
      <c r="C36" s="169">
        <f t="shared" ref="C36:C44" si="1">C35*(1+$D$35)</f>
        <v>145020.12569600003</v>
      </c>
      <c r="E36" s="133">
        <f>C36*$A$18</f>
        <v>182725.35837696004</v>
      </c>
    </row>
    <row r="37" spans="1:7" x14ac:dyDescent="0.25">
      <c r="A37" s="162">
        <v>42735</v>
      </c>
      <c r="B37" s="169"/>
      <c r="C37" s="169">
        <f t="shared" si="1"/>
        <v>155461.57474611205</v>
      </c>
      <c r="E37" s="133">
        <f t="shared" ref="E37:E69" si="2">C37*$A$18</f>
        <v>195881.58418010117</v>
      </c>
    </row>
    <row r="38" spans="1:7" x14ac:dyDescent="0.25">
      <c r="A38" s="162">
        <v>42766</v>
      </c>
      <c r="B38" s="169"/>
      <c r="C38" s="169">
        <f t="shared" si="1"/>
        <v>166654.80812783213</v>
      </c>
      <c r="E38" s="133">
        <f t="shared" si="2"/>
        <v>209985.0582410685</v>
      </c>
    </row>
    <row r="39" spans="1:7" x14ac:dyDescent="0.25">
      <c r="A39" s="162">
        <v>42794</v>
      </c>
      <c r="B39" s="169"/>
      <c r="C39" s="169">
        <f t="shared" si="1"/>
        <v>178653.95431303605</v>
      </c>
      <c r="E39" s="133">
        <f t="shared" si="2"/>
        <v>225103.98243442542</v>
      </c>
    </row>
    <row r="40" spans="1:7" x14ac:dyDescent="0.25">
      <c r="A40" s="162">
        <v>42825</v>
      </c>
      <c r="B40" s="169"/>
      <c r="C40" s="169">
        <f t="shared" si="1"/>
        <v>191517.03902357467</v>
      </c>
      <c r="E40" s="133">
        <f t="shared" si="2"/>
        <v>241311.4691697041</v>
      </c>
    </row>
    <row r="41" spans="1:7" x14ac:dyDescent="0.25">
      <c r="A41" s="162">
        <v>42855</v>
      </c>
      <c r="B41" s="169"/>
      <c r="C41" s="169">
        <f t="shared" si="1"/>
        <v>205306.26583327207</v>
      </c>
      <c r="E41" s="133">
        <f t="shared" si="2"/>
        <v>258685.8949499228</v>
      </c>
    </row>
    <row r="42" spans="1:7" x14ac:dyDescent="0.25">
      <c r="A42" s="162">
        <v>42886</v>
      </c>
      <c r="B42" s="169"/>
      <c r="C42" s="169">
        <f t="shared" si="1"/>
        <v>220088.31697326768</v>
      </c>
      <c r="E42" s="133">
        <f t="shared" si="2"/>
        <v>277311.2793863173</v>
      </c>
    </row>
    <row r="43" spans="1:7" x14ac:dyDescent="0.25">
      <c r="A43" s="162">
        <v>42916</v>
      </c>
      <c r="B43" s="169"/>
      <c r="C43" s="169">
        <f t="shared" si="1"/>
        <v>235934.67579534298</v>
      </c>
      <c r="E43" s="133">
        <f t="shared" si="2"/>
        <v>297277.69150213216</v>
      </c>
    </row>
    <row r="44" spans="1:7" x14ac:dyDescent="0.25">
      <c r="A44" s="162">
        <v>42947</v>
      </c>
      <c r="B44" s="169"/>
      <c r="C44" s="169">
        <f t="shared" si="1"/>
        <v>252921.97245260768</v>
      </c>
      <c r="E44" s="133">
        <f t="shared" si="2"/>
        <v>318681.68529028568</v>
      </c>
    </row>
    <row r="45" spans="1:7" x14ac:dyDescent="0.25">
      <c r="A45" s="170">
        <v>42978</v>
      </c>
      <c r="B45" s="171"/>
      <c r="C45" s="171">
        <f>C44*(1+$D$35)</f>
        <v>271132.35446919542</v>
      </c>
      <c r="D45" s="172"/>
      <c r="E45" s="173">
        <f t="shared" si="2"/>
        <v>341626.76663118624</v>
      </c>
    </row>
    <row r="46" spans="1:7" x14ac:dyDescent="0.25">
      <c r="A46" s="162">
        <v>43008</v>
      </c>
      <c r="B46" s="169"/>
      <c r="C46" s="169">
        <f t="shared" ref="C46:C57" si="3">C45*(1+$D$46)</f>
        <v>271403.48682366457</v>
      </c>
      <c r="D46" s="124">
        <v>1E-3</v>
      </c>
      <c r="E46" s="133">
        <f t="shared" si="2"/>
        <v>341968.39339781739</v>
      </c>
    </row>
    <row r="47" spans="1:7" x14ac:dyDescent="0.25">
      <c r="A47" s="162">
        <v>43039</v>
      </c>
      <c r="B47" s="169"/>
      <c r="C47" s="169">
        <f t="shared" si="3"/>
        <v>271674.89031048823</v>
      </c>
      <c r="E47" s="133">
        <f t="shared" si="2"/>
        <v>342310.3617912152</v>
      </c>
    </row>
    <row r="48" spans="1:7" x14ac:dyDescent="0.25">
      <c r="A48" s="162">
        <v>43069</v>
      </c>
      <c r="B48" s="169"/>
      <c r="C48" s="169">
        <f t="shared" si="3"/>
        <v>271946.56520079868</v>
      </c>
      <c r="E48" s="133">
        <f t="shared" si="2"/>
        <v>342652.67215300637</v>
      </c>
    </row>
    <row r="49" spans="1:5" x14ac:dyDescent="0.25">
      <c r="A49" s="162">
        <v>43100</v>
      </c>
      <c r="B49" s="169"/>
      <c r="C49" s="169">
        <f t="shared" si="3"/>
        <v>272218.51176599943</v>
      </c>
      <c r="E49" s="133">
        <f t="shared" si="2"/>
        <v>342995.32482515927</v>
      </c>
    </row>
    <row r="50" spans="1:5" x14ac:dyDescent="0.25">
      <c r="A50" s="162">
        <v>43131</v>
      </c>
      <c r="B50" s="169"/>
      <c r="C50" s="169">
        <f t="shared" si="3"/>
        <v>272490.73027776543</v>
      </c>
      <c r="E50" s="133">
        <f t="shared" si="2"/>
        <v>343338.32014998444</v>
      </c>
    </row>
    <row r="51" spans="1:5" x14ac:dyDescent="0.25">
      <c r="A51" s="162">
        <v>43159</v>
      </c>
      <c r="B51" s="169"/>
      <c r="C51" s="169">
        <f t="shared" si="3"/>
        <v>272763.22100804315</v>
      </c>
      <c r="E51" s="133">
        <f t="shared" si="2"/>
        <v>343681.65847013437</v>
      </c>
    </row>
    <row r="52" spans="1:5" x14ac:dyDescent="0.25">
      <c r="A52" s="162">
        <v>43190</v>
      </c>
      <c r="B52" s="169"/>
      <c r="C52" s="169">
        <f t="shared" si="3"/>
        <v>273035.98422905116</v>
      </c>
      <c r="E52" s="133">
        <f t="shared" si="2"/>
        <v>344025.34012860444</v>
      </c>
    </row>
    <row r="53" spans="1:5" x14ac:dyDescent="0.25">
      <c r="A53" s="162">
        <v>43220</v>
      </c>
      <c r="B53" s="169"/>
      <c r="C53" s="169">
        <f t="shared" si="3"/>
        <v>273309.02021328016</v>
      </c>
      <c r="E53" s="133">
        <f t="shared" si="2"/>
        <v>344369.36546873301</v>
      </c>
    </row>
    <row r="54" spans="1:5" x14ac:dyDescent="0.25">
      <c r="A54" s="162">
        <v>43251</v>
      </c>
      <c r="B54" s="169"/>
      <c r="C54" s="169">
        <f t="shared" si="3"/>
        <v>273582.32923349342</v>
      </c>
      <c r="E54" s="133">
        <f t="shared" si="2"/>
        <v>344713.73483420169</v>
      </c>
    </row>
    <row r="55" spans="1:5" x14ac:dyDescent="0.25">
      <c r="A55" s="162">
        <v>43281</v>
      </c>
      <c r="B55" s="169"/>
      <c r="C55" s="169">
        <f t="shared" si="3"/>
        <v>273855.91156272689</v>
      </c>
      <c r="E55" s="133">
        <f t="shared" si="2"/>
        <v>345058.44856903591</v>
      </c>
    </row>
    <row r="56" spans="1:5" x14ac:dyDescent="0.25">
      <c r="A56" s="162">
        <v>43312</v>
      </c>
      <c r="B56" s="169"/>
      <c r="C56" s="169">
        <f t="shared" si="3"/>
        <v>274129.76747428958</v>
      </c>
      <c r="E56" s="133">
        <f t="shared" si="2"/>
        <v>345403.50701760489</v>
      </c>
    </row>
    <row r="57" spans="1:5" x14ac:dyDescent="0.25">
      <c r="A57" s="162">
        <v>43343</v>
      </c>
      <c r="B57" s="169"/>
      <c r="C57" s="169">
        <f t="shared" si="3"/>
        <v>274403.89724176383</v>
      </c>
      <c r="E57" s="133">
        <f t="shared" si="2"/>
        <v>345748.91052462242</v>
      </c>
    </row>
    <row r="58" spans="1:5" x14ac:dyDescent="0.25">
      <c r="A58" s="170">
        <v>43373</v>
      </c>
      <c r="B58" s="171"/>
      <c r="C58" s="171">
        <f>C57*(1+$D$58)</f>
        <v>283733.62974798382</v>
      </c>
      <c r="D58" s="172">
        <v>3.4000000000000002E-2</v>
      </c>
      <c r="E58" s="173">
        <f t="shared" si="2"/>
        <v>357504.37348245963</v>
      </c>
    </row>
    <row r="59" spans="1:5" x14ac:dyDescent="0.25">
      <c r="A59" s="162">
        <v>43404</v>
      </c>
      <c r="B59" s="171"/>
      <c r="C59" s="171">
        <f>C58*(1+$D$58)</f>
        <v>293380.57315941527</v>
      </c>
      <c r="E59" s="133">
        <f t="shared" si="2"/>
        <v>369659.52218086325</v>
      </c>
    </row>
    <row r="60" spans="1:5" x14ac:dyDescent="0.25">
      <c r="A60" s="162">
        <v>43434</v>
      </c>
      <c r="B60" s="171"/>
      <c r="C60" s="171">
        <f>C59*(1+$D$58)</f>
        <v>303355.51264683541</v>
      </c>
      <c r="E60" s="133">
        <f t="shared" si="2"/>
        <v>382227.9459350126</v>
      </c>
    </row>
    <row r="61" spans="1:5" x14ac:dyDescent="0.25">
      <c r="A61" s="162">
        <v>43465</v>
      </c>
      <c r="B61" s="171"/>
      <c r="C61" s="171">
        <f>C60*(1+$D$58)</f>
        <v>313669.6000768278</v>
      </c>
      <c r="E61" s="133">
        <f t="shared" si="2"/>
        <v>395223.69609680306</v>
      </c>
    </row>
    <row r="62" spans="1:5" x14ac:dyDescent="0.25">
      <c r="A62" s="162">
        <v>43496</v>
      </c>
      <c r="B62" s="171"/>
      <c r="C62" s="171">
        <f t="shared" ref="C62:C69" si="4">C61*(1+$D$58)</f>
        <v>324334.36647943995</v>
      </c>
      <c r="E62" s="133">
        <f t="shared" si="2"/>
        <v>408661.30176409433</v>
      </c>
    </row>
    <row r="63" spans="1:5" x14ac:dyDescent="0.25">
      <c r="A63" s="162">
        <v>43524</v>
      </c>
      <c r="B63" s="171"/>
      <c r="C63" s="171">
        <f t="shared" si="4"/>
        <v>335361.73493974091</v>
      </c>
      <c r="E63" s="133">
        <f t="shared" si="2"/>
        <v>422555.78602407355</v>
      </c>
    </row>
    <row r="64" spans="1:5" x14ac:dyDescent="0.25">
      <c r="A64" s="162">
        <v>43555</v>
      </c>
      <c r="B64" s="171"/>
      <c r="C64" s="171">
        <f t="shared" si="4"/>
        <v>346764.0339276921</v>
      </c>
      <c r="E64" s="133">
        <f t="shared" si="2"/>
        <v>436922.68274889205</v>
      </c>
    </row>
    <row r="65" spans="1:5" x14ac:dyDescent="0.25">
      <c r="A65" s="162">
        <v>43585</v>
      </c>
      <c r="B65" s="171"/>
      <c r="C65" s="171">
        <f t="shared" si="4"/>
        <v>358554.01108123362</v>
      </c>
      <c r="E65" s="133">
        <f t="shared" si="2"/>
        <v>451778.05396235437</v>
      </c>
    </row>
    <row r="66" spans="1:5" x14ac:dyDescent="0.25">
      <c r="A66" s="162">
        <v>43616</v>
      </c>
      <c r="B66" s="171"/>
      <c r="C66" s="171">
        <f t="shared" si="4"/>
        <v>370744.84745799558</v>
      </c>
      <c r="E66" s="133">
        <f t="shared" si="2"/>
        <v>467138.50779707445</v>
      </c>
    </row>
    <row r="67" spans="1:5" x14ac:dyDescent="0.25">
      <c r="A67" s="162">
        <v>43646</v>
      </c>
      <c r="B67" s="171"/>
      <c r="C67" s="171">
        <f t="shared" si="4"/>
        <v>383350.17227156746</v>
      </c>
      <c r="E67" s="133">
        <f t="shared" si="2"/>
        <v>483021.21706217498</v>
      </c>
    </row>
    <row r="68" spans="1:5" x14ac:dyDescent="0.25">
      <c r="A68" s="162">
        <v>43677</v>
      </c>
      <c r="B68" s="171"/>
      <c r="C68" s="171">
        <f t="shared" si="4"/>
        <v>396384.07812880079</v>
      </c>
      <c r="E68" s="133">
        <f t="shared" si="2"/>
        <v>499443.93844228901</v>
      </c>
    </row>
    <row r="69" spans="1:5" x14ac:dyDescent="0.25">
      <c r="A69" s="162">
        <v>43708</v>
      </c>
      <c r="B69" s="171"/>
      <c r="C69" s="171">
        <f t="shared" si="4"/>
        <v>409861.13678518002</v>
      </c>
      <c r="E69" s="133">
        <f t="shared" si="2"/>
        <v>516425.03234932682</v>
      </c>
    </row>
  </sheetData>
  <pageMargins left="0.7" right="0.7" top="0.5" bottom="0.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F44"/>
  <sheetViews>
    <sheetView zoomScaleNormal="100" workbookViewId="0">
      <selection activeCell="C20" sqref="C20"/>
    </sheetView>
  </sheetViews>
  <sheetFormatPr defaultColWidth="8.85546875" defaultRowHeight="12.75" x14ac:dyDescent="0.2"/>
  <cols>
    <col min="1" max="1" width="5.42578125" style="1" bestFit="1" customWidth="1"/>
    <col min="2" max="2" width="49.28515625" style="1" customWidth="1"/>
    <col min="3" max="3" width="11.5703125" style="1" customWidth="1"/>
    <col min="4" max="4" width="11.28515625" style="1" bestFit="1" customWidth="1"/>
    <col min="5" max="5" width="13.5703125" style="1" bestFit="1" customWidth="1"/>
    <col min="6" max="16384" width="8.85546875" style="1"/>
  </cols>
  <sheetData>
    <row r="2" spans="1:6" x14ac:dyDescent="0.2">
      <c r="A2" s="2"/>
      <c r="B2" s="2"/>
      <c r="C2" s="2"/>
      <c r="D2" s="2"/>
      <c r="E2"/>
    </row>
    <row r="3" spans="1:6" x14ac:dyDescent="0.2">
      <c r="A3" s="3"/>
      <c r="B3" s="3"/>
      <c r="C3" s="3"/>
      <c r="D3" s="3"/>
      <c r="E3" s="3"/>
    </row>
    <row r="4" spans="1:6" x14ac:dyDescent="0.2">
      <c r="A4" s="9" t="s">
        <v>8</v>
      </c>
      <c r="B4" s="10"/>
      <c r="C4" s="10"/>
      <c r="D4" s="10"/>
      <c r="E4" s="11"/>
    </row>
    <row r="5" spans="1:6" x14ac:dyDescent="0.2">
      <c r="A5" s="177" t="s">
        <v>54</v>
      </c>
      <c r="B5" s="177"/>
      <c r="C5" s="177"/>
      <c r="D5" s="177"/>
      <c r="E5" s="177"/>
      <c r="F5" s="21"/>
    </row>
    <row r="6" spans="1:6" x14ac:dyDescent="0.2">
      <c r="A6" s="10" t="str">
        <f>+'Lead E'!A6</f>
        <v>FOR THE TWELVE MONTHS ENDED JUNE 30, 2018</v>
      </c>
      <c r="B6" s="10"/>
      <c r="C6" s="10"/>
      <c r="D6" s="10"/>
      <c r="E6" s="12"/>
    </row>
    <row r="7" spans="1:6" x14ac:dyDescent="0.2">
      <c r="A7" s="9" t="s">
        <v>88</v>
      </c>
      <c r="B7" s="10"/>
      <c r="C7" s="10"/>
      <c r="D7" s="9"/>
      <c r="E7" s="12"/>
    </row>
    <row r="8" spans="1:6" x14ac:dyDescent="0.2">
      <c r="A8" s="13"/>
      <c r="B8" s="14"/>
      <c r="C8" s="14"/>
      <c r="D8" s="13"/>
      <c r="E8" s="13"/>
      <c r="F8" s="21"/>
    </row>
    <row r="9" spans="1:6" x14ac:dyDescent="0.2">
      <c r="A9" s="20" t="s">
        <v>0</v>
      </c>
      <c r="B9" s="13"/>
      <c r="C9" s="13"/>
      <c r="D9" s="13"/>
      <c r="E9" s="13"/>
      <c r="F9" s="21"/>
    </row>
    <row r="10" spans="1:6" x14ac:dyDescent="0.2">
      <c r="A10" s="15" t="s">
        <v>1</v>
      </c>
      <c r="B10" s="16" t="s">
        <v>2</v>
      </c>
      <c r="C10" s="15" t="s">
        <v>3</v>
      </c>
      <c r="D10" s="15" t="s">
        <v>12</v>
      </c>
      <c r="E10" s="15" t="s">
        <v>4</v>
      </c>
      <c r="F10" s="21"/>
    </row>
    <row r="11" spans="1:6" x14ac:dyDescent="0.2">
      <c r="A11" s="5">
        <v>1</v>
      </c>
      <c r="B11" s="19" t="str">
        <f>+'Lead E'!B11</f>
        <v>DOCKET UE-180282 &amp; UG-180283 CREDIT CARD FEES</v>
      </c>
      <c r="C11" s="7"/>
      <c r="D11" s="7"/>
      <c r="E11" s="7"/>
    </row>
    <row r="12" spans="1:6" x14ac:dyDescent="0.2">
      <c r="A12" s="5">
        <f t="shared" ref="A12:A25" si="0">A11+1</f>
        <v>2</v>
      </c>
      <c r="B12" s="4" t="s">
        <v>67</v>
      </c>
      <c r="C12" s="24">
        <f>'Annualize Costs'!E19</f>
        <v>967690.02748180646</v>
      </c>
      <c r="D12" s="24">
        <f>'Annualize Costs'!H19</f>
        <v>1793779.3860475519</v>
      </c>
      <c r="E12" s="6">
        <f>+D12-C12</f>
        <v>826089.35856574541</v>
      </c>
    </row>
    <row r="13" spans="1:6" x14ac:dyDescent="0.2">
      <c r="A13" s="5">
        <f t="shared" si="0"/>
        <v>3</v>
      </c>
      <c r="B13" s="4" t="s">
        <v>95</v>
      </c>
      <c r="C13" s="25">
        <f>+'Test Year Dfrl Amort'!B21</f>
        <v>319562</v>
      </c>
      <c r="D13" s="25">
        <f>'Deferral in 180282&amp;3'!E10/3</f>
        <v>597371.88169789885</v>
      </c>
      <c r="E13" s="44">
        <f>+D13-C13</f>
        <v>277809.88169789885</v>
      </c>
    </row>
    <row r="14" spans="1:6" x14ac:dyDescent="0.2">
      <c r="A14" s="5">
        <f t="shared" si="0"/>
        <v>4</v>
      </c>
      <c r="B14" s="4" t="s">
        <v>7</v>
      </c>
      <c r="C14" s="22">
        <f>SUM(C12:C13)</f>
        <v>1287252.0274818065</v>
      </c>
      <c r="D14" s="22">
        <f>SUM(D12:D13)</f>
        <v>2391151.2677454506</v>
      </c>
      <c r="E14" s="22">
        <f>SUM(E12:E13)</f>
        <v>1103899.2402636441</v>
      </c>
    </row>
    <row r="15" spans="1:6" x14ac:dyDescent="0.2">
      <c r="A15" s="5">
        <f t="shared" si="0"/>
        <v>5</v>
      </c>
      <c r="B15" s="4"/>
    </row>
    <row r="16" spans="1:6" x14ac:dyDescent="0.2">
      <c r="A16" s="5">
        <f t="shared" si="0"/>
        <v>6</v>
      </c>
      <c r="B16" s="4" t="s">
        <v>13</v>
      </c>
      <c r="C16" s="7"/>
      <c r="D16" s="7"/>
      <c r="E16" s="8">
        <f>+E14</f>
        <v>1103899.2402636441</v>
      </c>
    </row>
    <row r="17" spans="1:6" x14ac:dyDescent="0.2">
      <c r="A17" s="5">
        <f t="shared" si="0"/>
        <v>7</v>
      </c>
      <c r="B17" s="4"/>
      <c r="C17" s="7"/>
      <c r="D17" s="7"/>
      <c r="E17" s="8"/>
    </row>
    <row r="18" spans="1:6" x14ac:dyDescent="0.2">
      <c r="A18" s="5">
        <f t="shared" si="0"/>
        <v>8</v>
      </c>
      <c r="B18" s="4" t="s">
        <v>5</v>
      </c>
      <c r="C18" s="7"/>
      <c r="D18" s="42">
        <v>0.21</v>
      </c>
      <c r="E18" s="43">
        <f>-E16*D18</f>
        <v>-231818.84045536525</v>
      </c>
    </row>
    <row r="19" spans="1:6" x14ac:dyDescent="0.2">
      <c r="A19" s="5">
        <f t="shared" si="0"/>
        <v>9</v>
      </c>
      <c r="B19" s="4"/>
      <c r="C19" s="7"/>
      <c r="D19" s="42"/>
      <c r="E19" s="44"/>
    </row>
    <row r="20" spans="1:6" x14ac:dyDescent="0.2">
      <c r="A20" s="5">
        <f t="shared" si="0"/>
        <v>10</v>
      </c>
      <c r="B20" s="4" t="s">
        <v>6</v>
      </c>
      <c r="C20" s="7"/>
      <c r="D20" s="7"/>
      <c r="E20" s="45">
        <f>-E16-E18</f>
        <v>-872080.39980827889</v>
      </c>
    </row>
    <row r="21" spans="1:6" x14ac:dyDescent="0.2">
      <c r="A21" s="5">
        <f t="shared" si="0"/>
        <v>11</v>
      </c>
    </row>
    <row r="22" spans="1:6" x14ac:dyDescent="0.2">
      <c r="A22" s="5">
        <f t="shared" si="0"/>
        <v>12</v>
      </c>
    </row>
    <row r="23" spans="1:6" x14ac:dyDescent="0.2">
      <c r="A23" s="5">
        <f t="shared" si="0"/>
        <v>13</v>
      </c>
      <c r="B23" s="1" t="s">
        <v>96</v>
      </c>
    </row>
    <row r="24" spans="1:6" x14ac:dyDescent="0.2">
      <c r="A24" s="5">
        <f t="shared" si="0"/>
        <v>14</v>
      </c>
      <c r="B24" s="1" t="s">
        <v>97</v>
      </c>
      <c r="C24" s="3"/>
    </row>
    <row r="25" spans="1:6" x14ac:dyDescent="0.2">
      <c r="A25" s="5">
        <f t="shared" si="0"/>
        <v>15</v>
      </c>
      <c r="B25" s="1" t="s">
        <v>98</v>
      </c>
      <c r="C25"/>
      <c r="D25"/>
      <c r="E25"/>
      <c r="F25"/>
    </row>
    <row r="26" spans="1:6" x14ac:dyDescent="0.2">
      <c r="A26" s="23"/>
      <c r="C26"/>
      <c r="D26"/>
      <c r="E26"/>
      <c r="F26"/>
    </row>
    <row r="27" spans="1:6" x14ac:dyDescent="0.2">
      <c r="C27"/>
      <c r="D27"/>
      <c r="E27"/>
      <c r="F27"/>
    </row>
    <row r="28" spans="1:6" x14ac:dyDescent="0.2">
      <c r="C28"/>
      <c r="D28"/>
      <c r="E28"/>
      <c r="F28"/>
    </row>
    <row r="29" spans="1:6" x14ac:dyDescent="0.2">
      <c r="C29"/>
      <c r="D29"/>
      <c r="E29"/>
      <c r="F29"/>
    </row>
    <row r="30" spans="1:6" x14ac:dyDescent="0.2">
      <c r="C30"/>
      <c r="D30"/>
      <c r="E30"/>
      <c r="F30"/>
    </row>
    <row r="31" spans="1:6" x14ac:dyDescent="0.2">
      <c r="C31"/>
      <c r="D31"/>
      <c r="E31"/>
      <c r="F31"/>
    </row>
    <row r="32" spans="1:6" x14ac:dyDescent="0.2">
      <c r="C32"/>
      <c r="D32"/>
      <c r="E32"/>
      <c r="F32"/>
    </row>
    <row r="33" spans="3:6" x14ac:dyDescent="0.2">
      <c r="C33"/>
      <c r="D33"/>
      <c r="E33"/>
      <c r="F33"/>
    </row>
    <row r="34" spans="3:6" x14ac:dyDescent="0.2">
      <c r="C34"/>
      <c r="D34"/>
      <c r="E34"/>
      <c r="F34"/>
    </row>
    <row r="35" spans="3:6" x14ac:dyDescent="0.2">
      <c r="C35"/>
      <c r="D35"/>
      <c r="E35"/>
      <c r="F35"/>
    </row>
    <row r="36" spans="3:6" x14ac:dyDescent="0.2">
      <c r="C36"/>
      <c r="D36"/>
      <c r="E36"/>
      <c r="F36"/>
    </row>
    <row r="37" spans="3:6" x14ac:dyDescent="0.2">
      <c r="C37"/>
      <c r="D37"/>
      <c r="E37"/>
      <c r="F37"/>
    </row>
    <row r="38" spans="3:6" x14ac:dyDescent="0.2">
      <c r="C38"/>
      <c r="D38"/>
      <c r="E38"/>
      <c r="F38"/>
    </row>
    <row r="39" spans="3:6" x14ac:dyDescent="0.2">
      <c r="C39"/>
      <c r="D39"/>
      <c r="E39"/>
      <c r="F39"/>
    </row>
    <row r="40" spans="3:6" x14ac:dyDescent="0.2">
      <c r="C40"/>
      <c r="D40"/>
      <c r="E40"/>
      <c r="F40"/>
    </row>
    <row r="41" spans="3:6" x14ac:dyDescent="0.2">
      <c r="C41"/>
      <c r="D41"/>
      <c r="E41"/>
      <c r="F41"/>
    </row>
    <row r="42" spans="3:6" x14ac:dyDescent="0.2">
      <c r="C42"/>
      <c r="D42"/>
      <c r="E42"/>
      <c r="F42"/>
    </row>
    <row r="43" spans="3:6" x14ac:dyDescent="0.2">
      <c r="C43"/>
      <c r="D43"/>
      <c r="E43"/>
      <c r="F43"/>
    </row>
    <row r="44" spans="3:6" x14ac:dyDescent="0.2">
      <c r="C44"/>
      <c r="D44"/>
      <c r="E44"/>
      <c r="F44"/>
    </row>
  </sheetData>
  <mergeCells count="1">
    <mergeCell ref="A5:E5"/>
  </mergeCells>
  <phoneticPr fontId="0" type="noConversion"/>
  <pageMargins left="0.75" right="0.75" top="1" bottom="1" header="0.5" footer="0.5"/>
  <pageSetup scale="99" orientation="portrait" r:id="rId1"/>
  <headerFooter alignWithMargins="0"/>
  <customProperties>
    <customPr name="_pios_id" r:id="rId2"/>
  </customProperties>
  <ignoredErrors>
    <ignoredError sqref="E13 E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"/>
  <sheetViews>
    <sheetView workbookViewId="0">
      <selection activeCell="C20" sqref="C2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pane xSplit="2" ySplit="4" topLeftCell="C5" activePane="bottomRight" state="frozen"/>
      <selection activeCell="C20" sqref="C20"/>
      <selection pane="topRight" activeCell="C20" sqref="C20"/>
      <selection pane="bottomLeft" activeCell="C20" sqref="C20"/>
      <selection pane="bottomRight" activeCell="D12" sqref="D12"/>
    </sheetView>
  </sheetViews>
  <sheetFormatPr defaultColWidth="9.140625" defaultRowHeight="15" x14ac:dyDescent="0.25"/>
  <cols>
    <col min="1" max="1" width="18.7109375" style="26" customWidth="1"/>
    <col min="2" max="2" width="26.5703125" style="26" bestFit="1" customWidth="1"/>
    <col min="3" max="8" width="14.42578125" style="26" customWidth="1"/>
    <col min="9" max="16384" width="9.140625" style="26"/>
  </cols>
  <sheetData>
    <row r="1" spans="1:18" x14ac:dyDescent="0.25">
      <c r="A1" s="112" t="s">
        <v>101</v>
      </c>
    </row>
    <row r="2" spans="1:18" x14ac:dyDescent="0.25">
      <c r="A2" s="112"/>
      <c r="C2" s="115" t="s">
        <v>105</v>
      </c>
      <c r="D2" s="115"/>
      <c r="E2" s="115"/>
      <c r="F2" s="115" t="s">
        <v>104</v>
      </c>
      <c r="G2" s="115"/>
      <c r="H2" s="115"/>
    </row>
    <row r="3" spans="1:18" x14ac:dyDescent="0.25">
      <c r="D3" s="113">
        <f>+'[1]3.04 &amp; 4.04 Lead'!E9</f>
        <v>0.5806</v>
      </c>
      <c r="E3" s="113">
        <f>+'[1]3.04 &amp; 4.04 Lead'!F9</f>
        <v>0.4194</v>
      </c>
      <c r="G3" s="113">
        <f>D3</f>
        <v>0.5806</v>
      </c>
      <c r="H3" s="113">
        <f>E3</f>
        <v>0.4194</v>
      </c>
    </row>
    <row r="4" spans="1:18" x14ac:dyDescent="0.25">
      <c r="A4" s="114" t="s">
        <v>100</v>
      </c>
      <c r="B4" s="114" t="s">
        <v>81</v>
      </c>
      <c r="C4" s="115" t="s">
        <v>99</v>
      </c>
      <c r="D4" s="115" t="s">
        <v>9</v>
      </c>
      <c r="E4" s="115" t="s">
        <v>10</v>
      </c>
      <c r="F4" s="115" t="s">
        <v>99</v>
      </c>
      <c r="G4" s="115" t="s">
        <v>9</v>
      </c>
      <c r="H4" s="115" t="s">
        <v>10</v>
      </c>
    </row>
    <row r="6" spans="1:18" ht="17.25" x14ac:dyDescent="0.25">
      <c r="A6" s="116">
        <v>43100</v>
      </c>
      <c r="B6" s="116" t="s">
        <v>106</v>
      </c>
      <c r="C6" s="117">
        <f>F6/31*13</f>
        <v>122163.1764516129</v>
      </c>
      <c r="D6" s="117">
        <f>C6*D$3</f>
        <v>70927.940247806459</v>
      </c>
      <c r="E6" s="117">
        <f>C6*E$3</f>
        <v>51235.236203806453</v>
      </c>
      <c r="F6" s="117">
        <f>'Actual Costs'!AJ9</f>
        <v>291312.19</v>
      </c>
      <c r="G6" s="117">
        <f>F6*G$3</f>
        <v>169135.857514</v>
      </c>
      <c r="H6" s="117">
        <f>F6*H$3</f>
        <v>122176.332486</v>
      </c>
    </row>
    <row r="7" spans="1:18" ht="17.25" x14ac:dyDescent="0.25">
      <c r="A7" s="116">
        <v>43131</v>
      </c>
      <c r="B7" s="116" t="s">
        <v>103</v>
      </c>
      <c r="C7" s="28">
        <f>F7</f>
        <v>356480.23</v>
      </c>
      <c r="D7" s="28">
        <f t="shared" ref="D7:D17" si="0">C7*D$3</f>
        <v>206972.421538</v>
      </c>
      <c r="E7" s="28">
        <f t="shared" ref="E7:E17" si="1">C7*E$3</f>
        <v>149507.80846199999</v>
      </c>
      <c r="F7" s="28">
        <f>'Actual Costs'!AL9</f>
        <v>356480.23</v>
      </c>
      <c r="G7" s="28">
        <f t="shared" ref="G7:G17" si="2">F7*G$3</f>
        <v>206972.421538</v>
      </c>
      <c r="H7" s="28">
        <f t="shared" ref="H7:H17" si="3">F7*H$3</f>
        <v>149507.80846199999</v>
      </c>
      <c r="I7" s="28"/>
      <c r="K7" s="28"/>
      <c r="M7" s="28"/>
      <c r="R7" s="28"/>
    </row>
    <row r="8" spans="1:18" ht="17.25" x14ac:dyDescent="0.25">
      <c r="A8" s="116">
        <v>43159</v>
      </c>
      <c r="B8" s="116" t="s">
        <v>103</v>
      </c>
      <c r="C8" s="28">
        <f t="shared" ref="C8:C12" si="4">F8</f>
        <v>377634.21</v>
      </c>
      <c r="D8" s="28">
        <f t="shared" si="0"/>
        <v>219254.422326</v>
      </c>
      <c r="E8" s="28">
        <f t="shared" si="1"/>
        <v>158379.78767400002</v>
      </c>
      <c r="F8" s="28">
        <f>'Actual Costs'!AN9</f>
        <v>377634.21</v>
      </c>
      <c r="G8" s="28">
        <f t="shared" si="2"/>
        <v>219254.422326</v>
      </c>
      <c r="H8" s="28">
        <f t="shared" si="3"/>
        <v>158379.78767400002</v>
      </c>
    </row>
    <row r="9" spans="1:18" ht="17.25" x14ac:dyDescent="0.25">
      <c r="A9" s="116">
        <v>43190</v>
      </c>
      <c r="B9" s="116" t="s">
        <v>103</v>
      </c>
      <c r="C9" s="28">
        <f t="shared" si="4"/>
        <v>397901.06</v>
      </c>
      <c r="D9" s="28">
        <f t="shared" si="0"/>
        <v>231021.35543600001</v>
      </c>
      <c r="E9" s="28">
        <f t="shared" si="1"/>
        <v>166879.70456399999</v>
      </c>
      <c r="F9" s="28">
        <f>'Actual Costs'!AP9</f>
        <v>397901.06</v>
      </c>
      <c r="G9" s="28">
        <f t="shared" si="2"/>
        <v>231021.35543600001</v>
      </c>
      <c r="H9" s="28">
        <f t="shared" si="3"/>
        <v>166879.70456399999</v>
      </c>
    </row>
    <row r="10" spans="1:18" ht="17.25" x14ac:dyDescent="0.25">
      <c r="A10" s="116">
        <v>43220</v>
      </c>
      <c r="B10" s="116" t="s">
        <v>103</v>
      </c>
      <c r="C10" s="28">
        <f t="shared" si="4"/>
        <v>376559.59</v>
      </c>
      <c r="D10" s="28">
        <f t="shared" si="0"/>
        <v>218630.49795400002</v>
      </c>
      <c r="E10" s="28">
        <f t="shared" si="1"/>
        <v>157929.09204600001</v>
      </c>
      <c r="F10" s="28">
        <f>'Actual Costs'!AR9</f>
        <v>376559.59</v>
      </c>
      <c r="G10" s="28">
        <f t="shared" si="2"/>
        <v>218630.49795400002</v>
      </c>
      <c r="H10" s="28">
        <f t="shared" si="3"/>
        <v>157929.09204600001</v>
      </c>
    </row>
    <row r="11" spans="1:18" ht="17.25" x14ac:dyDescent="0.25">
      <c r="A11" s="116">
        <v>43251</v>
      </c>
      <c r="B11" s="116" t="s">
        <v>103</v>
      </c>
      <c r="C11" s="28">
        <f t="shared" si="4"/>
        <v>357661.16</v>
      </c>
      <c r="D11" s="28">
        <f t="shared" si="0"/>
        <v>207658.06949599998</v>
      </c>
      <c r="E11" s="28">
        <f t="shared" si="1"/>
        <v>150003.09050399999</v>
      </c>
      <c r="F11" s="28">
        <f>'Actual Costs'!AT9</f>
        <v>357661.16</v>
      </c>
      <c r="G11" s="28">
        <f t="shared" si="2"/>
        <v>207658.06949599998</v>
      </c>
      <c r="H11" s="28">
        <f t="shared" si="3"/>
        <v>150003.09050399999</v>
      </c>
    </row>
    <row r="12" spans="1:18" ht="17.25" x14ac:dyDescent="0.25">
      <c r="A12" s="116">
        <v>43281</v>
      </c>
      <c r="B12" s="116" t="s">
        <v>103</v>
      </c>
      <c r="C12" s="28">
        <f t="shared" si="4"/>
        <v>318920.62</v>
      </c>
      <c r="D12" s="28">
        <f t="shared" si="0"/>
        <v>185165.311972</v>
      </c>
      <c r="E12" s="28">
        <f t="shared" si="1"/>
        <v>133755.308028</v>
      </c>
      <c r="F12" s="28">
        <f>'Actual Costs'!AV9</f>
        <v>318920.62</v>
      </c>
      <c r="G12" s="28">
        <f t="shared" si="2"/>
        <v>185165.311972</v>
      </c>
      <c r="H12" s="28">
        <f t="shared" si="3"/>
        <v>133755.308028</v>
      </c>
    </row>
    <row r="13" spans="1:18" ht="17.25" x14ac:dyDescent="0.25">
      <c r="A13" s="116">
        <v>43312</v>
      </c>
      <c r="B13" s="116" t="s">
        <v>119</v>
      </c>
      <c r="C13" s="28"/>
      <c r="D13" s="28">
        <f t="shared" si="0"/>
        <v>0</v>
      </c>
      <c r="E13" s="28">
        <f t="shared" si="1"/>
        <v>0</v>
      </c>
      <c r="F13" s="28">
        <f>'Estimate used in 180282&amp;3'!E56</f>
        <v>345403.50701760489</v>
      </c>
      <c r="G13" s="28">
        <f t="shared" si="2"/>
        <v>200541.27617442139</v>
      </c>
      <c r="H13" s="28">
        <f t="shared" si="3"/>
        <v>144862.2308431835</v>
      </c>
    </row>
    <row r="14" spans="1:18" ht="17.25" x14ac:dyDescent="0.25">
      <c r="A14" s="116">
        <v>43343</v>
      </c>
      <c r="B14" s="116" t="s">
        <v>119</v>
      </c>
      <c r="C14" s="28"/>
      <c r="D14" s="28">
        <f t="shared" si="0"/>
        <v>0</v>
      </c>
      <c r="E14" s="28">
        <f t="shared" si="1"/>
        <v>0</v>
      </c>
      <c r="F14" s="28">
        <f>'Estimate used in 180282&amp;3'!E57</f>
        <v>345748.91052462242</v>
      </c>
      <c r="G14" s="28">
        <f t="shared" si="2"/>
        <v>200741.81745059579</v>
      </c>
      <c r="H14" s="28">
        <f t="shared" si="3"/>
        <v>145007.09307402663</v>
      </c>
    </row>
    <row r="15" spans="1:18" ht="17.25" x14ac:dyDescent="0.25">
      <c r="A15" s="116">
        <v>43373</v>
      </c>
      <c r="B15" s="116" t="s">
        <v>119</v>
      </c>
      <c r="C15" s="28"/>
      <c r="D15" s="28">
        <f t="shared" si="0"/>
        <v>0</v>
      </c>
      <c r="E15" s="28">
        <f t="shared" si="1"/>
        <v>0</v>
      </c>
      <c r="F15" s="28">
        <f>'Estimate used in 180282&amp;3'!E58</f>
        <v>357504.37348245963</v>
      </c>
      <c r="G15" s="28">
        <f t="shared" si="2"/>
        <v>207567.03924391608</v>
      </c>
      <c r="H15" s="28">
        <f t="shared" si="3"/>
        <v>149937.33423854355</v>
      </c>
    </row>
    <row r="16" spans="1:18" ht="17.25" x14ac:dyDescent="0.25">
      <c r="A16" s="116">
        <v>43404</v>
      </c>
      <c r="B16" s="116" t="s">
        <v>119</v>
      </c>
      <c r="C16" s="28"/>
      <c r="D16" s="28">
        <f t="shared" si="0"/>
        <v>0</v>
      </c>
      <c r="E16" s="28">
        <f t="shared" si="1"/>
        <v>0</v>
      </c>
      <c r="F16" s="28">
        <f>'Estimate used in 180282&amp;3'!E59</f>
        <v>369659.52218086325</v>
      </c>
      <c r="G16" s="28">
        <f t="shared" si="2"/>
        <v>214624.3185782092</v>
      </c>
      <c r="H16" s="28">
        <f t="shared" si="3"/>
        <v>155035.20360265404</v>
      </c>
    </row>
    <row r="17" spans="1:8" ht="17.25" x14ac:dyDescent="0.25">
      <c r="A17" s="116">
        <v>43434</v>
      </c>
      <c r="B17" s="116" t="s">
        <v>119</v>
      </c>
      <c r="C17" s="28"/>
      <c r="D17" s="28">
        <f t="shared" si="0"/>
        <v>0</v>
      </c>
      <c r="E17" s="28">
        <f t="shared" si="1"/>
        <v>0</v>
      </c>
      <c r="F17" s="28">
        <f>'Estimate used in 180282&amp;3'!E60</f>
        <v>382227.9459350126</v>
      </c>
      <c r="G17" s="28">
        <f t="shared" si="2"/>
        <v>221921.54540986833</v>
      </c>
      <c r="H17" s="28">
        <f t="shared" si="3"/>
        <v>160306.40052514427</v>
      </c>
    </row>
    <row r="18" spans="1:8" x14ac:dyDescent="0.25">
      <c r="A18" s="116"/>
      <c r="B18" s="116"/>
      <c r="C18" s="118"/>
      <c r="D18" s="118"/>
      <c r="E18" s="118"/>
      <c r="F18" s="118"/>
      <c r="G18" s="118"/>
      <c r="H18" s="118"/>
    </row>
    <row r="19" spans="1:8" ht="15.75" thickBot="1" x14ac:dyDescent="0.3">
      <c r="A19" s="116" t="s">
        <v>102</v>
      </c>
      <c r="B19" s="116"/>
      <c r="C19" s="39">
        <f t="shared" ref="C19:H19" si="5">SUM(C6:C18)</f>
        <v>2307320.0464516128</v>
      </c>
      <c r="D19" s="39">
        <f t="shared" si="5"/>
        <v>1339630.0189698064</v>
      </c>
      <c r="E19" s="39">
        <f t="shared" si="5"/>
        <v>967690.02748180646</v>
      </c>
      <c r="F19" s="39">
        <f t="shared" si="5"/>
        <v>4277013.3191405628</v>
      </c>
      <c r="G19" s="39">
        <f t="shared" si="5"/>
        <v>2483233.9330930109</v>
      </c>
      <c r="H19" s="39">
        <f t="shared" si="5"/>
        <v>1793779.3860475519</v>
      </c>
    </row>
    <row r="20" spans="1:8" ht="15.75" thickTop="1" x14ac:dyDescent="0.25">
      <c r="A20" s="116"/>
      <c r="B20" s="116"/>
      <c r="C20" s="28"/>
      <c r="D20" s="28"/>
      <c r="E20" s="28"/>
      <c r="F20" s="28"/>
      <c r="G20" s="28"/>
      <c r="H20" s="28"/>
    </row>
    <row r="22" spans="1:8" x14ac:dyDescent="0.25">
      <c r="A22" s="119" t="s">
        <v>107</v>
      </c>
    </row>
    <row r="23" spans="1:8" x14ac:dyDescent="0.25">
      <c r="A23" s="120" t="s">
        <v>108</v>
      </c>
    </row>
    <row r="24" spans="1:8" x14ac:dyDescent="0.25">
      <c r="A24" s="120" t="s">
        <v>109</v>
      </c>
    </row>
    <row r="25" spans="1:8" x14ac:dyDescent="0.25">
      <c r="A25" s="120"/>
    </row>
    <row r="26" spans="1:8" x14ac:dyDescent="0.25">
      <c r="A26" s="26" t="s">
        <v>110</v>
      </c>
    </row>
    <row r="27" spans="1:8" x14ac:dyDescent="0.25">
      <c r="A27" s="120" t="s">
        <v>111</v>
      </c>
    </row>
    <row r="29" spans="1:8" x14ac:dyDescent="0.25">
      <c r="A29" s="111" t="s">
        <v>112</v>
      </c>
    </row>
    <row r="30" spans="1:8" x14ac:dyDescent="0.25">
      <c r="A30" s="120" t="s">
        <v>113</v>
      </c>
    </row>
    <row r="31" spans="1:8" x14ac:dyDescent="0.25">
      <c r="A31" s="120" t="s">
        <v>114</v>
      </c>
    </row>
    <row r="32" spans="1:8" x14ac:dyDescent="0.25">
      <c r="A32" s="120" t="s">
        <v>115</v>
      </c>
    </row>
    <row r="33" spans="1:1" x14ac:dyDescent="0.25">
      <c r="A33" s="120" t="s">
        <v>116</v>
      </c>
    </row>
    <row r="34" spans="1:1" x14ac:dyDescent="0.25">
      <c r="A34" s="120" t="s">
        <v>117</v>
      </c>
    </row>
    <row r="35" spans="1:1" x14ac:dyDescent="0.25">
      <c r="A35" s="120" t="s">
        <v>118</v>
      </c>
    </row>
    <row r="36" spans="1:1" x14ac:dyDescent="0.25">
      <c r="A36" s="120"/>
    </row>
    <row r="37" spans="1:1" x14ac:dyDescent="0.25">
      <c r="A37" s="120"/>
    </row>
    <row r="38" spans="1:1" x14ac:dyDescent="0.25">
      <c r="A38" s="120"/>
    </row>
    <row r="39" spans="1:1" x14ac:dyDescent="0.25">
      <c r="A39" s="1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"/>
  <sheetViews>
    <sheetView workbookViewId="0">
      <selection activeCell="C20" sqref="C20"/>
    </sheetView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C18" sqref="C18"/>
    </sheetView>
  </sheetViews>
  <sheetFormatPr defaultColWidth="9.140625" defaultRowHeight="15" x14ac:dyDescent="0.25"/>
  <cols>
    <col min="1" max="1" width="45" style="46" bestFit="1" customWidth="1"/>
    <col min="2" max="5" width="11.5703125" style="46" bestFit="1" customWidth="1"/>
    <col min="6" max="8" width="11.28515625" style="46" bestFit="1" customWidth="1"/>
    <col min="9" max="9" width="10.28515625" style="46" bestFit="1" customWidth="1"/>
    <col min="10" max="11" width="6.5703125" style="46" bestFit="1" customWidth="1"/>
    <col min="12" max="13" width="6.85546875" style="46" bestFit="1" customWidth="1"/>
    <col min="14" max="14" width="5.85546875" style="46" bestFit="1" customWidth="1"/>
    <col min="15" max="16384" width="9.140625" style="46"/>
  </cols>
  <sheetData>
    <row r="1" spans="1:16" x14ac:dyDescent="0.25">
      <c r="A1" s="46" t="s">
        <v>58</v>
      </c>
    </row>
    <row r="12" spans="1:16" x14ac:dyDescent="0.25">
      <c r="A12" s="46" t="s">
        <v>59</v>
      </c>
      <c r="B12" s="46" t="s">
        <v>60</v>
      </c>
      <c r="C12" s="105">
        <v>43252</v>
      </c>
      <c r="D12" s="105">
        <v>43221</v>
      </c>
      <c r="E12" s="105">
        <v>43191</v>
      </c>
      <c r="F12" s="105">
        <v>43160</v>
      </c>
      <c r="G12" s="105">
        <v>43132</v>
      </c>
      <c r="H12" s="105">
        <v>43101</v>
      </c>
      <c r="I12" s="105">
        <v>43070</v>
      </c>
      <c r="J12" s="105">
        <v>43040</v>
      </c>
      <c r="K12" s="105">
        <v>43009</v>
      </c>
      <c r="L12" s="105">
        <v>42979</v>
      </c>
      <c r="M12" s="105">
        <v>42948</v>
      </c>
      <c r="N12" s="105">
        <v>42917</v>
      </c>
    </row>
    <row r="13" spans="1:16" x14ac:dyDescent="0.25">
      <c r="A13" s="46" t="s">
        <v>89</v>
      </c>
      <c r="B13" s="47">
        <f>SUM(C13:N13)</f>
        <v>98015</v>
      </c>
      <c r="C13" s="106">
        <v>0</v>
      </c>
      <c r="D13" s="106">
        <v>0</v>
      </c>
      <c r="E13" s="106">
        <v>0</v>
      </c>
      <c r="F13" s="106">
        <v>0</v>
      </c>
      <c r="G13" s="106">
        <v>0</v>
      </c>
      <c r="H13" s="106">
        <v>69056</v>
      </c>
      <c r="I13" s="106">
        <v>28959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47"/>
      <c r="P13" s="47"/>
    </row>
    <row r="14" spans="1:16" x14ac:dyDescent="0.25">
      <c r="A14" s="46" t="s">
        <v>90</v>
      </c>
      <c r="B14" s="47">
        <f t="shared" ref="B14:B18" si="0">SUM(C14:N14)</f>
        <v>70657</v>
      </c>
      <c r="C14" s="106">
        <v>0</v>
      </c>
      <c r="D14" s="106">
        <v>0</v>
      </c>
      <c r="E14" s="106">
        <v>0</v>
      </c>
      <c r="F14" s="106">
        <v>0</v>
      </c>
      <c r="G14" s="106">
        <v>0</v>
      </c>
      <c r="H14" s="106">
        <v>49781</v>
      </c>
      <c r="I14" s="106">
        <v>20876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47"/>
      <c r="P14" s="47"/>
    </row>
    <row r="15" spans="1:16" x14ac:dyDescent="0.25">
      <c r="A15" s="46" t="s">
        <v>61</v>
      </c>
      <c r="B15" s="47">
        <f t="shared" si="0"/>
        <v>345280</v>
      </c>
      <c r="C15" s="106">
        <v>69056</v>
      </c>
      <c r="D15" s="106">
        <v>69056</v>
      </c>
      <c r="E15" s="106">
        <v>69056</v>
      </c>
      <c r="F15" s="106">
        <v>69056</v>
      </c>
      <c r="G15" s="106">
        <v>69056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47"/>
      <c r="P15" s="47"/>
    </row>
    <row r="16" spans="1:16" x14ac:dyDescent="0.25">
      <c r="A16" s="46" t="s">
        <v>62</v>
      </c>
      <c r="B16" s="47">
        <f t="shared" si="0"/>
        <v>248905</v>
      </c>
      <c r="C16" s="106">
        <v>49781</v>
      </c>
      <c r="D16" s="106">
        <v>49781</v>
      </c>
      <c r="E16" s="106">
        <v>49781</v>
      </c>
      <c r="F16" s="106">
        <v>49781</v>
      </c>
      <c r="G16" s="106">
        <v>49781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47"/>
      <c r="P16" s="47"/>
    </row>
    <row r="17" spans="1:16" x14ac:dyDescent="0.25">
      <c r="A17" s="46" t="s">
        <v>63</v>
      </c>
      <c r="B17" s="47">
        <f t="shared" si="0"/>
        <v>762857</v>
      </c>
      <c r="C17" s="106">
        <v>118837</v>
      </c>
      <c r="D17" s="106">
        <v>118837</v>
      </c>
      <c r="E17" s="106">
        <v>118837</v>
      </c>
      <c r="F17" s="106">
        <v>118837</v>
      </c>
      <c r="G17" s="106">
        <v>118837</v>
      </c>
      <c r="H17" s="106">
        <v>118837</v>
      </c>
      <c r="I17" s="106">
        <v>49835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47"/>
      <c r="P17" s="47"/>
    </row>
    <row r="18" spans="1:16" x14ac:dyDescent="0.25">
      <c r="A18" s="46" t="s">
        <v>64</v>
      </c>
      <c r="B18" s="47">
        <f t="shared" si="0"/>
        <v>762857</v>
      </c>
      <c r="C18" s="106">
        <v>118837</v>
      </c>
      <c r="D18" s="106">
        <v>118837</v>
      </c>
      <c r="E18" s="106">
        <v>118837</v>
      </c>
      <c r="F18" s="106">
        <v>118837</v>
      </c>
      <c r="G18" s="106">
        <v>118837</v>
      </c>
      <c r="H18" s="106">
        <v>118837</v>
      </c>
      <c r="I18" s="106">
        <v>49835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47"/>
      <c r="P18" s="47"/>
    </row>
    <row r="19" spans="1:16" x14ac:dyDescent="0.2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x14ac:dyDescent="0.25">
      <c r="A20" s="46" t="s">
        <v>65</v>
      </c>
      <c r="B20" s="47">
        <f>+B13+B15</f>
        <v>443295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x14ac:dyDescent="0.25">
      <c r="A21" s="46" t="s">
        <v>66</v>
      </c>
      <c r="B21" s="48">
        <f>+B14+B16</f>
        <v>319562</v>
      </c>
    </row>
    <row r="22" spans="1:16" ht="15.75" thickBot="1" x14ac:dyDescent="0.3">
      <c r="B22" s="107">
        <f>+B20+B21-B17</f>
        <v>0</v>
      </c>
      <c r="C22" s="108" t="s">
        <v>92</v>
      </c>
    </row>
    <row r="23" spans="1:16" ht="15.75" thickTop="1" x14ac:dyDescent="0.25">
      <c r="D23" s="49"/>
    </row>
    <row r="24" spans="1:16" x14ac:dyDescent="0.25">
      <c r="D24" s="4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"/>
  <sheetViews>
    <sheetView zoomScaleNormal="100" workbookViewId="0">
      <pane xSplit="3" ySplit="6" topLeftCell="D7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defaultColWidth="9.140625" defaultRowHeight="15" x14ac:dyDescent="0.25"/>
  <cols>
    <col min="1" max="1" width="4.7109375" style="50" bestFit="1" customWidth="1"/>
    <col min="2" max="2" width="41.5703125" style="50" customWidth="1"/>
    <col min="3" max="3" width="25.140625" style="50" customWidth="1"/>
    <col min="4" max="4" width="14.7109375" style="50" customWidth="1"/>
    <col min="5" max="5" width="2.7109375" style="50" customWidth="1"/>
    <col min="6" max="6" width="11.5703125" style="50" bestFit="1" customWidth="1"/>
    <col min="7" max="7" width="2.7109375" style="50" customWidth="1"/>
    <col min="8" max="8" width="12.5703125" style="50" bestFit="1" customWidth="1"/>
    <col min="9" max="9" width="2.7109375" style="50" customWidth="1"/>
    <col min="10" max="10" width="12.5703125" style="50" bestFit="1" customWidth="1"/>
    <col min="11" max="11" width="2.7109375" style="50" customWidth="1"/>
    <col min="12" max="12" width="10" style="50" bestFit="1" customWidth="1"/>
    <col min="13" max="13" width="2.7109375" style="50" customWidth="1"/>
    <col min="14" max="14" width="11.5703125" style="50" bestFit="1" customWidth="1"/>
    <col min="15" max="15" width="2.7109375" style="50" customWidth="1"/>
    <col min="16" max="16" width="11.5703125" style="50" bestFit="1" customWidth="1"/>
    <col min="17" max="17" width="2.7109375" style="50" customWidth="1"/>
    <col min="18" max="18" width="11.5703125" style="50" bestFit="1" customWidth="1"/>
    <col min="19" max="19" width="2.7109375" style="50" customWidth="1"/>
    <col min="20" max="20" width="11.5703125" style="50" bestFit="1" customWidth="1"/>
    <col min="21" max="21" width="2.28515625" style="50" customWidth="1"/>
    <col min="22" max="22" width="11.5703125" style="50" customWidth="1"/>
    <col min="23" max="23" width="2.7109375" style="50" customWidth="1"/>
    <col min="24" max="24" width="11.5703125" style="50" customWidth="1"/>
    <col min="25" max="25" width="2.7109375" style="50" customWidth="1"/>
    <col min="26" max="26" width="11.5703125" style="50" customWidth="1"/>
    <col min="27" max="27" width="2.7109375" style="50" customWidth="1"/>
    <col min="28" max="28" width="11.5703125" style="50" bestFit="1" customWidth="1"/>
    <col min="29" max="29" width="2.7109375" style="50" customWidth="1"/>
    <col min="30" max="30" width="11.5703125" style="50" bestFit="1" customWidth="1"/>
    <col min="31" max="31" width="2.7109375" style="50" customWidth="1"/>
    <col min="32" max="32" width="11.5703125" style="50" bestFit="1" customWidth="1"/>
    <col min="33" max="33" width="2.42578125" style="50" customWidth="1"/>
    <col min="34" max="34" width="11.5703125" style="50" bestFit="1" customWidth="1"/>
    <col min="35" max="35" width="2.42578125" style="50" customWidth="1"/>
    <col min="36" max="36" width="12.5703125" style="50" bestFit="1" customWidth="1"/>
    <col min="37" max="37" width="2.42578125" style="50" customWidth="1"/>
    <col min="38" max="38" width="10.42578125" style="50" customWidth="1"/>
    <col min="39" max="39" width="3.28515625" style="50" customWidth="1"/>
    <col min="40" max="40" width="10.42578125" style="50" customWidth="1"/>
    <col min="41" max="41" width="3.28515625" style="50" customWidth="1"/>
    <col min="42" max="42" width="10.42578125" style="50" customWidth="1"/>
    <col min="43" max="43" width="3.28515625" style="50" customWidth="1"/>
    <col min="44" max="44" width="10.42578125" style="50" customWidth="1"/>
    <col min="45" max="45" width="2.5703125" style="50" customWidth="1"/>
    <col min="46" max="46" width="10.28515625" style="50" bestFit="1" customWidth="1"/>
    <col min="47" max="47" width="2.85546875" style="50" customWidth="1"/>
    <col min="48" max="48" width="10.28515625" style="50" bestFit="1" customWidth="1"/>
    <col min="49" max="16384" width="9.140625" style="50"/>
  </cols>
  <sheetData>
    <row r="1" spans="1:48" ht="18.75" x14ac:dyDescent="0.3">
      <c r="A1" s="95" t="s">
        <v>87</v>
      </c>
    </row>
    <row r="2" spans="1:48" ht="18.75" x14ac:dyDescent="0.3">
      <c r="A2" s="95" t="s">
        <v>86</v>
      </c>
    </row>
    <row r="3" spans="1:48" ht="18.75" x14ac:dyDescent="0.3">
      <c r="A3" s="95"/>
    </row>
    <row r="4" spans="1:48" x14ac:dyDescent="0.25">
      <c r="D4" s="94" t="s">
        <v>85</v>
      </c>
    </row>
    <row r="5" spans="1:48" x14ac:dyDescent="0.25">
      <c r="D5" s="94" t="s">
        <v>84</v>
      </c>
    </row>
    <row r="6" spans="1:48" ht="30" x14ac:dyDescent="0.25">
      <c r="A6" s="51" t="s">
        <v>83</v>
      </c>
      <c r="B6" s="93" t="s">
        <v>82</v>
      </c>
      <c r="C6" s="92" t="s">
        <v>81</v>
      </c>
      <c r="D6" s="88">
        <v>42583</v>
      </c>
      <c r="E6" s="91" t="s">
        <v>11</v>
      </c>
      <c r="F6" s="88">
        <v>42614</v>
      </c>
      <c r="G6" s="90"/>
      <c r="H6" s="88">
        <v>42644</v>
      </c>
      <c r="I6" s="86"/>
      <c r="J6" s="88">
        <v>42675</v>
      </c>
      <c r="K6" s="86"/>
      <c r="L6" s="89">
        <v>42705</v>
      </c>
      <c r="N6" s="89">
        <v>42736</v>
      </c>
      <c r="O6" s="86"/>
      <c r="P6" s="88">
        <v>42767</v>
      </c>
      <c r="Q6" s="86"/>
      <c r="R6" s="88">
        <v>42795</v>
      </c>
      <c r="T6" s="88">
        <v>42826</v>
      </c>
      <c r="V6" s="88">
        <v>42856</v>
      </c>
      <c r="X6" s="88">
        <v>42887</v>
      </c>
      <c r="Z6" s="88">
        <v>42917</v>
      </c>
      <c r="AB6" s="88">
        <v>42948</v>
      </c>
      <c r="AD6" s="88">
        <v>42979</v>
      </c>
      <c r="AF6" s="88">
        <v>43009</v>
      </c>
      <c r="AH6" s="88">
        <v>43040</v>
      </c>
      <c r="AJ6" s="88">
        <v>43070</v>
      </c>
      <c r="AK6" s="88"/>
      <c r="AL6" s="88">
        <v>43101</v>
      </c>
      <c r="AM6" s="88"/>
      <c r="AN6" s="88">
        <v>43132</v>
      </c>
      <c r="AP6" s="88">
        <v>43160</v>
      </c>
      <c r="AR6" s="97">
        <v>43191</v>
      </c>
      <c r="AS6" s="96"/>
      <c r="AT6" s="97">
        <v>43221</v>
      </c>
      <c r="AU6" s="96"/>
      <c r="AV6" s="97">
        <v>43252</v>
      </c>
    </row>
    <row r="7" spans="1:48" x14ac:dyDescent="0.25">
      <c r="B7" s="51"/>
      <c r="D7" s="87"/>
      <c r="E7" s="86"/>
      <c r="F7" s="87"/>
      <c r="G7" s="86"/>
      <c r="H7" s="86"/>
      <c r="I7" s="86"/>
      <c r="J7" s="86"/>
      <c r="K7" s="86"/>
      <c r="O7" s="86"/>
      <c r="P7" s="86"/>
      <c r="Q7" s="86"/>
      <c r="R7" s="86"/>
      <c r="AR7" s="96"/>
      <c r="AS7" s="96"/>
      <c r="AT7" s="96"/>
      <c r="AU7" s="96"/>
      <c r="AV7" s="96"/>
    </row>
    <row r="8" spans="1:48" ht="30" x14ac:dyDescent="0.25">
      <c r="A8" s="52">
        <v>1</v>
      </c>
      <c r="B8" s="62" t="s">
        <v>80</v>
      </c>
      <c r="C8" s="61" t="s">
        <v>78</v>
      </c>
      <c r="D8" s="85">
        <v>23946</v>
      </c>
      <c r="E8" s="85"/>
      <c r="F8" s="85">
        <v>126194</v>
      </c>
      <c r="G8" s="72"/>
      <c r="H8" s="85">
        <v>132511</v>
      </c>
      <c r="I8" s="71"/>
      <c r="J8" s="83">
        <v>143352</v>
      </c>
      <c r="K8" s="71"/>
      <c r="L8" s="83">
        <v>160752</v>
      </c>
      <c r="M8" s="71"/>
      <c r="N8" s="83">
        <v>182532</v>
      </c>
      <c r="O8" s="71"/>
      <c r="P8" s="83">
        <v>179023</v>
      </c>
      <c r="Q8" s="71"/>
      <c r="R8" s="83">
        <v>202140</v>
      </c>
      <c r="S8" s="55"/>
      <c r="T8" s="83">
        <v>191482</v>
      </c>
      <c r="U8" s="55"/>
      <c r="V8" s="83">
        <v>187459</v>
      </c>
      <c r="W8" s="83"/>
      <c r="X8" s="83">
        <v>189600</v>
      </c>
      <c r="Y8" s="83"/>
      <c r="Z8" s="83">
        <v>185367</v>
      </c>
      <c r="AA8" s="55"/>
      <c r="AB8" s="83">
        <v>195051</v>
      </c>
      <c r="AC8" s="55"/>
      <c r="AD8" s="83">
        <v>196928</v>
      </c>
      <c r="AE8" s="55"/>
      <c r="AF8" s="83">
        <v>199987</v>
      </c>
      <c r="AG8" s="55"/>
      <c r="AH8" s="83">
        <v>194947</v>
      </c>
      <c r="AI8" s="55"/>
      <c r="AJ8" s="83">
        <v>218296</v>
      </c>
      <c r="AK8" s="83"/>
      <c r="AL8" s="84">
        <v>237439</v>
      </c>
      <c r="AM8" s="83"/>
      <c r="AN8" s="83">
        <v>225716</v>
      </c>
      <c r="AO8" s="55"/>
      <c r="AP8" s="83">
        <v>248267</v>
      </c>
      <c r="AQ8" s="55"/>
      <c r="AR8" s="98">
        <v>244049</v>
      </c>
      <c r="AS8" s="99"/>
      <c r="AT8" s="98">
        <v>242226</v>
      </c>
      <c r="AU8" s="99"/>
      <c r="AV8" s="98">
        <v>229464</v>
      </c>
    </row>
    <row r="9" spans="1:48" ht="30" x14ac:dyDescent="0.25">
      <c r="A9" s="52">
        <v>2</v>
      </c>
      <c r="B9" s="62" t="s">
        <v>79</v>
      </c>
      <c r="C9" s="61" t="s">
        <v>78</v>
      </c>
      <c r="D9" s="81">
        <v>29964.81</v>
      </c>
      <c r="E9" s="81"/>
      <c r="F9" s="81">
        <v>159305.81425999998</v>
      </c>
      <c r="G9" s="82"/>
      <c r="H9" s="81">
        <v>156125.51</v>
      </c>
      <c r="I9" s="80"/>
      <c r="J9" s="78">
        <v>183892.25</v>
      </c>
      <c r="K9" s="82"/>
      <c r="L9" s="81">
        <v>216315.13</v>
      </c>
      <c r="M9" s="80"/>
      <c r="N9" s="78">
        <v>264299.12</v>
      </c>
      <c r="O9" s="80"/>
      <c r="P9" s="78">
        <v>272703.65000000002</v>
      </c>
      <c r="Q9" s="80"/>
      <c r="R9" s="78">
        <v>296554.26</v>
      </c>
      <c r="S9" s="55"/>
      <c r="T9" s="78">
        <v>260579.98</v>
      </c>
      <c r="U9" s="55"/>
      <c r="V9" s="78">
        <v>257670.02</v>
      </c>
      <c r="W9" s="78"/>
      <c r="X9" s="78">
        <v>244722.91999999998</v>
      </c>
      <c r="Y9" s="78"/>
      <c r="Z9" s="78">
        <v>223656.32000000001</v>
      </c>
      <c r="AA9" s="55"/>
      <c r="AB9" s="78">
        <v>247544.82</v>
      </c>
      <c r="AC9" s="55"/>
      <c r="AD9" s="78">
        <v>244979.76</v>
      </c>
      <c r="AE9" s="55"/>
      <c r="AF9" s="78">
        <v>258368.83</v>
      </c>
      <c r="AG9" s="55"/>
      <c r="AH9" s="78">
        <v>256907.12</v>
      </c>
      <c r="AI9" s="55"/>
      <c r="AJ9" s="78">
        <v>291312.19</v>
      </c>
      <c r="AK9" s="78"/>
      <c r="AL9" s="79">
        <v>356480.23</v>
      </c>
      <c r="AM9" s="78"/>
      <c r="AN9" s="78">
        <v>377634.21</v>
      </c>
      <c r="AO9" s="55"/>
      <c r="AP9" s="78">
        <v>397901.06</v>
      </c>
      <c r="AQ9" s="55"/>
      <c r="AR9" s="100">
        <v>376559.59</v>
      </c>
      <c r="AS9" s="99"/>
      <c r="AT9" s="100">
        <v>357661.16</v>
      </c>
      <c r="AU9" s="99"/>
      <c r="AV9" s="100">
        <v>318920.62</v>
      </c>
    </row>
    <row r="10" spans="1:48" x14ac:dyDescent="0.25">
      <c r="A10" s="52">
        <v>3</v>
      </c>
      <c r="B10" s="55" t="s">
        <v>77</v>
      </c>
      <c r="C10" s="61" t="s">
        <v>76</v>
      </c>
      <c r="D10" s="76">
        <f>D9/D8</f>
        <v>1.25134928589326</v>
      </c>
      <c r="E10" s="76"/>
      <c r="F10" s="76">
        <f>F9/F8</f>
        <v>1.2623881821639695</v>
      </c>
      <c r="G10" s="76"/>
      <c r="H10" s="76">
        <f>H9/H8</f>
        <v>1.1782079223611626</v>
      </c>
      <c r="I10" s="77"/>
      <c r="J10" s="76">
        <f>J9/J8</f>
        <v>1.2828021234443887</v>
      </c>
      <c r="K10" s="76"/>
      <c r="L10" s="76">
        <f>L9/L8</f>
        <v>1.3456450308549817</v>
      </c>
      <c r="M10" s="77"/>
      <c r="N10" s="76">
        <f>N9/N8</f>
        <v>1.4479604672057502</v>
      </c>
      <c r="O10" s="77"/>
      <c r="P10" s="76">
        <f>+P9/P8</f>
        <v>1.5232883484245043</v>
      </c>
      <c r="Q10" s="77"/>
      <c r="R10" s="76">
        <f>+R9/R8</f>
        <v>1.4670736123478778</v>
      </c>
      <c r="S10" s="55"/>
      <c r="T10" s="76">
        <f>+T9/T8</f>
        <v>1.360858879685819</v>
      </c>
      <c r="U10" s="55"/>
      <c r="V10" s="76">
        <f>+V9/V8</f>
        <v>1.3745406728938061</v>
      </c>
      <c r="W10" s="55"/>
      <c r="X10" s="76">
        <f>+X9/X8</f>
        <v>1.2907327004219409</v>
      </c>
      <c r="Y10" s="55"/>
      <c r="Z10" s="76">
        <f>+Z9/Z8</f>
        <v>1.2065595278555514</v>
      </c>
      <c r="AA10" s="55"/>
      <c r="AB10" s="76">
        <f>+AB9/AB8</f>
        <v>1.2691286894196903</v>
      </c>
      <c r="AC10" s="55"/>
      <c r="AD10" s="76">
        <f>+AD9/AD8</f>
        <v>1.2440067435814106</v>
      </c>
      <c r="AE10" s="55"/>
      <c r="AF10" s="76">
        <f>+AF9/AF8</f>
        <v>1.2919281253281463</v>
      </c>
      <c r="AG10" s="55"/>
      <c r="AH10" s="76">
        <f>+AH9/AH8</f>
        <v>1.3178305898526266</v>
      </c>
      <c r="AI10" s="55"/>
      <c r="AJ10" s="76">
        <f>+AJ9/AJ8</f>
        <v>1.3344824916626965</v>
      </c>
      <c r="AK10" s="76"/>
      <c r="AL10" s="75">
        <f>+AL9/AL8</f>
        <v>1.5013550006527991</v>
      </c>
      <c r="AM10" s="76"/>
      <c r="AN10" s="75">
        <f>+AN9/AN8</f>
        <v>1.6730502489854508</v>
      </c>
      <c r="AO10" s="55"/>
      <c r="AP10" s="75">
        <f>+AP9/AP8</f>
        <v>1.6027142552171654</v>
      </c>
      <c r="AQ10" s="55"/>
      <c r="AR10" s="101">
        <f>+AR9/AR8</f>
        <v>1.5429671500395414</v>
      </c>
      <c r="AS10" s="99"/>
      <c r="AT10" s="101">
        <f>+AT9/AT8</f>
        <v>1.4765597417287986</v>
      </c>
      <c r="AU10" s="99"/>
      <c r="AV10" s="101">
        <f>+AV9/AV8</f>
        <v>1.3898503468953736</v>
      </c>
    </row>
    <row r="11" spans="1:48" x14ac:dyDescent="0.25">
      <c r="A11" s="52">
        <v>4</v>
      </c>
      <c r="B11" s="74" t="s">
        <v>75</v>
      </c>
      <c r="C11" s="61" t="s">
        <v>74</v>
      </c>
      <c r="D11" s="73">
        <v>1400912</v>
      </c>
      <c r="E11" s="72"/>
      <c r="F11" s="73">
        <v>1279402</v>
      </c>
      <c r="G11" s="72"/>
      <c r="H11" s="72">
        <v>1354926</v>
      </c>
      <c r="I11" s="71"/>
      <c r="J11" s="70">
        <v>1332449</v>
      </c>
      <c r="K11" s="72"/>
      <c r="L11" s="72">
        <v>1403074</v>
      </c>
      <c r="M11" s="71"/>
      <c r="N11" s="70">
        <v>1427564</v>
      </c>
      <c r="O11" s="71"/>
      <c r="P11" s="70">
        <v>1322301</v>
      </c>
      <c r="Q11" s="71"/>
      <c r="R11" s="70">
        <v>1506273</v>
      </c>
      <c r="S11" s="55"/>
      <c r="T11" s="67">
        <v>1333677</v>
      </c>
      <c r="U11" s="55"/>
      <c r="V11" s="67">
        <v>1433349</v>
      </c>
      <c r="W11" s="55"/>
      <c r="X11" s="67">
        <v>1419113</v>
      </c>
      <c r="Y11" s="55"/>
      <c r="Z11" s="67">
        <v>1328743</v>
      </c>
      <c r="AA11" s="55"/>
      <c r="AB11" s="67">
        <v>1476323</v>
      </c>
      <c r="AC11" s="55"/>
      <c r="AD11" s="67">
        <v>1321889</v>
      </c>
      <c r="AE11" s="55"/>
      <c r="AF11" s="69">
        <v>1421467</v>
      </c>
      <c r="AG11" s="55"/>
      <c r="AH11" s="67">
        <v>1311121</v>
      </c>
      <c r="AI11" s="55"/>
      <c r="AJ11" s="67">
        <v>1391902</v>
      </c>
      <c r="AK11" s="67"/>
      <c r="AL11" s="68">
        <v>1511292</v>
      </c>
      <c r="AM11" s="67"/>
      <c r="AN11" s="67">
        <v>1330514</v>
      </c>
      <c r="AO11" s="55"/>
      <c r="AP11" s="67">
        <v>1482084</v>
      </c>
      <c r="AQ11" s="55"/>
      <c r="AR11" s="102">
        <v>1423430</v>
      </c>
      <c r="AS11" s="99"/>
      <c r="AT11" s="102">
        <v>1462832</v>
      </c>
      <c r="AU11" s="99"/>
      <c r="AV11" s="102">
        <v>1390158</v>
      </c>
    </row>
    <row r="12" spans="1:48" ht="30" x14ac:dyDescent="0.25">
      <c r="A12" s="52">
        <v>5</v>
      </c>
      <c r="B12" s="62" t="s">
        <v>73</v>
      </c>
      <c r="C12" s="61" t="s">
        <v>72</v>
      </c>
      <c r="D12" s="64">
        <f>D8/D11</f>
        <v>1.7093150747513049E-2</v>
      </c>
      <c r="E12" s="64"/>
      <c r="F12" s="64">
        <f>F8/F11</f>
        <v>9.8635143606153497E-2</v>
      </c>
      <c r="G12" s="66"/>
      <c r="H12" s="64">
        <f>H8/H11</f>
        <v>9.7799437017224558E-2</v>
      </c>
      <c r="I12" s="65"/>
      <c r="J12" s="64">
        <f>J8/J11</f>
        <v>0.10758535598735862</v>
      </c>
      <c r="K12" s="66"/>
      <c r="L12" s="64">
        <f>+L8/L11</f>
        <v>0.1145712913217692</v>
      </c>
      <c r="M12" s="65"/>
      <c r="N12" s="64">
        <f>+N8/N11</f>
        <v>0.12786256868343557</v>
      </c>
      <c r="O12" s="65"/>
      <c r="P12" s="64">
        <f>+P8/P11</f>
        <v>0.13538747985519181</v>
      </c>
      <c r="Q12" s="65"/>
      <c r="R12" s="64">
        <f>+R8/R11</f>
        <v>0.13419878069911628</v>
      </c>
      <c r="S12" s="55"/>
      <c r="T12" s="64">
        <f>+T8/T11</f>
        <v>0.14357449367425545</v>
      </c>
      <c r="U12" s="55"/>
      <c r="V12" s="64">
        <f>+V8/V11</f>
        <v>0.13078391933855607</v>
      </c>
      <c r="W12" s="55"/>
      <c r="X12" s="64">
        <f>+X8/X11</f>
        <v>0.13360458258080929</v>
      </c>
      <c r="Y12" s="55"/>
      <c r="Z12" s="64">
        <f>+Z8/Z11</f>
        <v>0.13950553267260862</v>
      </c>
      <c r="AA12" s="55"/>
      <c r="AB12" s="64">
        <f>+AB8/AB11</f>
        <v>0.13211946166252236</v>
      </c>
      <c r="AC12" s="55"/>
      <c r="AD12" s="64">
        <f>+AD8/AD11</f>
        <v>0.14897468698203858</v>
      </c>
      <c r="AE12" s="55"/>
      <c r="AF12" s="64">
        <f>+AF8/AF11</f>
        <v>0.14069056826503887</v>
      </c>
      <c r="AG12" s="55"/>
      <c r="AH12" s="64">
        <f>+AH8/AH11</f>
        <v>0.14868726837568769</v>
      </c>
      <c r="AI12" s="55"/>
      <c r="AJ12" s="64">
        <f>+AJ8/AJ11</f>
        <v>0.15683288047578062</v>
      </c>
      <c r="AK12" s="64"/>
      <c r="AL12" s="63">
        <f>+AL8/AL11</f>
        <v>0.1571099430156449</v>
      </c>
      <c r="AM12" s="64"/>
      <c r="AN12" s="63">
        <f>+AN8/AN11</f>
        <v>0.16964571586619909</v>
      </c>
      <c r="AO12" s="55"/>
      <c r="AP12" s="63">
        <f>+AP8/AP11</f>
        <v>0.16751209782981261</v>
      </c>
      <c r="AQ12" s="55"/>
      <c r="AR12" s="103">
        <f>+AR8/AR11</f>
        <v>0.17145135342096204</v>
      </c>
      <c r="AS12" s="99"/>
      <c r="AT12" s="103">
        <f>+AT8/AT11</f>
        <v>0.16558702571450445</v>
      </c>
      <c r="AU12" s="99"/>
      <c r="AV12" s="103">
        <f>+AV8/AV11</f>
        <v>0.16506325180303247</v>
      </c>
    </row>
    <row r="13" spans="1:48" ht="28.5" customHeight="1" x14ac:dyDescent="0.25">
      <c r="A13" s="52">
        <v>6</v>
      </c>
      <c r="B13" s="62" t="s">
        <v>71</v>
      </c>
      <c r="C13" s="61" t="s">
        <v>70</v>
      </c>
      <c r="D13" s="60">
        <f>D9</f>
        <v>29964.81</v>
      </c>
      <c r="E13" s="60"/>
      <c r="F13" s="60">
        <f>D13+F9</f>
        <v>189270.62425999998</v>
      </c>
      <c r="G13" s="60"/>
      <c r="H13" s="60">
        <f>F13+H9</f>
        <v>345396.13425999996</v>
      </c>
      <c r="I13" s="59"/>
      <c r="J13" s="57">
        <f>H13+J9</f>
        <v>529288.38425999996</v>
      </c>
      <c r="K13" s="60"/>
      <c r="L13" s="60">
        <f>+J13+L9</f>
        <v>745603.51425999997</v>
      </c>
      <c r="M13" s="59"/>
      <c r="N13" s="60">
        <f>+L13+N9</f>
        <v>1009902.63426</v>
      </c>
      <c r="O13" s="59"/>
      <c r="P13" s="57">
        <f>+N13+P9</f>
        <v>1282606.2842600001</v>
      </c>
      <c r="Q13" s="59"/>
      <c r="R13" s="57">
        <f>+P13+R9</f>
        <v>1579160.5442600001</v>
      </c>
      <c r="S13" s="55"/>
      <c r="T13" s="57">
        <f>+R13+T9</f>
        <v>1839740.5242600001</v>
      </c>
      <c r="U13" s="55"/>
      <c r="V13" s="57">
        <f>+T13+V9</f>
        <v>2097410.5442599999</v>
      </c>
      <c r="W13" s="55"/>
      <c r="X13" s="57">
        <f>+V13+X9</f>
        <v>2342133.4642599998</v>
      </c>
      <c r="Y13" s="55"/>
      <c r="Z13" s="57">
        <f>+X13+Z9</f>
        <v>2565789.7842599996</v>
      </c>
      <c r="AA13" s="55"/>
      <c r="AB13" s="57">
        <f>+Z13+AB9</f>
        <v>2813334.6042599995</v>
      </c>
      <c r="AC13" s="55"/>
      <c r="AD13" s="57">
        <f>+AB13+AD9</f>
        <v>3058314.3642599992</v>
      </c>
      <c r="AE13" s="55"/>
      <c r="AF13" s="57">
        <f>+AD13+AF9</f>
        <v>3316683.1942599993</v>
      </c>
      <c r="AG13" s="55"/>
      <c r="AH13" s="57">
        <f>+AF13+AH9</f>
        <v>3573590.3142599994</v>
      </c>
      <c r="AI13" s="55"/>
      <c r="AJ13" s="58">
        <v>3770208</v>
      </c>
      <c r="AK13" s="57"/>
      <c r="AL13" s="56" t="s">
        <v>69</v>
      </c>
      <c r="AM13" s="57"/>
      <c r="AN13" s="56" t="s">
        <v>69</v>
      </c>
      <c r="AO13" s="55"/>
      <c r="AP13" s="56" t="s">
        <v>69</v>
      </c>
      <c r="AQ13" s="55"/>
      <c r="AR13" s="104" t="s">
        <v>69</v>
      </c>
      <c r="AS13" s="99"/>
      <c r="AT13" s="104" t="s">
        <v>69</v>
      </c>
      <c r="AU13" s="99"/>
      <c r="AV13" s="104" t="s">
        <v>69</v>
      </c>
    </row>
    <row r="14" spans="1:48" x14ac:dyDescent="0.25">
      <c r="C14" s="54"/>
    </row>
    <row r="15" spans="1:48" x14ac:dyDescent="0.25">
      <c r="C15" s="54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x14ac:dyDescent="0.25">
      <c r="B16" s="50" t="s">
        <v>68</v>
      </c>
      <c r="C16" s="54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2:48" x14ac:dyDescent="0.25">
      <c r="B17" s="53" t="s">
        <v>94</v>
      </c>
      <c r="C17" s="52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2:48" x14ac:dyDescent="0.25">
      <c r="B18" s="53"/>
      <c r="C18" s="52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</sheetData>
  <pageMargins left="0.7" right="0.7" top="0.75" bottom="0.75" header="0.3" footer="0.3"/>
  <pageSetup scale="33" orientation="landscape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"/>
  <sheetViews>
    <sheetView workbookViewId="0">
      <selection activeCell="C20" sqref="C20"/>
    </sheetView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L31" sqref="L31"/>
    </sheetView>
  </sheetViews>
  <sheetFormatPr defaultColWidth="9.140625" defaultRowHeight="15" x14ac:dyDescent="0.25"/>
  <cols>
    <col min="1" max="1" width="14.42578125" style="26" customWidth="1"/>
    <col min="2" max="2" width="15.28515625" style="26" customWidth="1"/>
    <col min="3" max="3" width="13.85546875" style="26" bestFit="1" customWidth="1"/>
    <col min="4" max="4" width="13.28515625" style="26" bestFit="1" customWidth="1"/>
    <col min="5" max="5" width="14.28515625" style="26" bestFit="1" customWidth="1"/>
    <col min="6" max="6" width="4.28515625" style="33" customWidth="1"/>
    <col min="7" max="7" width="14.28515625" style="26" bestFit="1" customWidth="1"/>
    <col min="8" max="16384" width="9.140625" style="26"/>
  </cols>
  <sheetData>
    <row r="1" spans="1:7" x14ac:dyDescent="0.25">
      <c r="A1" s="110" t="s">
        <v>17</v>
      </c>
    </row>
    <row r="2" spans="1:7" x14ac:dyDescent="0.25">
      <c r="A2" s="110" t="s">
        <v>93</v>
      </c>
    </row>
    <row r="4" spans="1:7" x14ac:dyDescent="0.25">
      <c r="G4" s="31" t="s">
        <v>24</v>
      </c>
    </row>
    <row r="5" spans="1:7" x14ac:dyDescent="0.25">
      <c r="G5" s="31" t="s">
        <v>25</v>
      </c>
    </row>
    <row r="6" spans="1:7" x14ac:dyDescent="0.25">
      <c r="E6" s="31" t="s">
        <v>16</v>
      </c>
      <c r="G6" s="31" t="s">
        <v>26</v>
      </c>
    </row>
    <row r="7" spans="1:7" x14ac:dyDescent="0.25">
      <c r="C7" s="32" t="s">
        <v>19</v>
      </c>
      <c r="D7" s="32" t="s">
        <v>20</v>
      </c>
      <c r="E7" s="32" t="s">
        <v>23</v>
      </c>
      <c r="G7" s="32">
        <v>2018</v>
      </c>
    </row>
    <row r="8" spans="1:7" x14ac:dyDescent="0.25">
      <c r="E8" s="34"/>
      <c r="G8" s="34"/>
    </row>
    <row r="9" spans="1:7" x14ac:dyDescent="0.25">
      <c r="A9" s="40" t="s">
        <v>9</v>
      </c>
      <c r="B9" s="37">
        <v>0.58109999999999995</v>
      </c>
      <c r="C9" s="36">
        <f>C22*$B$9</f>
        <v>428988.99900995631</v>
      </c>
      <c r="D9" s="36">
        <f>D22*$B$9</f>
        <v>2057042.0379056488</v>
      </c>
      <c r="E9" s="36">
        <f>E22*$B$9</f>
        <v>2486031.0369156054</v>
      </c>
      <c r="G9" s="36">
        <f>G22*B9</f>
        <v>2476040.8475628183</v>
      </c>
    </row>
    <row r="10" spans="1:7" x14ac:dyDescent="0.25">
      <c r="A10" s="40" t="s">
        <v>10</v>
      </c>
      <c r="B10" s="37">
        <v>0.41889999999999999</v>
      </c>
      <c r="C10" s="35">
        <f>C22*$B$10</f>
        <v>309247.10322710499</v>
      </c>
      <c r="D10" s="35">
        <f>D22*$B$10</f>
        <v>1482868.5418665914</v>
      </c>
      <c r="E10" s="35">
        <f>E22*$B$10</f>
        <v>1792115.6450936967</v>
      </c>
      <c r="G10" s="35">
        <f>G22*B10</f>
        <v>1784913.9752952412</v>
      </c>
    </row>
    <row r="11" spans="1:7" x14ac:dyDescent="0.25">
      <c r="C11" s="38"/>
      <c r="D11" s="38"/>
      <c r="E11" s="38"/>
      <c r="G11" s="38"/>
    </row>
    <row r="12" spans="1:7" ht="15.75" thickBot="1" x14ac:dyDescent="0.3">
      <c r="C12" s="39">
        <f>SUM(C9:C11)</f>
        <v>738236.10223706136</v>
      </c>
      <c r="D12" s="39">
        <f>SUM(D9:D11)</f>
        <v>3539910.5797722405</v>
      </c>
      <c r="E12" s="39">
        <f>SUM(E9:E11)</f>
        <v>4278146.6820093021</v>
      </c>
      <c r="G12" s="39">
        <f>SUM(G9:G10)</f>
        <v>4260954.8228580598</v>
      </c>
    </row>
    <row r="13" spans="1:7" ht="15.75" thickTop="1" x14ac:dyDescent="0.25"/>
    <row r="15" spans="1:7" x14ac:dyDescent="0.25">
      <c r="F15" s="26"/>
      <c r="G15" s="31" t="s">
        <v>24</v>
      </c>
    </row>
    <row r="16" spans="1:7" x14ac:dyDescent="0.25">
      <c r="G16" s="31" t="s">
        <v>25</v>
      </c>
    </row>
    <row r="17" spans="1:7" x14ac:dyDescent="0.25">
      <c r="E17" s="31" t="s">
        <v>16</v>
      </c>
      <c r="F17" s="34"/>
      <c r="G17" s="31" t="s">
        <v>26</v>
      </c>
    </row>
    <row r="18" spans="1:7" x14ac:dyDescent="0.25">
      <c r="C18" s="32" t="s">
        <v>19</v>
      </c>
      <c r="D18" s="32" t="s">
        <v>20</v>
      </c>
      <c r="E18" s="32" t="s">
        <v>23</v>
      </c>
      <c r="F18" s="34"/>
      <c r="G18" s="32">
        <v>2018</v>
      </c>
    </row>
    <row r="19" spans="1:7" x14ac:dyDescent="0.25">
      <c r="A19" s="26" t="s">
        <v>15</v>
      </c>
    </row>
    <row r="20" spans="1:7" x14ac:dyDescent="0.25">
      <c r="A20" s="27" t="s">
        <v>18</v>
      </c>
      <c r="B20" s="27"/>
      <c r="C20" s="41">
        <f>'Estimate used in 180282&amp;3'!A18</f>
        <v>1.26</v>
      </c>
      <c r="D20" s="41">
        <f>C20</f>
        <v>1.26</v>
      </c>
      <c r="E20" s="41">
        <f>D20</f>
        <v>1.26</v>
      </c>
      <c r="F20" s="29"/>
      <c r="G20" s="41">
        <f>E20</f>
        <v>1.26</v>
      </c>
    </row>
    <row r="21" spans="1:7" x14ac:dyDescent="0.25">
      <c r="A21" s="27" t="s">
        <v>22</v>
      </c>
      <c r="B21" s="27"/>
      <c r="C21" s="28">
        <f>'Estimate used in 180282&amp;3'!B7</f>
        <v>585901.66844211216</v>
      </c>
      <c r="D21" s="28">
        <f>'Estimate used in 180282&amp;3'!B8</f>
        <v>2809452.8410890796</v>
      </c>
      <c r="E21" s="28">
        <f>SUM(C21:D21)</f>
        <v>3395354.5095311916</v>
      </c>
      <c r="F21" s="35"/>
      <c r="G21" s="28">
        <f>'Estimate used in 180282&amp;3'!B9</f>
        <v>3381710.1768714758</v>
      </c>
    </row>
    <row r="22" spans="1:7" ht="15.75" thickBot="1" x14ac:dyDescent="0.3">
      <c r="A22" s="26" t="s">
        <v>21</v>
      </c>
      <c r="C22" s="30">
        <f>C20*C21</f>
        <v>738236.10223706136</v>
      </c>
      <c r="D22" s="30">
        <f>D20*D21</f>
        <v>3539910.5797722405</v>
      </c>
      <c r="E22" s="30">
        <f>SUM(C22:D22)</f>
        <v>4278146.6820093021</v>
      </c>
      <c r="F22" s="36"/>
      <c r="G22" s="30">
        <f>G20*G21</f>
        <v>4260954.8228580598</v>
      </c>
    </row>
    <row r="23" spans="1:7" ht="15.75" thickTop="1" x14ac:dyDescent="0.25">
      <c r="E23" s="31" t="s">
        <v>32</v>
      </c>
    </row>
    <row r="24" spans="1:7" x14ac:dyDescent="0.25">
      <c r="E24" s="31" t="s">
        <v>31</v>
      </c>
    </row>
    <row r="25" spans="1:7" x14ac:dyDescent="0.25">
      <c r="E25" s="31" t="s">
        <v>27</v>
      </c>
    </row>
    <row r="26" spans="1:7" x14ac:dyDescent="0.25">
      <c r="E26" s="31" t="s">
        <v>28</v>
      </c>
    </row>
    <row r="27" spans="1:7" x14ac:dyDescent="0.25">
      <c r="D27" s="175"/>
      <c r="E27" s="31" t="s">
        <v>29</v>
      </c>
    </row>
    <row r="28" spans="1:7" x14ac:dyDescent="0.25">
      <c r="D28" s="175"/>
      <c r="E28" s="31" t="s">
        <v>30</v>
      </c>
    </row>
    <row r="29" spans="1:7" x14ac:dyDescent="0.25">
      <c r="D29" s="175"/>
    </row>
    <row r="30" spans="1:7" x14ac:dyDescent="0.25">
      <c r="D30" s="174"/>
    </row>
    <row r="31" spans="1:7" x14ac:dyDescent="0.25">
      <c r="D31" s="109"/>
    </row>
    <row r="32" spans="1:7" x14ac:dyDescent="0.25">
      <c r="D32" s="109"/>
    </row>
    <row r="33" spans="3:5" x14ac:dyDescent="0.25">
      <c r="D33" s="109"/>
    </row>
    <row r="34" spans="3:5" x14ac:dyDescent="0.25">
      <c r="D34" s="109"/>
    </row>
    <row r="35" spans="3:5" x14ac:dyDescent="0.25">
      <c r="D35" s="109"/>
    </row>
    <row r="36" spans="3:5" x14ac:dyDescent="0.25">
      <c r="D36" s="109"/>
    </row>
    <row r="37" spans="3:5" x14ac:dyDescent="0.25">
      <c r="D37" s="109"/>
    </row>
    <row r="38" spans="3:5" x14ac:dyDescent="0.25">
      <c r="D38" s="109"/>
    </row>
    <row r="39" spans="3:5" x14ac:dyDescent="0.25">
      <c r="D39" s="109"/>
    </row>
    <row r="40" spans="3:5" x14ac:dyDescent="0.25">
      <c r="D40" s="109"/>
    </row>
    <row r="41" spans="3:5" x14ac:dyDescent="0.25">
      <c r="D41" s="109"/>
    </row>
    <row r="42" spans="3:5" x14ac:dyDescent="0.25">
      <c r="D42" s="109"/>
    </row>
    <row r="43" spans="3:5" x14ac:dyDescent="0.25">
      <c r="D43" s="109"/>
    </row>
    <row r="44" spans="3:5" x14ac:dyDescent="0.25">
      <c r="D44" s="109"/>
    </row>
    <row r="45" spans="3:5" x14ac:dyDescent="0.25">
      <c r="D45" s="109"/>
    </row>
    <row r="46" spans="3:5" x14ac:dyDescent="0.25">
      <c r="D46" s="109"/>
    </row>
    <row r="47" spans="3:5" x14ac:dyDescent="0.25">
      <c r="C47"/>
      <c r="D47"/>
      <c r="E47"/>
    </row>
    <row r="48" spans="3:5" x14ac:dyDescent="0.25">
      <c r="C48"/>
      <c r="D48"/>
      <c r="E48"/>
    </row>
    <row r="49" spans="3:5" x14ac:dyDescent="0.25">
      <c r="C49"/>
      <c r="D49"/>
      <c r="E49"/>
    </row>
    <row r="50" spans="3:5" x14ac:dyDescent="0.25">
      <c r="C50"/>
      <c r="D50"/>
      <c r="E50"/>
    </row>
    <row r="51" spans="3:5" x14ac:dyDescent="0.25">
      <c r="C51"/>
      <c r="D51"/>
      <c r="E51"/>
    </row>
    <row r="52" spans="3:5" x14ac:dyDescent="0.25">
      <c r="C52"/>
      <c r="D52"/>
      <c r="E52"/>
    </row>
    <row r="53" spans="3:5" x14ac:dyDescent="0.25">
      <c r="C53"/>
      <c r="D53"/>
      <c r="E53"/>
    </row>
    <row r="54" spans="3:5" x14ac:dyDescent="0.25">
      <c r="C54"/>
      <c r="D54"/>
      <c r="E54"/>
    </row>
    <row r="55" spans="3:5" x14ac:dyDescent="0.25">
      <c r="C55"/>
      <c r="D55"/>
      <c r="E55"/>
    </row>
    <row r="56" spans="3:5" x14ac:dyDescent="0.25">
      <c r="C56"/>
      <c r="D56"/>
      <c r="E56"/>
    </row>
    <row r="57" spans="3:5" x14ac:dyDescent="0.25">
      <c r="C57"/>
      <c r="D57"/>
      <c r="E57"/>
    </row>
    <row r="58" spans="3:5" x14ac:dyDescent="0.25">
      <c r="C58"/>
      <c r="D58"/>
      <c r="E58"/>
    </row>
    <row r="59" spans="3:5" x14ac:dyDescent="0.25">
      <c r="C59"/>
      <c r="D59"/>
      <c r="E59"/>
    </row>
    <row r="60" spans="3:5" x14ac:dyDescent="0.25">
      <c r="C60"/>
      <c r="D60"/>
      <c r="E60"/>
    </row>
    <row r="61" spans="3:5" x14ac:dyDescent="0.25">
      <c r="C61"/>
      <c r="D61"/>
      <c r="E6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1A59704-C5BE-4851-8D4B-03382ED2A564}"/>
</file>

<file path=customXml/itemProps2.xml><?xml version="1.0" encoding="utf-8"?>
<ds:datastoreItem xmlns:ds="http://schemas.openxmlformats.org/officeDocument/2006/customXml" ds:itemID="{85AA964C-62E8-4171-8D8E-91841176E15F}"/>
</file>

<file path=customXml/itemProps3.xml><?xml version="1.0" encoding="utf-8"?>
<ds:datastoreItem xmlns:ds="http://schemas.openxmlformats.org/officeDocument/2006/customXml" ds:itemID="{1A56EFF1-4884-49DC-B163-F878F5A0DF46}"/>
</file>

<file path=customXml/itemProps4.xml><?xml version="1.0" encoding="utf-8"?>
<ds:datastoreItem xmlns:ds="http://schemas.openxmlformats.org/officeDocument/2006/customXml" ds:itemID="{E2D30F87-F0A6-42BB-A55B-608A884376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Lead E</vt:lpstr>
      <vt:lpstr>Lead G</vt:lpstr>
      <vt:lpstr>For ERF ===&gt;</vt:lpstr>
      <vt:lpstr>Annualize Costs</vt:lpstr>
      <vt:lpstr>Test Year Info ===&gt;</vt:lpstr>
      <vt:lpstr>Test Year Dfrl Amort</vt:lpstr>
      <vt:lpstr>Actual Costs</vt:lpstr>
      <vt:lpstr>From 180282&amp;3 ===&gt;</vt:lpstr>
      <vt:lpstr>Deferral in 180282&amp;3</vt:lpstr>
      <vt:lpstr>Estimate used in 180282&amp;3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2018-05-15T18:51:21Z</cp:lastPrinted>
  <dcterms:created xsi:type="dcterms:W3CDTF">2003-08-20T17:00:45Z</dcterms:created>
  <dcterms:modified xsi:type="dcterms:W3CDTF">2018-11-05T22:47:29Z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