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91" yWindow="570" windowWidth="12120" windowHeight="2895" tabRatio="985" activeTab="0"/>
  </bookViews>
  <sheets>
    <sheet name="Summary" sheetId="1" r:id="rId1"/>
    <sheet name="ElWAAdj" sheetId="2" r:id="rId2"/>
    <sheet name="ElIDAdj" sheetId="3" r:id="rId3"/>
    <sheet name="GasWAAdj" sheetId="4" r:id="rId4"/>
    <sheet name="GasIDAdj" sheetId="5" r:id="rId5"/>
    <sheet name="GasORAdj" sheetId="6" r:id="rId6"/>
    <sheet name="LaborAdj%" sheetId="7" r:id="rId7"/>
    <sheet name="ElLabor$" sheetId="8" r:id="rId8"/>
    <sheet name="GasLabor$" sheetId="9" r:id="rId9"/>
    <sheet name="GasLabor$South" sheetId="10" r:id="rId10"/>
    <sheet name="Pro Forma Spread" sheetId="11" r:id="rId11"/>
    <sheet name="%Exp" sheetId="12" r:id="rId12"/>
    <sheet name="Exec Report" sheetId="13" r:id="rId13"/>
    <sheet name="RemoveExec" sheetId="14" r:id="rId14"/>
    <sheet name="Pension" sheetId="15" r:id="rId15"/>
    <sheet name="Loadings" sheetId="16" r:id="rId16"/>
    <sheet name="Elec Labor" sheetId="17" r:id="rId17"/>
    <sheet name="Gas Labor" sheetId="18" r:id="rId18"/>
    <sheet name="OR Gas Labor" sheetId="19" r:id="rId19"/>
  </sheets>
  <externalReferences>
    <externalReference r:id="rId22"/>
    <externalReference r:id="rId23"/>
    <externalReference r:id="rId24"/>
  </externalReferences>
  <definedNames>
    <definedName name="ElSumm">#REF!</definedName>
    <definedName name="Elsumm1">'[3]SummaryLabor'!$A$1:$G$22</definedName>
    <definedName name="P_All">'[2]Electric'!$A$1:$F$24,'[2]Electric'!$H$25:$O$63</definedName>
    <definedName name="_xlnm.Print_Area" localSheetId="11">'%Exp'!$A$1:$S$30</definedName>
    <definedName name="_xlnm.Print_Area" localSheetId="2">'ElIDAdj'!$C$1:$T$126</definedName>
    <definedName name="_xlnm.Print_Area" localSheetId="7">'ElLabor$'!$A$9:$Q$127</definedName>
    <definedName name="_xlnm.Print_Area" localSheetId="1">'ElWAAdj'!$C$1:$T$126</definedName>
    <definedName name="_xlnm.Print_Area" localSheetId="4">'GasIDAdj'!$C$1:$T$72</definedName>
    <definedName name="_xlnm.Print_Area" localSheetId="8">'GasLabor$'!$A$9:$O$78</definedName>
    <definedName name="_xlnm.Print_Area" localSheetId="9">'GasLabor$South'!$A$9:$H$78</definedName>
    <definedName name="_xlnm.Print_Area" localSheetId="5">'GasORAdj'!$C$1:$O$78</definedName>
    <definedName name="_xlnm.Print_Area" localSheetId="3">'GasWAAdj'!$C$1:$T$72</definedName>
    <definedName name="_xlnm.Print_Area" localSheetId="14">'Pension'!$A$1:$H$32</definedName>
    <definedName name="_xlnm.Print_Area" localSheetId="10">'Pro Forma Spread'!$A$1:$L$38</definedName>
    <definedName name="_xlnm.Print_Area" localSheetId="13">'RemoveExec'!$A$1:$L$26</definedName>
    <definedName name="_xlnm.Print_Area" localSheetId="0">'Summary'!$A$1:$G$90</definedName>
    <definedName name="_xlnm.Print_Titles" localSheetId="2">'ElIDAdj'!$C:$E,'ElIDAdj'!$1:$6</definedName>
    <definedName name="_xlnm.Print_Titles" localSheetId="7">'ElLabor$'!$1:$8</definedName>
    <definedName name="_xlnm.Print_Titles" localSheetId="1">'ElWAAdj'!$C:$E,'ElWAAdj'!$1:$6</definedName>
    <definedName name="_xlnm.Print_Titles" localSheetId="4">'GasIDAdj'!$C:$E,'GasIDAdj'!$1:$7</definedName>
    <definedName name="_xlnm.Print_Titles" localSheetId="8">'GasLabor$'!$1:$8</definedName>
    <definedName name="_xlnm.Print_Titles" localSheetId="9">'GasLabor$South'!$1:$8</definedName>
    <definedName name="_xlnm.Print_Titles" localSheetId="5">'GasORAdj'!$C:$E,'GasORAdj'!$1:$7</definedName>
    <definedName name="_xlnm.Print_Titles" localSheetId="3">'GasWAAdj'!$C:$E,'GasWAAdj'!$1:$7</definedName>
    <definedName name="_xlnm.Print_Titles" localSheetId="14">'Pension'!$1:$11</definedName>
    <definedName name="_xlnm.Print_Titles" localSheetId="0">'Summary'!$A:$C</definedName>
  </definedNames>
  <calcPr fullCalcOnLoad="1" fullPrecision="0"/>
</workbook>
</file>

<file path=xl/comments11.xml><?xml version="1.0" encoding="utf-8"?>
<comments xmlns="http://schemas.openxmlformats.org/spreadsheetml/2006/main">
  <authors>
    <author>sz0rsr</author>
    <author>kznwdg</author>
  </authors>
  <commentList>
    <comment ref="B26" authorId="0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Oct 08 PT (Paid Time Off) loading rate is 17.0%
</t>
        </r>
      </text>
    </comment>
    <comment ref="A10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Karen Feltes
</t>
        </r>
      </text>
    </comment>
    <comment ref="A11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David Meyer
</t>
        </r>
      </text>
    </comment>
    <comment ref="A13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Marian Durkin
</t>
        </r>
      </text>
    </comment>
    <comment ref="A14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Christy Burmeister-Smith
</t>
        </r>
      </text>
    </comment>
    <comment ref="A15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Jim Kensok
</t>
        </r>
      </text>
    </comment>
    <comment ref="A16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Don Kopczynski</t>
        </r>
      </text>
    </comment>
    <comment ref="A17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Scott Morris</t>
        </r>
      </text>
    </comment>
    <comment ref="A18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Kelly Norwood
</t>
        </r>
      </text>
    </comment>
    <comment ref="A19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Dennis Vermillion </t>
        </r>
      </text>
    </comment>
    <comment ref="A20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Storro</t>
        </r>
      </text>
    </comment>
    <comment ref="A21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Ann Wilson
</t>
        </r>
      </text>
    </comment>
    <comment ref="A22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Roger Woodworth
</t>
        </r>
      </text>
    </comment>
    <comment ref="A12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Mark Thies</t>
        </r>
      </text>
    </comment>
  </commentList>
</comments>
</file>

<file path=xl/comments12.xml><?xml version="1.0" encoding="utf-8"?>
<comments xmlns="http://schemas.openxmlformats.org/spreadsheetml/2006/main">
  <authors>
    <author>Avista Corp Employee</author>
    <author>kznwdg</author>
  </authors>
  <commentList>
    <comment ref="B8" authorId="0">
      <text>
        <r>
          <rPr>
            <b/>
            <sz val="8"/>
            <rFont val="Tahoma"/>
            <family val="0"/>
          </rPr>
          <t xml:space="preserve">excludes any 1-leave cashout…
</t>
        </r>
      </text>
    </comment>
    <comment ref="A9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Karen Feltes
</t>
        </r>
      </text>
    </comment>
    <comment ref="A10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David Meyer
</t>
        </r>
      </text>
    </comment>
    <comment ref="A11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Malyn Malquist
</t>
        </r>
      </text>
    </comment>
    <comment ref="A13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Marian Durkin
</t>
        </r>
      </text>
    </comment>
    <comment ref="A14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Christy Burmeister-Smith
</t>
        </r>
      </text>
    </comment>
    <comment ref="A16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Don Kopczynski</t>
        </r>
      </text>
    </comment>
    <comment ref="A17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Scott Morris</t>
        </r>
      </text>
    </comment>
    <comment ref="A18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Kelly Norwood
</t>
        </r>
      </text>
    </comment>
    <comment ref="A21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Ann Wilson
</t>
        </r>
      </text>
    </comment>
    <comment ref="A22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Roger Woodworth
</t>
        </r>
      </text>
    </comment>
    <comment ref="A15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Jim Kensok
</t>
        </r>
      </text>
    </comment>
    <comment ref="A19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Dennis Vermillion </t>
        </r>
      </text>
    </comment>
    <comment ref="A20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Storro</t>
        </r>
      </text>
    </comment>
    <comment ref="A12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Mark Thies</t>
        </r>
      </text>
    </comment>
  </commentList>
</comments>
</file>

<file path=xl/comments13.xml><?xml version="1.0" encoding="utf-8"?>
<comments xmlns="http://schemas.openxmlformats.org/spreadsheetml/2006/main">
  <authors>
    <author>wz6z3d</author>
  </authors>
  <commentList>
    <comment ref="I2" authorId="0">
      <text>
        <r>
          <rPr>
            <b/>
            <sz val="8"/>
            <rFont val="Tahoma"/>
            <family val="0"/>
          </rPr>
          <t>Did not meet performance hurdle to receive vested RS</t>
        </r>
      </text>
    </comment>
    <comment ref="L2" authorId="0">
      <text>
        <r>
          <rPr>
            <b/>
            <sz val="8"/>
            <rFont val="Tahoma"/>
            <family val="0"/>
          </rPr>
          <t>Did not meet performance hurdle to receive vested RS</t>
        </r>
      </text>
    </comment>
    <comment ref="D3" authorId="0">
      <text>
        <r>
          <rPr>
            <b/>
            <sz val="8"/>
            <rFont val="Tahoma"/>
            <family val="0"/>
          </rPr>
          <t>salary increase effective 1/1/08 due to promotion</t>
        </r>
      </text>
    </comment>
    <comment ref="F12" authorId="0">
      <text>
        <r>
          <rPr>
            <b/>
            <sz val="8"/>
            <rFont val="Tahoma"/>
            <family val="0"/>
          </rPr>
          <t># of shares prorated due to retirement 7/31/07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0"/>
          </rPr>
          <t># of shares prorated due to retirement 7/31/07</t>
        </r>
        <r>
          <rPr>
            <sz val="8"/>
            <rFont val="Tahoma"/>
            <family val="0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0"/>
          </rPr>
          <t># of shares prorated due to retirement 7/31/07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starting salary on 7/1/07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not eligible for settlement of 2005-2007 cycle</t>
        </r>
      </text>
    </comment>
    <comment ref="I13" authorId="0">
      <text>
        <r>
          <rPr>
            <b/>
            <sz val="8"/>
            <rFont val="Tahoma"/>
            <family val="0"/>
          </rPr>
          <t>not eligible for settlement of vested RS granted in 2006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salary increase effective 2/18/08 due to promotion</t>
        </r>
      </text>
    </comment>
    <comment ref="F14" authorId="0">
      <text>
        <r>
          <rPr>
            <b/>
            <sz val="8"/>
            <rFont val="Tahoma"/>
            <family val="0"/>
          </rPr>
          <t>not eligible for settlement of 2005-2007 cycle</t>
        </r>
      </text>
    </comment>
  </commentList>
</comments>
</file>

<file path=xl/comments14.xml><?xml version="1.0" encoding="utf-8"?>
<comments xmlns="http://schemas.openxmlformats.org/spreadsheetml/2006/main">
  <authors>
    <author>Theresa Melvin</author>
  </authors>
  <commentList>
    <comment ref="A18" authorId="0">
      <text>
        <r>
          <rPr>
            <b/>
            <sz val="8"/>
            <rFont val="Tahoma"/>
            <family val="0"/>
          </rPr>
          <t>Theresa Melvin:</t>
        </r>
        <r>
          <rPr>
            <sz val="8"/>
            <rFont val="Tahoma"/>
            <family val="0"/>
          </rPr>
          <t xml:space="preserve">
Moving expense
 </t>
        </r>
      </text>
    </comment>
    <comment ref="D14" authorId="0">
      <text>
        <r>
          <rPr>
            <b/>
            <sz val="8"/>
            <rFont val="Tahoma"/>
            <family val="0"/>
          </rPr>
          <t>Theresa Melvin:</t>
        </r>
        <r>
          <rPr>
            <sz val="8"/>
            <rFont val="Tahoma"/>
            <family val="0"/>
          </rPr>
          <t xml:space="preserve">
Labor $ times 1.16 = Loaded Labor</t>
        </r>
      </text>
    </comment>
  </commentList>
</comments>
</file>

<file path=xl/comments15.xml><?xml version="1.0" encoding="utf-8"?>
<comments xmlns="http://schemas.openxmlformats.org/spreadsheetml/2006/main">
  <authors>
    <author>Theresa Melvin</author>
  </authors>
  <commentList>
    <comment ref="G6" authorId="0">
      <text>
        <r>
          <rPr>
            <b/>
            <sz val="8"/>
            <rFont val="Tahoma"/>
            <family val="0"/>
          </rPr>
          <t xml:space="preserve">Theresa Melvin:
</t>
        </r>
        <r>
          <rPr>
            <sz val="8"/>
            <rFont val="Tahoma"/>
            <family val="2"/>
          </rPr>
          <t xml:space="preserve">Pension - $15.8m per Tami as of 11/3/08 
</t>
        </r>
        <r>
          <rPr>
            <sz val="8"/>
            <rFont val="Tahoma"/>
            <family val="0"/>
          </rPr>
          <t>Admin -  $318,200 per Mary Prince 12/12/08</t>
        </r>
      </text>
    </comment>
  </commentList>
</comments>
</file>

<file path=xl/comments2.xml><?xml version="1.0" encoding="utf-8"?>
<comments xmlns="http://schemas.openxmlformats.org/spreadsheetml/2006/main">
  <authors>
    <author>Theresa Melvin</author>
  </authors>
  <commentList>
    <comment ref="S112" authorId="0">
      <text>
        <r>
          <rPr>
            <b/>
            <sz val="8"/>
            <rFont val="Tahoma"/>
            <family val="0"/>
          </rPr>
          <t>Theresa Melvin:</t>
        </r>
        <r>
          <rPr>
            <sz val="8"/>
            <rFont val="Tahoma"/>
            <family val="0"/>
          </rPr>
          <t xml:space="preserve">
rounding</t>
        </r>
      </text>
    </comment>
  </commentList>
</comments>
</file>

<file path=xl/comments3.xml><?xml version="1.0" encoding="utf-8"?>
<comments xmlns="http://schemas.openxmlformats.org/spreadsheetml/2006/main">
  <authors>
    <author>Theresa Melvin</author>
    <author>kznwdg</author>
  </authors>
  <commentList>
    <comment ref="S112" authorId="0">
      <text>
        <r>
          <rPr>
            <b/>
            <sz val="8"/>
            <rFont val="Tahoma"/>
            <family val="0"/>
          </rPr>
          <t>Theresa Melvin:</t>
        </r>
        <r>
          <rPr>
            <sz val="8"/>
            <rFont val="Tahoma"/>
            <family val="0"/>
          </rPr>
          <t xml:space="preserve">
rounding
</t>
        </r>
      </text>
    </comment>
    <comment ref="E112" authorId="1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rounding</t>
        </r>
      </text>
    </comment>
  </commentList>
</comments>
</file>

<file path=xl/comments4.xml><?xml version="1.0" encoding="utf-8"?>
<comments xmlns="http://schemas.openxmlformats.org/spreadsheetml/2006/main">
  <authors>
    <author>kznwdg</author>
  </authors>
  <commentList>
    <comment ref="S61" authorId="0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rounding
</t>
        </r>
      </text>
    </comment>
    <comment ref="E61" authorId="0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rounding</t>
        </r>
      </text>
    </comment>
  </commentList>
</comments>
</file>

<file path=xl/comments5.xml><?xml version="1.0" encoding="utf-8"?>
<comments xmlns="http://schemas.openxmlformats.org/spreadsheetml/2006/main">
  <authors>
    <author>kznwdg</author>
  </authors>
  <commentList>
    <comment ref="S61" authorId="0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rounding</t>
        </r>
      </text>
    </comment>
  </commentList>
</comments>
</file>

<file path=xl/comments6.xml><?xml version="1.0" encoding="utf-8"?>
<comments xmlns="http://schemas.openxmlformats.org/spreadsheetml/2006/main">
  <authors>
    <author>kznwdg</author>
  </authors>
  <commentList>
    <comment ref="E74" authorId="0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rounding</t>
        </r>
      </text>
    </comment>
  </commentList>
</comments>
</file>

<file path=xl/comments7.xml><?xml version="1.0" encoding="utf-8"?>
<comments xmlns="http://schemas.openxmlformats.org/spreadsheetml/2006/main">
  <authors>
    <author>kznwdg</author>
  </authors>
  <commentList>
    <comment ref="D23" authorId="0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Non-exempt - 20%
Exempt - 80%
</t>
        </r>
      </text>
    </comment>
    <comment ref="D28" authorId="0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Non-exempt - 20%
Exempt - 80%
</t>
        </r>
      </text>
    </comment>
    <comment ref="D30" authorId="0">
      <text>
        <r>
          <rPr>
            <b/>
            <sz val="8"/>
            <rFont val="Tahoma"/>
            <family val="0"/>
          </rPr>
          <t>kznwdg:</t>
        </r>
        <r>
          <rPr>
            <sz val="8"/>
            <rFont val="Tahoma"/>
            <family val="0"/>
          </rPr>
          <t xml:space="preserve">
Non-exempt - 20%
Exempt - 80%
</t>
        </r>
      </text>
    </comment>
  </commentList>
</comments>
</file>

<file path=xl/comments8.xml><?xml version="1.0" encoding="utf-8"?>
<comments xmlns="http://schemas.openxmlformats.org/spreadsheetml/2006/main">
  <authors>
    <author>Avista Corp Employee</author>
  </authors>
  <commentList>
    <comment ref="M114" authorId="0">
      <text>
        <r>
          <rPr>
            <b/>
            <sz val="8"/>
            <rFont val="Tahoma"/>
            <family val="0"/>
          </rPr>
          <t>Rounding</t>
        </r>
      </text>
    </comment>
    <comment ref="P114" authorId="0">
      <text>
        <r>
          <rPr>
            <b/>
            <sz val="8"/>
            <rFont val="Tahoma"/>
            <family val="0"/>
          </rPr>
          <t>Rounding</t>
        </r>
      </text>
    </comment>
  </commentList>
</comments>
</file>

<file path=xl/comments9.xml><?xml version="1.0" encoding="utf-8"?>
<comments xmlns="http://schemas.openxmlformats.org/spreadsheetml/2006/main">
  <authors>
    <author>Avista Corp Employee</author>
  </authors>
  <commentList>
    <comment ref="K66" authorId="0">
      <text>
        <r>
          <rPr>
            <b/>
            <sz val="8"/>
            <rFont val="Tahoma"/>
            <family val="0"/>
          </rPr>
          <t>Rounding</t>
        </r>
      </text>
    </comment>
    <comment ref="N66" authorId="0">
      <text>
        <r>
          <rPr>
            <b/>
            <sz val="8"/>
            <rFont val="Tahoma"/>
            <family val="0"/>
          </rPr>
          <t>Rounding</t>
        </r>
      </text>
    </comment>
  </commentList>
</comments>
</file>

<file path=xl/sharedStrings.xml><?xml version="1.0" encoding="utf-8"?>
<sst xmlns="http://schemas.openxmlformats.org/spreadsheetml/2006/main" count="1580" uniqueCount="497">
  <si>
    <t>Total</t>
  </si>
  <si>
    <t>Adjusted</t>
  </si>
  <si>
    <t>Adjusted for</t>
  </si>
  <si>
    <t>Increase</t>
  </si>
  <si>
    <t>Adjustment</t>
  </si>
  <si>
    <t>Transmission</t>
  </si>
  <si>
    <t>Total Transmission</t>
  </si>
  <si>
    <t>Distribution</t>
  </si>
  <si>
    <t>Total Distribution</t>
  </si>
  <si>
    <t>Customer Accounts</t>
  </si>
  <si>
    <t>Total Cust Accounts</t>
  </si>
  <si>
    <t>Cust Service &amp; Info</t>
  </si>
  <si>
    <t>Total Cust Svc &amp; Info</t>
  </si>
  <si>
    <t>Sales</t>
  </si>
  <si>
    <t>Total Sales</t>
  </si>
  <si>
    <t>Admin &amp; General</t>
  </si>
  <si>
    <t>Total Admin &amp; General</t>
  </si>
  <si>
    <t>Direct</t>
  </si>
  <si>
    <t>Alloc</t>
  </si>
  <si>
    <t>Allocated</t>
  </si>
  <si>
    <t>Account 926</t>
  </si>
  <si>
    <t>TOTAL</t>
  </si>
  <si>
    <t>Number of Cust</t>
  </si>
  <si>
    <t>Distr Op Exp</t>
  </si>
  <si>
    <t>4-Factor</t>
  </si>
  <si>
    <t>Total Allocated</t>
  </si>
  <si>
    <t>Total Check</t>
  </si>
  <si>
    <t>Percentage Increase Adjustments</t>
  </si>
  <si>
    <t>Difference</t>
  </si>
  <si>
    <t>% of total</t>
  </si>
  <si>
    <t>AVISTA UTILITIES</t>
  </si>
  <si>
    <t>Natural Gas System Labor Dollars</t>
  </si>
  <si>
    <t>Throughput</t>
  </si>
  <si>
    <t>a</t>
  </si>
  <si>
    <t>UNION</t>
  </si>
  <si>
    <t>OR</t>
  </si>
  <si>
    <t>Sales &amp; Marketing</t>
  </si>
  <si>
    <t>Pension</t>
  </si>
  <si>
    <t>Washington Electric</t>
  </si>
  <si>
    <t>Total Production</t>
  </si>
  <si>
    <t>Idaho Electric</t>
  </si>
  <si>
    <t>Total Production &amp; Transmission</t>
  </si>
  <si>
    <t>Washington Gas</t>
  </si>
  <si>
    <t>Total Underground Storage</t>
  </si>
  <si>
    <t>Idaho Gas</t>
  </si>
  <si>
    <t>Pro Forma</t>
  </si>
  <si>
    <t>Adjusted Electric Labor Dollars - Washington</t>
  </si>
  <si>
    <t>Total WA</t>
  </si>
  <si>
    <t>Production</t>
  </si>
  <si>
    <t>Steam</t>
  </si>
  <si>
    <t>Supervision &amp; Eng.</t>
  </si>
  <si>
    <t>Fuel</t>
  </si>
  <si>
    <t>Steam Expense</t>
  </si>
  <si>
    <t>Electric Expense</t>
  </si>
  <si>
    <t>Misc. Steam Pwr. Exp.</t>
  </si>
  <si>
    <t>Structures</t>
  </si>
  <si>
    <t>Boiler Plant</t>
  </si>
  <si>
    <t>Electric Plant</t>
  </si>
  <si>
    <t>Misc. Steam Plant</t>
  </si>
  <si>
    <t>Total Steam</t>
  </si>
  <si>
    <t>Hydro</t>
  </si>
  <si>
    <t>Water For Power</t>
  </si>
  <si>
    <t>Hydraulic Expense</t>
  </si>
  <si>
    <t>Misc. Hydro Expense</t>
  </si>
  <si>
    <t>Res., Dams &amp; Wtrways</t>
  </si>
  <si>
    <t>Misc. Hydro Plant</t>
  </si>
  <si>
    <t>Total Hydro</t>
  </si>
  <si>
    <t>Other Generation</t>
  </si>
  <si>
    <t>Generation Expense</t>
  </si>
  <si>
    <t>Misc. Other Gen.</t>
  </si>
  <si>
    <t>Gen. &amp; Elec. Equip.</t>
  </si>
  <si>
    <t>Misc. Other Gen. Plant</t>
  </si>
  <si>
    <t>Total Other Generation</t>
  </si>
  <si>
    <t>Other Power Supply</t>
  </si>
  <si>
    <t>Sys. Cntrol &amp; Ld. Disp.</t>
  </si>
  <si>
    <t>Other Expense</t>
  </si>
  <si>
    <t>Total Other Power Supply</t>
  </si>
  <si>
    <t>Load Dispatching</t>
  </si>
  <si>
    <t>Station Expense</t>
  </si>
  <si>
    <t>Overhead Line Exp.</t>
  </si>
  <si>
    <t>Underground Line Exp.</t>
  </si>
  <si>
    <t>Misc. Trans. Exp.</t>
  </si>
  <si>
    <t>Station Equip.</t>
  </si>
  <si>
    <t>Overhead Lines</t>
  </si>
  <si>
    <t>Underground Lines</t>
  </si>
  <si>
    <t>Misc. Trans. Plant</t>
  </si>
  <si>
    <t>Undergrd. Line Exp.</t>
  </si>
  <si>
    <t>St. Lt. &amp; Signl. Sys.</t>
  </si>
  <si>
    <t>Meter Expense</t>
  </si>
  <si>
    <t>Cust. Install. Expense</t>
  </si>
  <si>
    <t>Misc. Dist. Expense</t>
  </si>
  <si>
    <t>Rent</t>
  </si>
  <si>
    <t>Station Equipment</t>
  </si>
  <si>
    <t>Undergrd. Lines</t>
  </si>
  <si>
    <t>Line Transformers</t>
  </si>
  <si>
    <t xml:space="preserve">St. Lt. &amp; Signl. Sys. </t>
  </si>
  <si>
    <t>Meters</t>
  </si>
  <si>
    <t>Supervision</t>
  </si>
  <si>
    <t>Meter Reading Exp.</t>
  </si>
  <si>
    <t>Cust. Records &amp; Coll.</t>
  </si>
  <si>
    <t>Misc. Cust. Accts.</t>
  </si>
  <si>
    <t>Cust. Assistance Exp.</t>
  </si>
  <si>
    <t>Advertising</t>
  </si>
  <si>
    <t>Miscellaneous</t>
  </si>
  <si>
    <t>Demonstrating &amp; Selling</t>
  </si>
  <si>
    <t>Misc Cust Serv &amp; Info</t>
  </si>
  <si>
    <t>Salaries</t>
  </si>
  <si>
    <t>Office Supplies &amp; Exp.</t>
  </si>
  <si>
    <t>Outside Services</t>
  </si>
  <si>
    <t>Property Ins. Premium</t>
  </si>
  <si>
    <t>Injuries &amp; Damages</t>
  </si>
  <si>
    <t>Empl. Pensions &amp; Bene.</t>
  </si>
  <si>
    <t>Franchise Requirements</t>
  </si>
  <si>
    <t>Reg. Comm. Expenses</t>
  </si>
  <si>
    <t>Misc. General Exp.</t>
  </si>
  <si>
    <t>Rents</t>
  </si>
  <si>
    <t>Mtce. of Gen. Plant</t>
  </si>
  <si>
    <t>Total Electric Labor</t>
  </si>
  <si>
    <t>Adjusted Electric Labor Dollars - Idaho</t>
  </si>
  <si>
    <t>Total ID</t>
  </si>
  <si>
    <t>Electric System Labor Dollars</t>
  </si>
  <si>
    <t>Allocate WA</t>
  </si>
  <si>
    <t>Allocate ID</t>
  </si>
  <si>
    <t>Wash</t>
  </si>
  <si>
    <t>Idaho</t>
  </si>
  <si>
    <t>WA</t>
  </si>
  <si>
    <t>ID</t>
  </si>
  <si>
    <t>P/T Ratio</t>
  </si>
  <si>
    <t>Total Admin &amp; Gen</t>
  </si>
  <si>
    <t>Adjusted Natural Gas System Labor Dollars - Washington</t>
  </si>
  <si>
    <t>Underground Storage</t>
  </si>
  <si>
    <t>Adjusted Natural Gas System Labor Dollars - Idaho</t>
  </si>
  <si>
    <t>Eliminate WA</t>
  </si>
  <si>
    <t>Four Factor</t>
  </si>
  <si>
    <t>Therms Purchased</t>
  </si>
  <si>
    <t>System Contract Demand</t>
  </si>
  <si>
    <t>Summary</t>
  </si>
  <si>
    <t>Washington and Idaho</t>
  </si>
  <si>
    <t>Total WA &amp; ID Gas Labor</t>
  </si>
  <si>
    <t>%</t>
  </si>
  <si>
    <t>Employee</t>
  </si>
  <si>
    <t>Charges</t>
  </si>
  <si>
    <t>Exp Level</t>
  </si>
  <si>
    <t>Note 1</t>
  </si>
  <si>
    <t>Avista Utilities</t>
  </si>
  <si>
    <t>Remove</t>
  </si>
  <si>
    <t>Officers</t>
  </si>
  <si>
    <t>Change</t>
  </si>
  <si>
    <t>Electric</t>
  </si>
  <si>
    <t>Capital &amp;</t>
  </si>
  <si>
    <t>Clearing</t>
  </si>
  <si>
    <t>Subsidiary</t>
  </si>
  <si>
    <t>Note 4</t>
  </si>
  <si>
    <t>Note 7</t>
  </si>
  <si>
    <t>Loc</t>
  </si>
  <si>
    <t>Note</t>
  </si>
  <si>
    <t>7,4</t>
  </si>
  <si>
    <t>NA</t>
  </si>
  <si>
    <t>Note 8</t>
  </si>
  <si>
    <t>Note 10</t>
  </si>
  <si>
    <t>Payroll Loading for Paid Time Off (PL)</t>
  </si>
  <si>
    <t>Labor Broken Out by Account</t>
  </si>
  <si>
    <t>Loaded for Time Off</t>
  </si>
  <si>
    <t>Labor</t>
  </si>
  <si>
    <t>Less</t>
  </si>
  <si>
    <t>Total ID Adj</t>
  </si>
  <si>
    <t>By Utility Jurisdiction</t>
  </si>
  <si>
    <t>Non-Exec</t>
  </si>
  <si>
    <t>8,10</t>
  </si>
  <si>
    <t>WA El</t>
  </si>
  <si>
    <t>ID El</t>
  </si>
  <si>
    <t>WA Gas</t>
  </si>
  <si>
    <t>ID Gas</t>
  </si>
  <si>
    <t>OR Gas</t>
  </si>
  <si>
    <t>Allocation to utility</t>
  </si>
  <si>
    <t xml:space="preserve">   Net increase to utility</t>
  </si>
  <si>
    <t>Add Back</t>
  </si>
  <si>
    <t>Capital</t>
  </si>
  <si>
    <t>Note 3</t>
  </si>
  <si>
    <t>Total WA  Gas Labor</t>
  </si>
  <si>
    <t>Total ID Gas Labor</t>
  </si>
  <si>
    <t>Source:  E-ALL-12A</t>
  </si>
  <si>
    <t>Source:  G-ALL-12A</t>
  </si>
  <si>
    <t>Acct 920</t>
  </si>
  <si>
    <t>Acct 557</t>
  </si>
  <si>
    <t>Acct 813</t>
  </si>
  <si>
    <t>Jurisdiction</t>
  </si>
  <si>
    <t xml:space="preserve">Electric </t>
  </si>
  <si>
    <t>580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</si>
  <si>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</si>
  <si>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</si>
  <si>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</si>
  <si>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</si>
  <si>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</si>
  <si>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</si>
  <si>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</si>
  <si>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</si>
  <si>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</si>
  <si>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</si>
  <si>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</si>
  <si>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</si>
  <si>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</si>
  <si>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</si>
  <si>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</si>
  <si>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</si>
  <si>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</si>
  <si>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902</t>
  </si>
  <si>
    <t>903</t>
  </si>
  <si>
    <t>908</t>
  </si>
  <si>
    <t>912</t>
  </si>
  <si>
    <t>916</t>
  </si>
  <si>
    <t>920</t>
  </si>
  <si>
    <t>921</t>
  </si>
  <si>
    <t>928</t>
  </si>
  <si>
    <t>930</t>
  </si>
  <si>
    <t>935</t>
  </si>
  <si>
    <t>500</t>
  </si>
  <si>
    <t>AN</t>
  </si>
  <si>
    <t>501</t>
  </si>
  <si>
    <t>502</t>
  </si>
  <si>
    <t>505</t>
  </si>
  <si>
    <t>506</t>
  </si>
  <si>
    <t>510</t>
  </si>
  <si>
    <t>511</t>
  </si>
  <si>
    <t>512</t>
  </si>
  <si>
    <t>513</t>
  </si>
  <si>
    <t>514</t>
  </si>
  <si>
    <t>535</t>
  </si>
  <si>
    <t>537</t>
  </si>
  <si>
    <t>538</t>
  </si>
  <si>
    <t>539</t>
  </si>
  <si>
    <t>541</t>
  </si>
  <si>
    <t>542</t>
  </si>
  <si>
    <t>543</t>
  </si>
  <si>
    <t>544</t>
  </si>
  <si>
    <t>545</t>
  </si>
  <si>
    <t>546</t>
  </si>
  <si>
    <t>548</t>
  </si>
  <si>
    <t>549</t>
  </si>
  <si>
    <t>551</t>
  </si>
  <si>
    <t>552</t>
  </si>
  <si>
    <t>553</t>
  </si>
  <si>
    <t>554</t>
  </si>
  <si>
    <t>556</t>
  </si>
  <si>
    <t>557</t>
  </si>
  <si>
    <t>560</t>
  </si>
  <si>
    <t>561</t>
  </si>
  <si>
    <t>562</t>
  </si>
  <si>
    <t>563</t>
  </si>
  <si>
    <t>566</t>
  </si>
  <si>
    <t>568</t>
  </si>
  <si>
    <t>569</t>
  </si>
  <si>
    <t>570</t>
  </si>
  <si>
    <t>571</t>
  </si>
  <si>
    <t>572</t>
  </si>
  <si>
    <t>573</t>
  </si>
  <si>
    <t>AA</t>
  </si>
  <si>
    <t>901</t>
  </si>
  <si>
    <t>905</t>
  </si>
  <si>
    <t>910</t>
  </si>
  <si>
    <t>925</t>
  </si>
  <si>
    <t>926</t>
  </si>
  <si>
    <t>Sum</t>
  </si>
  <si>
    <t>813</t>
  </si>
  <si>
    <t>814</t>
  </si>
  <si>
    <t>870</t>
  </si>
  <si>
    <t>874</t>
  </si>
  <si>
    <t>875</t>
  </si>
  <si>
    <t>876</t>
  </si>
  <si>
    <t>877</t>
  </si>
  <si>
    <t>878</t>
  </si>
  <si>
    <t>879</t>
  </si>
  <si>
    <t>880</t>
  </si>
  <si>
    <t>885</t>
  </si>
  <si>
    <t>887</t>
  </si>
  <si>
    <t>889</t>
  </si>
  <si>
    <t>890</t>
  </si>
  <si>
    <t>891</t>
  </si>
  <si>
    <t>892</t>
  </si>
  <si>
    <t>893</t>
  </si>
  <si>
    <t>894</t>
  </si>
  <si>
    <t>807.xx</t>
  </si>
  <si>
    <t>Gas North Amt SUM</t>
  </si>
  <si>
    <t>Main</t>
  </si>
  <si>
    <t>417 Exp</t>
  </si>
  <si>
    <t>OL Cash</t>
  </si>
  <si>
    <t>OL &amp; Hol</t>
  </si>
  <si>
    <t>Empl ID</t>
  </si>
  <si>
    <t>107010, 060</t>
  </si>
  <si>
    <t xml:space="preserve">Labor $ </t>
  </si>
  <si>
    <t>Including PL</t>
  </si>
  <si>
    <t>Loaded Labor</t>
  </si>
  <si>
    <t>check</t>
  </si>
  <si>
    <t>807-Administrative Expenses</t>
  </si>
  <si>
    <t>807-Purchased Gas Expenses</t>
  </si>
  <si>
    <t>813-Other Gas Expenses</t>
  </si>
  <si>
    <t>814-Oper. supervision &amp; engineering</t>
  </si>
  <si>
    <t>820-Meas. &amp; reg. station expenses</t>
  </si>
  <si>
    <t>870-Oper. supervision &amp; engineering</t>
  </si>
  <si>
    <t>871-Distribution Load Dispatching</t>
  </si>
  <si>
    <t>874-Mains &amp; services expenses</t>
  </si>
  <si>
    <t>875-Meas. &amp; reg. station exp.-General</t>
  </si>
  <si>
    <t>876-Meas. &amp; reg. station exp.-Industrial</t>
  </si>
  <si>
    <t>877-Meas. &amp; reg. station exp.-City gate</t>
  </si>
  <si>
    <t>878-Meter &amp; house regulator expenses</t>
  </si>
  <si>
    <t>879-Customer installations expenses</t>
  </si>
  <si>
    <t>880-Other expenses</t>
  </si>
  <si>
    <t>885-Maint. supervision &amp; engineering</t>
  </si>
  <si>
    <t>886-Structures &amp; Improvements</t>
  </si>
  <si>
    <t>887-Maint. of mains</t>
  </si>
  <si>
    <t>889-Maint. meas. &amp; reg. st. equip.-General</t>
  </si>
  <si>
    <t>890-Maint. meas. &amp; reg. st. equip.-Indust</t>
  </si>
  <si>
    <t>891-Maint. meas. &amp; reg. st. equip.-City gate</t>
  </si>
  <si>
    <t>892-Maint. of services &amp; lines</t>
  </si>
  <si>
    <t>893-Maint. meters &amp; house regulators</t>
  </si>
  <si>
    <t>901-Supervision</t>
  </si>
  <si>
    <t>902-Meter reading expenses</t>
  </si>
  <si>
    <t>903-Customer records &amp; collection exp</t>
  </si>
  <si>
    <t>905- Misc. customer accounts expenses</t>
  </si>
  <si>
    <t>908-Customer assistance expenses</t>
  </si>
  <si>
    <t>909-Advertising</t>
  </si>
  <si>
    <t>910-Misc Customer Service &amp; Info Exp</t>
  </si>
  <si>
    <t>911-Supervision</t>
  </si>
  <si>
    <t>912-Demonstrating &amp; selling expenses</t>
  </si>
  <si>
    <t>913-Advertising</t>
  </si>
  <si>
    <t>916- Misc Sales Expense</t>
  </si>
  <si>
    <t>920-Administrative &amp; general salaries</t>
  </si>
  <si>
    <t>923-Outside services employed</t>
  </si>
  <si>
    <t>924-Property insurance</t>
  </si>
  <si>
    <t>925-Injuries &amp; damages</t>
  </si>
  <si>
    <t>928-Regulatory commission expenses</t>
  </si>
  <si>
    <t>930-Misc. general expenses</t>
  </si>
  <si>
    <t>935-Maintenance of general plant</t>
  </si>
  <si>
    <t>890-Maint. meas. &amp; reg. st. equip.-Industrial</t>
  </si>
  <si>
    <t>903-Customer records &amp; collection expenses</t>
  </si>
  <si>
    <t>2008 Increase</t>
  </si>
  <si>
    <t>536</t>
  </si>
  <si>
    <t xml:space="preserve">ADMIN </t>
  </si>
  <si>
    <t>Gas South Amt SUM</t>
  </si>
  <si>
    <t>Adjusted Natural Gas System Labor Dollars - Oregon</t>
  </si>
  <si>
    <t>Total OR</t>
  </si>
  <si>
    <t>Oregon Gas</t>
  </si>
  <si>
    <t>Pro Forma Officer Compensation Expense</t>
  </si>
  <si>
    <t>Total OR Gas Labor</t>
  </si>
  <si>
    <t>2009 Increase</t>
  </si>
  <si>
    <t>Exec Pro Forma</t>
  </si>
  <si>
    <t>Pro Forma Incr</t>
  </si>
  <si>
    <t>Total Pro Forma Impact</t>
  </si>
  <si>
    <t>923</t>
  </si>
  <si>
    <t>Total Oth Power Supply</t>
  </si>
  <si>
    <t>0</t>
  </si>
  <si>
    <t>Oregon</t>
  </si>
  <si>
    <t xml:space="preserve">Allocate </t>
  </si>
  <si>
    <t>Eliminate OR</t>
  </si>
  <si>
    <t>Pro forma Utility/Subsidiary %</t>
  </si>
  <si>
    <t>Pro forma Utility/Subsidiary $</t>
  </si>
  <si>
    <t>Gary Ely *</t>
  </si>
  <si>
    <t>Feltes, Karen S</t>
  </si>
  <si>
    <t>Kopczynski, Don F</t>
  </si>
  <si>
    <t>Meyer, David J</t>
  </si>
  <si>
    <t>Norwood, Kelly O</t>
  </si>
  <si>
    <t>Woodworth, Roger D</t>
  </si>
  <si>
    <t>Empno</t>
  </si>
  <si>
    <t>Name</t>
  </si>
  <si>
    <t>11290</t>
  </si>
  <si>
    <t>VP &amp; Controller</t>
  </si>
  <si>
    <t>21720</t>
  </si>
  <si>
    <t>00188</t>
  </si>
  <si>
    <t>VP &amp; CIO</t>
  </si>
  <si>
    <t>V P Trans &amp; Dist Operations</t>
  </si>
  <si>
    <t>01863</t>
  </si>
  <si>
    <t>Executive V P &amp; C F O</t>
  </si>
  <si>
    <t>00365</t>
  </si>
  <si>
    <t>61582</t>
  </si>
  <si>
    <t>64690</t>
  </si>
  <si>
    <t>V P State &amp; Federal Regulation</t>
  </si>
  <si>
    <t>V P Power Resources</t>
  </si>
  <si>
    <t>94440</t>
  </si>
  <si>
    <t>VP Customer Solutions</t>
  </si>
  <si>
    <t>Gas</t>
  </si>
  <si>
    <t>Notes  7 &amp; 4</t>
  </si>
  <si>
    <t>Notes  8 &amp; 10</t>
  </si>
  <si>
    <t>Note  1</t>
  </si>
  <si>
    <t>Note  4</t>
  </si>
  <si>
    <t>Note  7</t>
  </si>
  <si>
    <t>Note  8</t>
  </si>
  <si>
    <t>PL</t>
  </si>
  <si>
    <t>ok</t>
  </si>
  <si>
    <t>Total WA Electric Expense</t>
  </si>
  <si>
    <t>Total ID Electric Expense</t>
  </si>
  <si>
    <t>Total WA Gas Expense</t>
  </si>
  <si>
    <t>Total ID Gas Expense</t>
  </si>
  <si>
    <t>Total OR Gas Expense</t>
  </si>
  <si>
    <t>Gas North</t>
  </si>
  <si>
    <t>Gas South</t>
  </si>
  <si>
    <t>2009 increase for 2009 adjustment</t>
  </si>
  <si>
    <t>Mac:&lt;All&gt;</t>
  </si>
  <si>
    <t>Utility</t>
  </si>
  <si>
    <t>Non-Utility</t>
  </si>
  <si>
    <t>510 Payroll Benefits loading</t>
  </si>
  <si>
    <t>515 Payroll Tax loading</t>
  </si>
  <si>
    <t>520 Payroll Time Off loading</t>
  </si>
  <si>
    <t>Mac:343</t>
  </si>
  <si>
    <t>510 - PB</t>
  </si>
  <si>
    <t>515 - PT</t>
  </si>
  <si>
    <t>520 - PL</t>
  </si>
  <si>
    <t>Twelve Months Ended September 30, 2008</t>
  </si>
  <si>
    <t>2008 to 2010</t>
  </si>
  <si>
    <t>Net 2010</t>
  </si>
  <si>
    <t>2010 Increase</t>
  </si>
  <si>
    <t>2008,2009,2010</t>
  </si>
  <si>
    <t>Total 2010</t>
  </si>
  <si>
    <t>2008 - 2010 Labor Adjustments</t>
  </si>
  <si>
    <t>Pro Forma 2010 Officer Compensation</t>
  </si>
  <si>
    <t>Proforma 2010 Officer Compensation</t>
  </si>
  <si>
    <t>March 26, 2008 increase</t>
  </si>
  <si>
    <t>Adjustment % for remaining 2008 Increase</t>
  </si>
  <si>
    <t>2010 increase for 2010 adjustment</t>
  </si>
  <si>
    <t>March 1, 2008 increase</t>
  </si>
  <si>
    <t>2010</t>
  </si>
  <si>
    <t>Pro forma</t>
  </si>
  <si>
    <t>2008 Washington Electric Labor</t>
  </si>
  <si>
    <t>2008 Total Company Labor</t>
  </si>
  <si>
    <t>2008 Idaho Electric Labor</t>
  </si>
  <si>
    <t>2008 Washington Gas Labor</t>
  </si>
  <si>
    <t>2008 Idaho Gas Labor</t>
  </si>
  <si>
    <t>2008 Oregon Gas Labor</t>
  </si>
  <si>
    <t>Ferc Main</t>
  </si>
  <si>
    <t>NULL</t>
  </si>
  <si>
    <t>909</t>
  </si>
  <si>
    <t>567</t>
  </si>
  <si>
    <t>Current Title</t>
  </si>
  <si>
    <t>Mar 3, 2008 SALARY</t>
  </si>
  <si>
    <r>
      <t xml:space="preserve">2007 Incentive Plan </t>
    </r>
    <r>
      <rPr>
        <u val="single"/>
        <sz val="9.95"/>
        <color indexed="8"/>
        <rFont val="Times New Roman"/>
        <family val="0"/>
      </rPr>
      <t>Payment, paid in 2008</t>
    </r>
  </si>
  <si>
    <r>
      <t>Performance Shares 2005-2007</t>
    </r>
    <r>
      <rPr>
        <u val="single"/>
        <sz val="9.95"/>
        <color indexed="10"/>
        <rFont val="Times New Roman"/>
        <family val="1"/>
      </rPr>
      <t xml:space="preserve"> </t>
    </r>
    <r>
      <rPr>
        <u val="single"/>
        <sz val="9.95"/>
        <color indexed="8"/>
        <rFont val="Times New Roman"/>
        <family val="0"/>
      </rPr>
      <t>settlement of shares (paid 65% of target)</t>
    </r>
  </si>
  <si>
    <r>
      <t xml:space="preserve">Performance Shares 2005-2007 </t>
    </r>
    <r>
      <rPr>
        <u val="single"/>
        <sz val="9.95"/>
        <color indexed="8"/>
        <rFont val="Times New Roman"/>
        <family val="0"/>
      </rPr>
      <t>settlement Value (price $21.08 1/7/08)</t>
    </r>
  </si>
  <si>
    <r>
      <t xml:space="preserve">Performance Shares 2005-2007 </t>
    </r>
    <r>
      <rPr>
        <u val="single"/>
        <sz val="9.95"/>
        <color indexed="8"/>
        <rFont val="Times New Roman"/>
        <family val="0"/>
      </rPr>
      <t>settlement Dividends</t>
    </r>
  </si>
  <si>
    <t>Restricted Stock granted 2006 - 2/3 vests 12/31/07</t>
  </si>
  <si>
    <r>
      <t xml:space="preserve">Restricted Stock - </t>
    </r>
    <r>
      <rPr>
        <u val="single"/>
        <sz val="9.95"/>
        <color indexed="8"/>
        <rFont val="Times New Roman"/>
        <family val="0"/>
      </rPr>
      <t>Value at vesting (price $21.54 12/31/07)</t>
    </r>
  </si>
  <si>
    <r>
      <t xml:space="preserve">Restricted Stock - </t>
    </r>
    <r>
      <rPr>
        <u val="single"/>
        <sz val="9.95"/>
        <color indexed="8"/>
        <rFont val="Times New Roman"/>
        <family val="0"/>
      </rPr>
      <t>Dividend Equivalents paid through 2007</t>
    </r>
  </si>
  <si>
    <t>Restricted Stock granted 2007 - 1/3 vests 01/02/08</t>
  </si>
  <si>
    <r>
      <t xml:space="preserve">Restricted Stock - </t>
    </r>
    <r>
      <rPr>
        <u val="single"/>
        <sz val="9.95"/>
        <color indexed="8"/>
        <rFont val="Times New Roman"/>
        <family val="0"/>
      </rPr>
      <t>Value at vesting (price $21.39 01/02/08)</t>
    </r>
  </si>
  <si>
    <t>Ely, Gary (6)</t>
  </si>
  <si>
    <t>Chairman &amp; CEO (Retired)</t>
  </si>
  <si>
    <t>Morris, Scott L (5) (9)</t>
  </si>
  <si>
    <t>Chairman, President &amp; CEO</t>
  </si>
  <si>
    <r>
      <t xml:space="preserve">Malquist, Malyn </t>
    </r>
    <r>
      <rPr>
        <sz val="8"/>
        <color indexed="8"/>
        <rFont val="Times New Roman"/>
        <family val="1"/>
      </rPr>
      <t>(5)</t>
    </r>
  </si>
  <si>
    <r>
      <t xml:space="preserve">Durkin, Marian </t>
    </r>
    <r>
      <rPr>
        <sz val="8"/>
        <color indexed="8"/>
        <rFont val="Times New Roman"/>
        <family val="1"/>
      </rPr>
      <t>(2)</t>
    </r>
  </si>
  <si>
    <t>Sr VP, General Counsel &amp; Chief Compliance Officer</t>
  </si>
  <si>
    <t>Sr VP HR &amp; Corporate Secretary</t>
  </si>
  <si>
    <r>
      <t xml:space="preserve">Burmeister- Smith, Christy </t>
    </r>
    <r>
      <rPr>
        <sz val="8"/>
        <color indexed="8"/>
        <rFont val="Times New Roman"/>
        <family val="1"/>
      </rPr>
      <t>(3) (10)</t>
    </r>
  </si>
  <si>
    <t>Kensok, James (1)</t>
  </si>
  <si>
    <t>VP &amp; Chief Counsel of Regulatory &amp; Govt Affairs</t>
  </si>
  <si>
    <t>68605</t>
  </si>
  <si>
    <r>
      <t>Peterson, Ronald R</t>
    </r>
    <r>
      <rPr>
        <sz val="8"/>
        <color indexed="8"/>
        <rFont val="Times New Roman"/>
        <family val="1"/>
      </rPr>
      <t xml:space="preserve"> (7)</t>
    </r>
  </si>
  <si>
    <t>VP Power Supply (Retired)</t>
  </si>
  <si>
    <r>
      <t>Vermillion, Dennis P</t>
    </r>
    <r>
      <rPr>
        <sz val="8"/>
        <color indexed="8"/>
        <rFont val="Times New Roman"/>
        <family val="1"/>
      </rPr>
      <t xml:space="preserve"> (8)</t>
    </r>
  </si>
  <si>
    <r>
      <t xml:space="preserve">Wilson, Ann </t>
    </r>
    <r>
      <rPr>
        <sz val="8"/>
        <color indexed="8"/>
        <rFont val="Times New Roman"/>
        <family val="1"/>
      </rPr>
      <t>(4) (11)</t>
    </r>
  </si>
  <si>
    <t>VP Finance &amp; Treasurer</t>
  </si>
  <si>
    <t>1)Promoted to VP on 12/27/06</t>
  </si>
  <si>
    <t>2)Hired on 8/1/2005</t>
  </si>
  <si>
    <t>3)Reorg - transfer from Controller to Treasurer on 1/6/2006 - no salary change</t>
  </si>
  <si>
    <t>4)Reorg - promoted from Avista Energy 1/9/2006 - salary changed from $150,000 to $165,000</t>
  </si>
  <si>
    <t>5)Promoted on 05/15/06</t>
  </si>
  <si>
    <t>6)Retired 12/31/07</t>
  </si>
  <si>
    <t>7)Retired 07/31/07</t>
  </si>
  <si>
    <t>8)Reorg - transfer from Avista Energy 7/1/07</t>
  </si>
  <si>
    <t>9)Promoted on 01/01/08 to CEO</t>
  </si>
  <si>
    <t>10)Reorg - transfer from Treasurer back to Controller on 3/3/08</t>
  </si>
  <si>
    <t>11)Promoted to VP Finance &amp; Treasurer 2/18/08</t>
  </si>
  <si>
    <t>Salaries in blue indicate increases</t>
  </si>
  <si>
    <t>12ME Alloc</t>
  </si>
  <si>
    <t>Remove Impact of 12 Months Ended September, 2008 Officer Compensation</t>
  </si>
  <si>
    <t>2009 projection</t>
  </si>
  <si>
    <t>12 month ended Sept 2008 actual</t>
  </si>
  <si>
    <t>Accounting Period Parameter 1 : '200710' , Accounting Period Parameter 2 : '200809'</t>
  </si>
  <si>
    <t>Accounting Period:&lt;All&gt;</t>
  </si>
  <si>
    <t>Expenditure Type</t>
  </si>
  <si>
    <t>Actual SUM</t>
  </si>
  <si>
    <t>Medical</t>
  </si>
  <si>
    <t>2010 Exec</t>
  </si>
  <si>
    <t>Factor to adjust Oct 1, 2007 - March 26, 2008</t>
  </si>
  <si>
    <t>Factor to adjust Oct 1, 2007 - February 2008</t>
  </si>
  <si>
    <t>Factor to adjust  March 27, 2010 - June 30, 2010</t>
  </si>
  <si>
    <t>Factor to adjust  March 1, 2010 - June 30, 2010</t>
  </si>
  <si>
    <t>Elec</t>
  </si>
  <si>
    <t>Gas N</t>
  </si>
  <si>
    <t>Gas S</t>
  </si>
  <si>
    <t xml:space="preserve">Eliminate </t>
  </si>
  <si>
    <t>Before adjustment</t>
  </si>
  <si>
    <t>Adjust</t>
  </si>
  <si>
    <t>O&amp;M</t>
  </si>
  <si>
    <t xml:space="preserve">(1)  2009 projected expense less 12ME 9/30/2008 actual expense </t>
  </si>
  <si>
    <t xml:space="preserve">  (Eliminate Storro)</t>
  </si>
  <si>
    <t xml:space="preserve">PF3 </t>
  </si>
  <si>
    <t>PF4</t>
  </si>
  <si>
    <t>PF17 combined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</si>
</sst>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Admin. &quot;0.000%"/>
    <numFmt numFmtId="166" formatCode="&quot;Union &quot;0.000%"/>
    <numFmt numFmtId="167" formatCode="&quot;$&quot;#,##0"/>
    <numFmt numFmtId="168" formatCode="0.0%"/>
    <numFmt numFmtId="169" formatCode="&quot;WA &quot;0.000%"/>
    <numFmt numFmtId="170" formatCode="&quot;ID &quot;0.000%"/>
    <numFmt numFmtId="171" formatCode="&quot;WPNG Note 7 &quot;0.000%"/>
    <numFmt numFmtId="172" formatCode="00000"/>
    <numFmt numFmtId="173" formatCode="&quot;El Note 7   &quot;0.000%"/>
    <numFmt numFmtId="174" formatCode="&quot;Gas Note 7   &quot;0.000%"/>
    <numFmt numFmtId="175" formatCode="#,##0.000"/>
    <numFmt numFmtId="176" formatCode="_(* #,##0_);_(* \(#,##0\);_(* &quot;-&quot;??_);_(@_)"/>
    <numFmt numFmtId="177" formatCode="0.00000%"/>
    <numFmt numFmtId="178" formatCode="&quot;ORCA Note 7 &quot;0.000%"/>
    <numFmt numFmtId="179" formatCode="&quot;OR &quot;0.000%"/>
    <numFmt numFmtId="180" formatCode="&quot;CA &quot;0.000%"/>
    <numFmt numFmtId="181" formatCode="&quot;Gas Note x   &quot;0.000%"/>
    <numFmt numFmtId="182" formatCode="&quot;ORCA Note x &quot;0.000%"/>
    <numFmt numFmtId="183" formatCode="&quot;Gas Note 8   &quot;0.000%"/>
    <numFmt numFmtId="184" formatCode="&quot;ORCA Note 8 &quot;0.000%"/>
    <numFmt numFmtId="185" formatCode="0.0000%"/>
    <numFmt numFmtId="186" formatCode="#,##0.0_);\(#,##0.0\)"/>
    <numFmt numFmtId="187" formatCode="#,##0.000_);\(#,##0.000\)"/>
    <numFmt numFmtId="188" formatCode="0_);\(0\)"/>
    <numFmt numFmtId="189" formatCode="#,##0.0000_);\(#,##0.0000\)"/>
    <numFmt numFmtId="190" formatCode="&quot;Admin &quot;0.000%"/>
    <numFmt numFmtId="191" formatCode="&quot;Note 4&quot;0.000%"/>
    <numFmt numFmtId="192" formatCode="&quot;Note 4 &quot;0.000%"/>
    <numFmt numFmtId="193" formatCode="&quot;Note 7 &quot;0.000%"/>
    <numFmt numFmtId="194" formatCode="#,###,###,###,###.00"/>
    <numFmt numFmtId="195" formatCode="_(* #,##0.0_);_(* \(#,##0.0\);_(* &quot;-&quot;??_);_(@_)"/>
    <numFmt numFmtId="196" formatCode="#,###,###,###.00"/>
    <numFmt numFmtId="197" formatCode="_(* #,##0.000_);_(* \(#,##0.000\);_(* &quot;-&quot;??_);_(@_)"/>
    <numFmt numFmtId="198" formatCode="_(* #,##0.0000_);_(* \(#,##0.0000\);_(* &quot;-&quot;??_);_(@_)"/>
    <numFmt numFmtId="199" formatCode="&quot;OR Note 7 &quot;"/>
    <numFmt numFmtId="200" formatCode="&quot;OR Note 7 &quot;0.000%"/>
    <numFmt numFmtId="201" formatCode="&quot;OR Note 7  &quot;0.000%"/>
    <numFmt numFmtId="202" formatCode="&quot;OR Note 8  &quot;0.000%"/>
    <numFmt numFmtId="203" formatCode="&quot;OR Note 8 &quot;0.000%"/>
    <numFmt numFmtId="204" formatCode="_(&quot;$&quot;* #,##0_);_(&quot;$&quot;* \(#,##0\);_(&quot;$&quot;* &quot;-&quot;??_);_(@_)"/>
    <numFmt numFmtId="205" formatCode="mm&quot;/&quot;dd&quot;/&quot;yyyy"/>
    <numFmt numFmtId="206" formatCode="&quot;$&quot;#,##0.000"/>
    <numFmt numFmtId="207" formatCode="#,###,###,##0.00"/>
    <numFmt numFmtId="208" formatCode="#,##0_);\-#,##0"/>
    <numFmt numFmtId="209" formatCode="#,##0.00_);\-#,##0.00"/>
    <numFmt numFmtId="210" formatCode="&quot;$&quot;#,##0.00"/>
    <numFmt numFmtId="211" formatCode="0.0000000000"/>
    <numFmt numFmtId="212" formatCode="0.00000000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0.0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Geneva"/>
      <family val="0"/>
    </font>
    <font>
      <u val="single"/>
      <sz val="10"/>
      <name val="Times New Roman"/>
      <family val="1"/>
    </font>
    <font>
      <sz val="10"/>
      <name val="Arial"/>
      <family val="0"/>
    </font>
    <font>
      <sz val="8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0"/>
    </font>
    <font>
      <b/>
      <sz val="8"/>
      <name val="Tahoma"/>
      <family val="0"/>
    </font>
    <font>
      <i/>
      <sz val="10"/>
      <color indexed="10"/>
      <name val="Times New Roman"/>
      <family val="1"/>
    </font>
    <font>
      <b/>
      <sz val="9"/>
      <name val="Times New Roman"/>
      <family val="1"/>
    </font>
    <font>
      <i/>
      <sz val="8"/>
      <color indexed="10"/>
      <name val="Times New Roman"/>
      <family val="1"/>
    </font>
    <font>
      <i/>
      <sz val="10"/>
      <color indexed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7"/>
      <name val="Times New Roman"/>
      <family val="1"/>
    </font>
    <font>
      <sz val="8"/>
      <name val="Tahoma"/>
      <family val="0"/>
    </font>
    <font>
      <sz val="12"/>
      <color indexed="12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Arial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"/>
      <color indexed="8"/>
      <name val="Arial"/>
      <family val="2"/>
    </font>
    <font>
      <sz val="9"/>
      <name val="Times New Roman"/>
      <family val="1"/>
    </font>
    <font>
      <sz val="8"/>
      <color indexed="12"/>
      <name val="Times New Roman"/>
      <family val="1"/>
    </font>
    <font>
      <u val="single"/>
      <sz val="9.95"/>
      <color indexed="8"/>
      <name val="Times New Roman"/>
      <family val="0"/>
    </font>
    <font>
      <u val="single"/>
      <sz val="9.95"/>
      <name val="Times New Roman"/>
      <family val="1"/>
    </font>
    <font>
      <u val="single"/>
      <sz val="9.95"/>
      <color indexed="10"/>
      <name val="Times New Roman"/>
      <family val="1"/>
    </font>
    <font>
      <sz val="9.95"/>
      <color indexed="8"/>
      <name val="Times New Roman"/>
      <family val="0"/>
    </font>
    <font>
      <sz val="9.95"/>
      <name val="Times New Roman"/>
      <family val="1"/>
    </font>
    <font>
      <sz val="9.95"/>
      <color indexed="12"/>
      <name val="Times New Roman"/>
      <family val="1"/>
    </font>
    <font>
      <sz val="11"/>
      <color indexed="8"/>
      <name val="Arial"/>
      <family val="2"/>
    </font>
    <font>
      <b/>
      <sz val="14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16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0" borderId="0" xfId="0" applyNumberFormat="1" applyFont="1" applyBorder="1" applyAlignment="1">
      <alignment/>
    </xf>
    <xf numFmtId="0" fontId="0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167" fontId="0" fillId="0" borderId="0" xfId="24" applyNumberFormat="1" applyFont="1">
      <alignment/>
      <protection/>
    </xf>
    <xf numFmtId="44" fontId="0" fillId="0" borderId="0" xfId="17" applyFont="1" applyAlignment="1">
      <alignment/>
    </xf>
    <xf numFmtId="164" fontId="0" fillId="0" borderId="1" xfId="25" applyNumberFormat="1" applyFont="1" applyBorder="1" applyAlignment="1">
      <alignment/>
    </xf>
    <xf numFmtId="0" fontId="0" fillId="0" borderId="0" xfId="23" applyFont="1">
      <alignment/>
      <protection/>
    </xf>
    <xf numFmtId="0" fontId="1" fillId="0" borderId="0" xfId="23" applyFont="1">
      <alignment/>
      <protection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right"/>
      <protection/>
    </xf>
    <xf numFmtId="0" fontId="10" fillId="0" borderId="0" xfId="24" applyFont="1" applyAlignment="1">
      <alignment horizontal="center"/>
      <protection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1" fillId="0" borderId="0" xfId="15" applyNumberFormat="1" applyFont="1" applyAlignment="1">
      <alignment/>
    </xf>
    <xf numFmtId="37" fontId="0" fillId="0" borderId="0" xfId="15" applyNumberFormat="1" applyFont="1" applyAlignment="1">
      <alignment/>
    </xf>
    <xf numFmtId="37" fontId="0" fillId="0" borderId="2" xfId="21" applyNumberFormat="1" applyFont="1" applyBorder="1">
      <alignment/>
      <protection/>
    </xf>
    <xf numFmtId="37" fontId="0" fillId="0" borderId="0" xfId="21" applyNumberFormat="1" applyFont="1">
      <alignment/>
      <protection/>
    </xf>
    <xf numFmtId="0" fontId="11" fillId="0" borderId="0" xfId="23" applyFont="1">
      <alignment/>
      <protection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65" fontId="15" fillId="0" borderId="0" xfId="0" applyNumberFormat="1" applyFont="1" applyAlignment="1">
      <alignment horizontal="center"/>
    </xf>
    <xf numFmtId="37" fontId="0" fillId="0" borderId="0" xfId="21" applyNumberFormat="1" applyFont="1" applyBorder="1">
      <alignment/>
      <protection/>
    </xf>
    <xf numFmtId="0" fontId="0" fillId="0" borderId="0" xfId="23" applyFont="1" applyBorder="1">
      <alignment/>
      <protection/>
    </xf>
    <xf numFmtId="164" fontId="2" fillId="0" borderId="0" xfId="23" applyNumberFormat="1" applyFont="1" applyBorder="1">
      <alignment/>
      <protection/>
    </xf>
    <xf numFmtId="0" fontId="2" fillId="0" borderId="0" xfId="23" applyFont="1" applyBorder="1">
      <alignment/>
      <protection/>
    </xf>
    <xf numFmtId="164" fontId="3" fillId="0" borderId="0" xfId="23" applyNumberFormat="1" applyFont="1" applyBorder="1">
      <alignment/>
      <protection/>
    </xf>
    <xf numFmtId="0" fontId="2" fillId="0" borderId="0" xfId="24" applyFont="1">
      <alignment/>
      <protection/>
    </xf>
    <xf numFmtId="0" fontId="16" fillId="0" borderId="0" xfId="24" applyFont="1">
      <alignment/>
      <protection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24" applyFont="1" applyBorder="1">
      <alignment/>
      <protection/>
    </xf>
    <xf numFmtId="167" fontId="0" fillId="0" borderId="3" xfId="24" applyNumberFormat="1" applyFont="1" applyBorder="1">
      <alignment/>
      <protection/>
    </xf>
    <xf numFmtId="0" fontId="5" fillId="0" borderId="0" xfId="0" applyFont="1" applyAlignment="1">
      <alignment/>
    </xf>
    <xf numFmtId="37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37" fontId="0" fillId="0" borderId="2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39" fontId="8" fillId="0" borderId="0" xfId="0" applyNumberFormat="1" applyFont="1" applyAlignment="1">
      <alignment/>
    </xf>
    <xf numFmtId="39" fontId="1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9" fontId="0" fillId="0" borderId="2" xfId="0" applyNumberFormat="1" applyFont="1" applyBorder="1" applyAlignment="1">
      <alignment/>
    </xf>
    <xf numFmtId="39" fontId="14" fillId="0" borderId="2" xfId="0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0" fontId="0" fillId="0" borderId="1" xfId="21" applyFont="1" applyBorder="1" applyAlignment="1">
      <alignment horizontal="right"/>
      <protection/>
    </xf>
    <xf numFmtId="164" fontId="0" fillId="0" borderId="0" xfId="21" applyNumberFormat="1" applyFont="1">
      <alignment/>
      <protection/>
    </xf>
    <xf numFmtId="39" fontId="0" fillId="0" borderId="0" xfId="21" applyNumberFormat="1" applyFont="1">
      <alignment/>
      <protection/>
    </xf>
    <xf numFmtId="39" fontId="0" fillId="0" borderId="2" xfId="21" applyNumberFormat="1" applyFont="1" applyBorder="1">
      <alignment/>
      <protection/>
    </xf>
    <xf numFmtId="44" fontId="0" fillId="0" borderId="0" xfId="17" applyFont="1" applyBorder="1" applyAlignment="1">
      <alignment/>
    </xf>
    <xf numFmtId="0" fontId="16" fillId="0" borderId="0" xfId="24" applyFont="1" applyBorder="1">
      <alignment/>
      <protection/>
    </xf>
    <xf numFmtId="0" fontId="18" fillId="0" borderId="0" xfId="22" applyFont="1" applyAlignment="1">
      <alignment horizontal="left"/>
      <protection/>
    </xf>
    <xf numFmtId="37" fontId="0" fillId="0" borderId="0" xfId="0" applyNumberFormat="1" applyAlignment="1">
      <alignment/>
    </xf>
    <xf numFmtId="0" fontId="19" fillId="0" borderId="0" xfId="22" applyFont="1" applyAlignment="1">
      <alignment horizontal="left"/>
      <protection/>
    </xf>
    <xf numFmtId="0" fontId="20" fillId="0" borderId="0" xfId="22" applyFont="1">
      <alignment/>
      <protection/>
    </xf>
    <xf numFmtId="37" fontId="21" fillId="0" borderId="0" xfId="22" applyNumberFormat="1" applyFont="1">
      <alignment/>
      <protection/>
    </xf>
    <xf numFmtId="37" fontId="22" fillId="0" borderId="0" xfId="22" applyNumberFormat="1" applyFont="1">
      <alignment/>
      <protection/>
    </xf>
    <xf numFmtId="37" fontId="22" fillId="0" borderId="0" xfId="22" applyNumberFormat="1" applyFont="1" applyAlignment="1">
      <alignment horizontal="right"/>
      <protection/>
    </xf>
    <xf numFmtId="172" fontId="22" fillId="0" borderId="0" xfId="22" applyNumberFormat="1" applyFont="1" applyBorder="1" applyAlignment="1">
      <alignment horizontal="center"/>
      <protection/>
    </xf>
    <xf numFmtId="37" fontId="22" fillId="0" borderId="0" xfId="22" applyNumberFormat="1" applyFont="1" applyBorder="1" applyAlignment="1">
      <alignment horizontal="right"/>
      <protection/>
    </xf>
    <xf numFmtId="10" fontId="22" fillId="0" borderId="0" xfId="25" applyNumberFormat="1" applyFont="1" applyBorder="1" applyAlignment="1">
      <alignment horizontal="right"/>
    </xf>
    <xf numFmtId="37" fontId="0" fillId="0" borderId="0" xfId="22" applyNumberFormat="1" applyFont="1" applyBorder="1" applyAlignment="1">
      <alignment horizontal="right"/>
      <protection/>
    </xf>
    <xf numFmtId="172" fontId="0" fillId="0" borderId="0" xfId="22" applyNumberFormat="1" applyFont="1" applyBorder="1" applyAlignment="1">
      <alignment horizontal="center"/>
      <protection/>
    </xf>
    <xf numFmtId="10" fontId="0" fillId="0" borderId="0" xfId="25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8" fillId="0" borderId="0" xfId="0" applyNumberFormat="1" applyFont="1" applyAlignment="1">
      <alignment/>
    </xf>
    <xf numFmtId="0" fontId="22" fillId="0" borderId="0" xfId="22" applyFont="1">
      <alignment/>
      <protection/>
    </xf>
    <xf numFmtId="172" fontId="22" fillId="0" borderId="0" xfId="22" applyNumberFormat="1" applyFont="1" applyAlignment="1">
      <alignment horizontal="center"/>
      <protection/>
    </xf>
    <xf numFmtId="37" fontId="22" fillId="0" borderId="4" xfId="22" applyNumberFormat="1" applyFont="1" applyBorder="1" applyAlignment="1">
      <alignment horizontal="right"/>
      <protection/>
    </xf>
    <xf numFmtId="37" fontId="22" fillId="0" borderId="5" xfId="22" applyNumberFormat="1" applyFont="1" applyBorder="1">
      <alignment/>
      <protection/>
    </xf>
    <xf numFmtId="0" fontId="0" fillId="0" borderId="0" xfId="22" applyFont="1" applyAlignment="1">
      <alignment horizontal="left"/>
      <protection/>
    </xf>
    <xf numFmtId="0" fontId="22" fillId="0" borderId="0" xfId="22" applyFont="1" applyBorder="1">
      <alignment/>
      <protection/>
    </xf>
    <xf numFmtId="0" fontId="22" fillId="0" borderId="0" xfId="22" applyFont="1" applyBorder="1" applyAlignment="1">
      <alignment horizontal="right"/>
      <protection/>
    </xf>
    <xf numFmtId="3" fontId="22" fillId="0" borderId="4" xfId="22" applyNumberFormat="1" applyFont="1" applyBorder="1">
      <alignment/>
      <protection/>
    </xf>
    <xf numFmtId="0" fontId="25" fillId="0" borderId="0" xfId="22" applyFont="1">
      <alignment/>
      <protection/>
    </xf>
    <xf numFmtId="37" fontId="22" fillId="0" borderId="0" xfId="22" applyNumberFormat="1" applyFont="1" applyBorder="1">
      <alignment/>
      <protection/>
    </xf>
    <xf numFmtId="37" fontId="0" fillId="0" borderId="0" xfId="22" applyNumberFormat="1" applyFont="1" applyBorder="1">
      <alignment/>
      <protection/>
    </xf>
    <xf numFmtId="37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7" fontId="22" fillId="0" borderId="4" xfId="22" applyNumberFormat="1" applyFont="1" applyBorder="1">
      <alignment/>
      <protection/>
    </xf>
    <xf numFmtId="0" fontId="20" fillId="0" borderId="0" xfId="22" applyFont="1" applyAlignment="1">
      <alignment horizontal="center"/>
      <protection/>
    </xf>
    <xf numFmtId="37" fontId="1" fillId="0" borderId="0" xfId="0" applyNumberFormat="1" applyFont="1" applyAlignment="1">
      <alignment/>
    </xf>
    <xf numFmtId="0" fontId="20" fillId="0" borderId="0" xfId="22" applyFont="1" applyAlignment="1">
      <alignment horizontal="right"/>
      <protection/>
    </xf>
    <xf numFmtId="164" fontId="0" fillId="0" borderId="0" xfId="22" applyNumberFormat="1" applyFont="1">
      <alignment/>
      <protection/>
    </xf>
    <xf numFmtId="0" fontId="27" fillId="0" borderId="0" xfId="22" applyFont="1" applyAlignment="1">
      <alignment horizontal="center"/>
      <protection/>
    </xf>
    <xf numFmtId="0" fontId="23" fillId="0" borderId="0" xfId="22" applyFont="1" applyBorder="1">
      <alignment/>
      <protection/>
    </xf>
    <xf numFmtId="37" fontId="1" fillId="0" borderId="0" xfId="22" applyNumberFormat="1" applyFont="1" applyBorder="1">
      <alignment/>
      <protection/>
    </xf>
    <xf numFmtId="0" fontId="1" fillId="0" borderId="0" xfId="22" applyFont="1">
      <alignment/>
      <protection/>
    </xf>
    <xf numFmtId="0" fontId="23" fillId="0" borderId="0" xfId="22" applyFont="1">
      <alignment/>
      <protection/>
    </xf>
    <xf numFmtId="37" fontId="0" fillId="0" borderId="5" xfId="22" applyNumberFormat="1" applyFont="1" applyBorder="1">
      <alignment/>
      <protection/>
    </xf>
    <xf numFmtId="37" fontId="1" fillId="0" borderId="0" xfId="22" applyNumberFormat="1" applyFont="1">
      <alignment/>
      <protection/>
    </xf>
    <xf numFmtId="176" fontId="25" fillId="0" borderId="0" xfId="15" applyNumberFormat="1" applyFont="1" applyAlignment="1">
      <alignment/>
    </xf>
    <xf numFmtId="0" fontId="10" fillId="0" borderId="0" xfId="21" applyFont="1" applyAlignment="1">
      <alignment horizontal="left"/>
      <protection/>
    </xf>
    <xf numFmtId="0" fontId="23" fillId="0" borderId="0" xfId="22" applyNumberFormat="1" applyFont="1" applyAlignment="1">
      <alignment horizontal="center"/>
      <protection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37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1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2" fillId="0" borderId="0" xfId="22" applyFont="1" applyAlignment="1">
      <alignment horizontal="left"/>
      <protection/>
    </xf>
    <xf numFmtId="37" fontId="22" fillId="0" borderId="1" xfId="22" applyNumberFormat="1" applyFont="1" applyBorder="1">
      <alignment/>
      <protection/>
    </xf>
    <xf numFmtId="188" fontId="22" fillId="0" borderId="0" xfId="22" applyNumberFormat="1" applyFont="1">
      <alignment/>
      <protection/>
    </xf>
    <xf numFmtId="0" fontId="27" fillId="0" borderId="0" xfId="22" applyFont="1">
      <alignment/>
      <protection/>
    </xf>
    <xf numFmtId="37" fontId="23" fillId="0" borderId="0" xfId="22" applyNumberFormat="1" applyFont="1">
      <alignment/>
      <protection/>
    </xf>
    <xf numFmtId="189" fontId="0" fillId="0" borderId="0" xfId="22" applyNumberFormat="1" applyFont="1">
      <alignment/>
      <protection/>
    </xf>
    <xf numFmtId="0" fontId="7" fillId="0" borderId="0" xfId="0" applyFont="1" applyBorder="1" applyAlignment="1">
      <alignment horizontal="left"/>
    </xf>
    <xf numFmtId="37" fontId="26" fillId="0" borderId="0" xfId="0" applyNumberFormat="1" applyFont="1" applyAlignment="1">
      <alignment/>
    </xf>
    <xf numFmtId="0" fontId="23" fillId="0" borderId="1" xfId="22" applyNumberFormat="1" applyFont="1" applyBorder="1" applyAlignment="1">
      <alignment horizontal="center"/>
      <protection/>
    </xf>
    <xf numFmtId="37" fontId="23" fillId="0" borderId="1" xfId="22" applyNumberFormat="1" applyFont="1" applyBorder="1" applyAlignment="1">
      <alignment horizontal="center"/>
      <protection/>
    </xf>
    <xf numFmtId="0" fontId="29" fillId="0" borderId="0" xfId="22" applyFont="1">
      <alignment/>
      <protection/>
    </xf>
    <xf numFmtId="37" fontId="1" fillId="0" borderId="0" xfId="22" applyNumberFormat="1" applyFont="1" applyAlignment="1">
      <alignment horizontal="center"/>
      <protection/>
    </xf>
    <xf numFmtId="37" fontId="1" fillId="0" borderId="1" xfId="22" applyNumberFormat="1" applyFont="1" applyBorder="1" applyAlignment="1">
      <alignment horizontal="center"/>
      <protection/>
    </xf>
    <xf numFmtId="37" fontId="0" fillId="0" borderId="5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7" fontId="0" fillId="0" borderId="3" xfId="22" applyNumberFormat="1" applyFont="1" applyBorder="1">
      <alignment/>
      <protection/>
    </xf>
    <xf numFmtId="37" fontId="24" fillId="0" borderId="0" xfId="22" applyNumberFormat="1" applyFont="1">
      <alignment/>
      <protection/>
    </xf>
    <xf numFmtId="0" fontId="0" fillId="0" borderId="1" xfId="0" applyFont="1" applyBorder="1" applyAlignment="1">
      <alignment/>
    </xf>
    <xf numFmtId="19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37" fontId="0" fillId="0" borderId="1" xfId="0" applyNumberFormat="1" applyFont="1" applyBorder="1" applyAlignment="1">
      <alignment horizontal="right"/>
    </xf>
    <xf numFmtId="190" fontId="15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64" fontId="1" fillId="0" borderId="0" xfId="23" applyNumberFormat="1" applyFont="1" applyBorder="1">
      <alignment/>
      <protection/>
    </xf>
    <xf numFmtId="3" fontId="15" fillId="0" borderId="0" xfId="0" applyNumberFormat="1" applyFont="1" applyAlignment="1">
      <alignment horizontal="center"/>
    </xf>
    <xf numFmtId="37" fontId="0" fillId="0" borderId="1" xfId="22" applyNumberFormat="1" applyFont="1" applyBorder="1" applyAlignment="1">
      <alignment horizontal="right"/>
      <protection/>
    </xf>
    <xf numFmtId="189" fontId="0" fillId="0" borderId="0" xfId="0" applyNumberFormat="1" applyAlignment="1">
      <alignment/>
    </xf>
    <xf numFmtId="0" fontId="5" fillId="0" borderId="0" xfId="24" applyFont="1">
      <alignment/>
      <protection/>
    </xf>
    <xf numFmtId="39" fontId="8" fillId="0" borderId="0" xfId="21" applyNumberFormat="1" applyFont="1">
      <alignment/>
      <protection/>
    </xf>
    <xf numFmtId="2" fontId="0" fillId="0" borderId="0" xfId="21" applyNumberFormat="1" applyFont="1" applyAlignment="1">
      <alignment horizontal="left"/>
      <protection/>
    </xf>
    <xf numFmtId="0" fontId="32" fillId="0" borderId="0" xfId="22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0" fillId="2" borderId="0" xfId="0" applyFont="1" applyFill="1" applyAlignment="1">
      <alignment/>
    </xf>
    <xf numFmtId="164" fontId="0" fillId="0" borderId="3" xfId="23" applyNumberFormat="1" applyFont="1" applyBorder="1">
      <alignment/>
      <protection/>
    </xf>
    <xf numFmtId="39" fontId="0" fillId="2" borderId="2" xfId="0" applyNumberFormat="1" applyFont="1" applyFill="1" applyBorder="1" applyAlignment="1">
      <alignment/>
    </xf>
    <xf numFmtId="39" fontId="0" fillId="3" borderId="2" xfId="0" applyNumberFormat="1" applyFont="1" applyFill="1" applyBorder="1" applyAlignment="1">
      <alignment/>
    </xf>
    <xf numFmtId="39" fontId="0" fillId="2" borderId="2" xfId="21" applyNumberFormat="1" applyFont="1" applyFill="1" applyBorder="1">
      <alignment/>
      <protection/>
    </xf>
    <xf numFmtId="0" fontId="0" fillId="0" borderId="0" xfId="0" applyNumberFormat="1" applyAlignment="1">
      <alignment horizontal="center"/>
    </xf>
    <xf numFmtId="37" fontId="22" fillId="0" borderId="0" xfId="22" applyNumberFormat="1" applyFont="1" applyFill="1" applyBorder="1">
      <alignment/>
      <protection/>
    </xf>
    <xf numFmtId="0" fontId="17" fillId="0" borderId="0" xfId="24" applyFont="1" applyFill="1" applyBorder="1">
      <alignment/>
      <protection/>
    </xf>
    <xf numFmtId="39" fontId="0" fillId="0" borderId="2" xfId="0" applyNumberFormat="1" applyFont="1" applyFill="1" applyBorder="1" applyAlignment="1">
      <alignment/>
    </xf>
    <xf numFmtId="44" fontId="0" fillId="0" borderId="0" xfId="24" applyNumberFormat="1" applyFont="1" applyFill="1" applyBorder="1">
      <alignment/>
      <protection/>
    </xf>
    <xf numFmtId="0" fontId="0" fillId="0" borderId="0" xfId="24" applyFont="1" applyFill="1" applyBorder="1">
      <alignment/>
      <protection/>
    </xf>
    <xf numFmtId="0" fontId="22" fillId="0" borderId="0" xfId="22" applyFont="1" applyFill="1" applyBorder="1">
      <alignment/>
      <protection/>
    </xf>
    <xf numFmtId="37" fontId="22" fillId="0" borderId="0" xfId="22" applyNumberFormat="1" applyFont="1" applyFill="1">
      <alignment/>
      <protection/>
    </xf>
    <xf numFmtId="0" fontId="0" fillId="0" borderId="0" xfId="0" applyFill="1" applyAlignment="1">
      <alignment horizontal="center"/>
    </xf>
    <xf numFmtId="5" fontId="0" fillId="0" borderId="1" xfId="0" applyNumberFormat="1" applyBorder="1" applyAlignment="1">
      <alignment/>
    </xf>
    <xf numFmtId="10" fontId="0" fillId="0" borderId="0" xfId="25" applyNumberFormat="1" applyFill="1" applyAlignment="1">
      <alignment/>
    </xf>
    <xf numFmtId="37" fontId="30" fillId="0" borderId="0" xfId="0" applyNumberFormat="1" applyFont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0" xfId="21" applyFont="1" applyFill="1" applyAlignment="1">
      <alignment horizontal="left"/>
      <protection/>
    </xf>
    <xf numFmtId="167" fontId="0" fillId="0" borderId="0" xfId="24" applyNumberFormat="1" applyFont="1" applyFill="1">
      <alignment/>
      <protection/>
    </xf>
    <xf numFmtId="0" fontId="33" fillId="0" borderId="0" xfId="23" applyFont="1">
      <alignment/>
      <protection/>
    </xf>
    <xf numFmtId="176" fontId="0" fillId="0" borderId="0" xfId="15" applyNumberFormat="1" applyFont="1" applyAlignment="1">
      <alignment/>
    </xf>
    <xf numFmtId="37" fontId="34" fillId="0" borderId="0" xfId="22" applyNumberFormat="1" applyFont="1" applyAlignment="1">
      <alignment horizontal="center"/>
      <protection/>
    </xf>
    <xf numFmtId="0" fontId="37" fillId="0" borderId="6" xfId="0" applyFont="1" applyFill="1" applyBorder="1" applyAlignment="1">
      <alignment horizontal="left" vertical="top"/>
    </xf>
    <xf numFmtId="194" fontId="37" fillId="0" borderId="6" xfId="0" applyNumberFormat="1" applyFont="1" applyFill="1" applyBorder="1" applyAlignment="1">
      <alignment horizontal="right" vertical="top"/>
    </xf>
    <xf numFmtId="194" fontId="37" fillId="0" borderId="6" xfId="0" applyNumberFormat="1" applyFont="1" applyFill="1" applyBorder="1" applyAlignment="1">
      <alignment horizontal="left" vertical="top"/>
    </xf>
    <xf numFmtId="39" fontId="0" fillId="3" borderId="2" xfId="21" applyNumberFormat="1" applyFont="1" applyFill="1" applyBorder="1">
      <alignment/>
      <protection/>
    </xf>
    <xf numFmtId="37" fontId="0" fillId="2" borderId="1" xfId="0" applyNumberFormat="1" applyFill="1" applyBorder="1" applyAlignment="1">
      <alignment horizontal="center"/>
    </xf>
    <xf numFmtId="172" fontId="0" fillId="2" borderId="0" xfId="22" applyNumberFormat="1" applyFont="1" applyFill="1" applyBorder="1" applyAlignment="1">
      <alignment horizontal="center"/>
      <protection/>
    </xf>
    <xf numFmtId="9" fontId="0" fillId="2" borderId="0" xfId="25" applyFill="1" applyAlignment="1">
      <alignment/>
    </xf>
    <xf numFmtId="172" fontId="22" fillId="2" borderId="0" xfId="22" applyNumberFormat="1" applyFont="1" applyFill="1" applyBorder="1" applyAlignment="1">
      <alignment horizontal="center"/>
      <protection/>
    </xf>
    <xf numFmtId="37" fontId="0" fillId="0" borderId="0" xfId="0" applyNumberFormat="1" applyFill="1" applyAlignment="1">
      <alignment/>
    </xf>
    <xf numFmtId="9" fontId="0" fillId="0" borderId="0" xfId="25" applyFill="1" applyAlignment="1">
      <alignment/>
    </xf>
    <xf numFmtId="10" fontId="33" fillId="0" borderId="0" xfId="23" applyNumberFormat="1" applyFont="1" applyFill="1">
      <alignment/>
      <protection/>
    </xf>
    <xf numFmtId="10" fontId="0" fillId="0" borderId="0" xfId="25" applyNumberFormat="1" applyAlignment="1">
      <alignment/>
    </xf>
    <xf numFmtId="37" fontId="0" fillId="0" borderId="0" xfId="22" applyNumberFormat="1" applyFont="1" applyBorder="1" applyAlignment="1">
      <alignment horizontal="left"/>
      <protection/>
    </xf>
    <xf numFmtId="37" fontId="0" fillId="3" borderId="2" xfId="0" applyNumberFormat="1" applyFont="1" applyFill="1" applyBorder="1" applyAlignment="1">
      <alignment/>
    </xf>
    <xf numFmtId="37" fontId="1" fillId="2" borderId="2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7" fontId="0" fillId="3" borderId="2" xfId="21" applyNumberFormat="1" applyFont="1" applyFill="1" applyBorder="1">
      <alignment/>
      <protection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2" xfId="21" applyNumberFormat="1" applyFont="1" applyFill="1" applyBorder="1">
      <alignment/>
      <protection/>
    </xf>
    <xf numFmtId="37" fontId="0" fillId="0" borderId="0" xfId="21" applyNumberFormat="1" applyFont="1" applyFill="1">
      <alignment/>
      <protection/>
    </xf>
    <xf numFmtId="37" fontId="0" fillId="0" borderId="0" xfId="0" applyNumberFormat="1" applyFont="1" applyFill="1" applyBorder="1" applyAlignment="1">
      <alignment/>
    </xf>
    <xf numFmtId="37" fontId="0" fillId="2" borderId="2" xfId="21" applyNumberFormat="1" applyFont="1" applyFill="1" applyBorder="1">
      <alignment/>
      <protection/>
    </xf>
    <xf numFmtId="9" fontId="8" fillId="2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3" fontId="8" fillId="0" borderId="0" xfId="0" applyNumberFormat="1" applyFont="1" applyAlignment="1" quotePrefix="1">
      <alignment horizontal="center"/>
    </xf>
    <xf numFmtId="0" fontId="8" fillId="0" borderId="0" xfId="22" applyFont="1" applyAlignment="1">
      <alignment horizontal="left"/>
      <protection/>
    </xf>
    <xf numFmtId="0" fontId="39" fillId="0" borderId="0" xfId="22" applyNumberFormat="1" applyFont="1" applyAlignment="1">
      <alignment horizontal="center"/>
      <protection/>
    </xf>
    <xf numFmtId="0" fontId="39" fillId="0" borderId="0" xfId="22" applyFont="1" applyAlignment="1">
      <alignment horizontal="center"/>
      <protection/>
    </xf>
    <xf numFmtId="0" fontId="8" fillId="0" borderId="0" xfId="23" applyFont="1">
      <alignment/>
      <protection/>
    </xf>
    <xf numFmtId="0" fontId="8" fillId="0" borderId="0" xfId="24" applyFont="1">
      <alignment/>
      <protection/>
    </xf>
    <xf numFmtId="0" fontId="8" fillId="0" borderId="0" xfId="24" applyFont="1" applyFill="1" applyBorder="1">
      <alignment/>
      <protection/>
    </xf>
    <xf numFmtId="0" fontId="40" fillId="0" borderId="7" xfId="0" applyFont="1" applyFill="1" applyBorder="1" applyAlignment="1">
      <alignment horizontal="right" vertical="top"/>
    </xf>
    <xf numFmtId="0" fontId="40" fillId="0" borderId="8" xfId="0" applyFont="1" applyFill="1" applyBorder="1" applyAlignment="1">
      <alignment horizontal="right" vertical="top"/>
    </xf>
    <xf numFmtId="0" fontId="37" fillId="0" borderId="9" xfId="0" applyFont="1" applyFill="1" applyBorder="1" applyAlignment="1">
      <alignment horizontal="right" vertical="top"/>
    </xf>
    <xf numFmtId="0" fontId="37" fillId="0" borderId="10" xfId="0" applyFont="1" applyFill="1" applyBorder="1" applyAlignment="1">
      <alignment horizontal="right" vertical="top"/>
    </xf>
    <xf numFmtId="0" fontId="41" fillId="0" borderId="0" xfId="21" applyFont="1" applyAlignment="1">
      <alignment horizontal="left"/>
      <protection/>
    </xf>
    <xf numFmtId="0" fontId="41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Font="1" applyFill="1" applyBorder="1">
      <alignment/>
      <protection/>
    </xf>
    <xf numFmtId="164" fontId="33" fillId="0" borderId="0" xfId="21" applyNumberFormat="1" applyFont="1" applyFill="1" applyBorder="1">
      <alignment/>
      <protection/>
    </xf>
    <xf numFmtId="164" fontId="0" fillId="0" borderId="0" xfId="21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37" fontId="8" fillId="2" borderId="1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5" fontId="42" fillId="0" borderId="1" xfId="0" applyNumberFormat="1" applyFont="1" applyBorder="1" applyAlignment="1">
      <alignment horizontal="center"/>
    </xf>
    <xf numFmtId="37" fontId="8" fillId="0" borderId="0" xfId="22" applyNumberFormat="1" applyFont="1" applyFill="1" applyBorder="1" applyAlignment="1">
      <alignment horizontal="right"/>
      <protection/>
    </xf>
    <xf numFmtId="37" fontId="8" fillId="2" borderId="0" xfId="0" applyNumberFormat="1" applyFont="1" applyFill="1" applyAlignment="1">
      <alignment/>
    </xf>
    <xf numFmtId="37" fontId="22" fillId="0" borderId="1" xfId="22" applyNumberFormat="1" applyFont="1" applyBorder="1" applyAlignment="1">
      <alignment horizontal="right"/>
      <protection/>
    </xf>
    <xf numFmtId="37" fontId="22" fillId="0" borderId="2" xfId="22" applyNumberFormat="1" applyFont="1" applyFill="1" applyBorder="1" applyAlignment="1">
      <alignment horizontal="right"/>
      <protection/>
    </xf>
    <xf numFmtId="37" fontId="22" fillId="0" borderId="0" xfId="22" applyNumberFormat="1" applyFont="1" applyFill="1" applyBorder="1" applyAlignment="1">
      <alignment horizontal="right"/>
      <protection/>
    </xf>
    <xf numFmtId="37" fontId="8" fillId="0" borderId="1" xfId="0" applyNumberFormat="1" applyFont="1" applyFill="1" applyBorder="1" applyAlignment="1">
      <alignment/>
    </xf>
    <xf numFmtId="172" fontId="0" fillId="0" borderId="0" xfId="22" applyNumberFormat="1" applyFont="1" applyFill="1" applyBorder="1" applyAlignment="1">
      <alignment horizontal="center"/>
      <protection/>
    </xf>
    <xf numFmtId="172" fontId="22" fillId="0" borderId="0" xfId="22" applyNumberFormat="1" applyFont="1" applyFill="1" applyBorder="1" applyAlignment="1">
      <alignment horizontal="center"/>
      <protection/>
    </xf>
    <xf numFmtId="37" fontId="22" fillId="0" borderId="3" xfId="22" applyNumberFormat="1" applyFont="1" applyFill="1" applyBorder="1">
      <alignment/>
      <protection/>
    </xf>
    <xf numFmtId="37" fontId="0" fillId="0" borderId="1" xfId="0" applyNumberFormat="1" applyFill="1" applyBorder="1" applyAlignment="1">
      <alignment horizontal="center"/>
    </xf>
    <xf numFmtId="39" fontId="8" fillId="0" borderId="0" xfId="22" applyNumberFormat="1" applyFont="1" applyFill="1" applyBorder="1" applyAlignment="1">
      <alignment horizontal="right"/>
      <protection/>
    </xf>
    <xf numFmtId="39" fontId="22" fillId="0" borderId="0" xfId="22" applyNumberFormat="1" applyFont="1">
      <alignment/>
      <protection/>
    </xf>
    <xf numFmtId="37" fontId="22" fillId="0" borderId="11" xfId="22" applyNumberFormat="1" applyFont="1" applyBorder="1">
      <alignment/>
      <protection/>
    </xf>
    <xf numFmtId="37" fontId="0" fillId="2" borderId="11" xfId="0" applyNumberFormat="1" applyFill="1" applyBorder="1" applyAlignment="1">
      <alignment/>
    </xf>
    <xf numFmtId="37" fontId="8" fillId="0" borderId="0" xfId="22" applyNumberFormat="1" applyFont="1" applyFill="1" applyBorder="1" applyAlignment="1" quotePrefix="1">
      <alignment horizontal="center"/>
      <protection/>
    </xf>
    <xf numFmtId="37" fontId="22" fillId="3" borderId="3" xfId="22" applyNumberFormat="1" applyFont="1" applyFill="1" applyBorder="1">
      <alignment/>
      <protection/>
    </xf>
    <xf numFmtId="37" fontId="0" fillId="0" borderId="1" xfId="22" applyNumberFormat="1" applyFont="1" applyFill="1" applyBorder="1">
      <alignment/>
      <protection/>
    </xf>
    <xf numFmtId="39" fontId="0" fillId="0" borderId="2" xfId="21" applyNumberFormat="1" applyFont="1" applyFill="1" applyBorder="1">
      <alignment/>
      <protection/>
    </xf>
    <xf numFmtId="37" fontId="1" fillId="0" borderId="1" xfId="0" applyNumberFormat="1" applyFont="1" applyBorder="1" applyAlignment="1">
      <alignment horizontal="center"/>
    </xf>
    <xf numFmtId="37" fontId="0" fillId="0" borderId="0" xfId="22" applyNumberFormat="1" applyFont="1" applyFill="1" applyBorder="1" applyAlignment="1">
      <alignment horizontal="right"/>
      <protection/>
    </xf>
    <xf numFmtId="37" fontId="0" fillId="0" borderId="0" xfId="0" applyNumberFormat="1" applyFont="1" applyFill="1" applyAlignment="1">
      <alignment horizontal="right"/>
    </xf>
    <xf numFmtId="0" fontId="22" fillId="0" borderId="0" xfId="0" applyFont="1" applyAlignment="1">
      <alignment vertical="center"/>
    </xf>
    <xf numFmtId="3" fontId="22" fillId="0" borderId="0" xfId="0" applyFont="1" applyFill="1" applyAlignment="1">
      <alignment horizontal="right" vertical="center"/>
    </xf>
    <xf numFmtId="44" fontId="22" fillId="0" borderId="0" xfId="17" applyFont="1" applyFill="1" applyBorder="1" applyAlignment="1" applyProtection="1">
      <alignment/>
      <protection/>
    </xf>
    <xf numFmtId="44" fontId="22" fillId="0" borderId="0" xfId="17" applyFont="1" applyAlignment="1">
      <alignment horizontal="right" vertical="center"/>
    </xf>
    <xf numFmtId="0" fontId="2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Border="1" applyAlignment="1">
      <alignment/>
    </xf>
    <xf numFmtId="204" fontId="22" fillId="0" borderId="0" xfId="17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37" fontId="0" fillId="0" borderId="0" xfId="0" applyNumberForma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22" fillId="3" borderId="11" xfId="22" applyNumberFormat="1" applyFont="1" applyFill="1" applyBorder="1" applyAlignment="1">
      <alignment horizontal="right"/>
      <protection/>
    </xf>
    <xf numFmtId="37" fontId="0" fillId="0" borderId="1" xfId="22" applyNumberFormat="1" applyFont="1" applyFill="1" applyBorder="1" applyAlignment="1">
      <alignment horizontal="right"/>
      <protection/>
    </xf>
    <xf numFmtId="0" fontId="26" fillId="0" borderId="0" xfId="0" applyFont="1" applyFill="1" applyAlignment="1">
      <alignment horizontal="right"/>
    </xf>
    <xf numFmtId="0" fontId="27" fillId="0" borderId="0" xfId="22" applyFont="1" applyFill="1" applyAlignment="1">
      <alignment horizontal="center"/>
      <protection/>
    </xf>
    <xf numFmtId="170" fontId="5" fillId="0" borderId="0" xfId="22" applyNumberFormat="1" applyFont="1" applyBorder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37" fontId="0" fillId="0" borderId="1" xfId="22" applyNumberFormat="1" applyFont="1" applyBorder="1">
      <alignment/>
      <protection/>
    </xf>
    <xf numFmtId="0" fontId="5" fillId="0" borderId="0" xfId="22" applyFont="1" applyBorder="1" applyAlignment="1">
      <alignment horizontal="center"/>
      <protection/>
    </xf>
    <xf numFmtId="44" fontId="0" fillId="0" borderId="0" xfId="17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37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37" fontId="0" fillId="0" borderId="11" xfId="0" applyNumberFormat="1" applyBorder="1" applyAlignment="1">
      <alignment/>
    </xf>
    <xf numFmtId="37" fontId="8" fillId="0" borderId="0" xfId="0" applyNumberFormat="1" applyFont="1" applyFill="1" applyAlignment="1">
      <alignment/>
    </xf>
    <xf numFmtId="37" fontId="8" fillId="0" borderId="1" xfId="0" applyNumberFormat="1" applyFont="1" applyFill="1" applyBorder="1" applyAlignment="1">
      <alignment/>
    </xf>
    <xf numFmtId="5" fontId="0" fillId="0" borderId="11" xfId="0" applyNumberFormat="1" applyFont="1" applyFill="1" applyBorder="1" applyAlignment="1">
      <alignment/>
    </xf>
    <xf numFmtId="39" fontId="0" fillId="4" borderId="2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10" fontId="8" fillId="0" borderId="0" xfId="23" applyNumberFormat="1" applyFont="1" applyFill="1">
      <alignment/>
      <protection/>
    </xf>
    <xf numFmtId="0" fontId="8" fillId="0" borderId="0" xfId="23" applyFont="1" applyFill="1" applyAlignment="1">
      <alignment horizontal="center"/>
      <protection/>
    </xf>
    <xf numFmtId="0" fontId="0" fillId="0" borderId="1" xfId="23" applyFont="1" applyFill="1" applyBorder="1">
      <alignment/>
      <protection/>
    </xf>
    <xf numFmtId="0" fontId="39" fillId="0" borderId="0" xfId="22" applyFont="1" applyFill="1" applyBorder="1" applyAlignment="1">
      <alignment horizontal="center"/>
      <protection/>
    </xf>
    <xf numFmtId="37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7" fontId="22" fillId="0" borderId="11" xfId="22" applyNumberFormat="1" applyFont="1" applyFill="1" applyBorder="1" applyAlignment="1">
      <alignment horizontal="right"/>
      <protection/>
    </xf>
    <xf numFmtId="16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" xfId="21" applyFont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164" fontId="8" fillId="0" borderId="0" xfId="21" applyNumberFormat="1" applyFont="1">
      <alignment/>
      <protection/>
    </xf>
    <xf numFmtId="10" fontId="8" fillId="0" borderId="1" xfId="24" applyNumberFormat="1" applyFont="1" applyFill="1" applyBorder="1">
      <alignment/>
      <protection/>
    </xf>
    <xf numFmtId="0" fontId="37" fillId="0" borderId="1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0" fillId="3" borderId="0" xfId="0" applyFill="1" applyAlignment="1">
      <alignment horizontal="right"/>
    </xf>
    <xf numFmtId="10" fontId="0" fillId="3" borderId="0" xfId="25" applyNumberFormat="1" applyFill="1" applyAlignment="1">
      <alignment/>
    </xf>
    <xf numFmtId="176" fontId="8" fillId="0" borderId="1" xfId="15" applyNumberFormat="1" applyFont="1" applyFill="1" applyBorder="1" applyAlignment="1">
      <alignment/>
    </xf>
    <xf numFmtId="167" fontId="0" fillId="3" borderId="0" xfId="24" applyNumberFormat="1" applyFont="1" applyFill="1">
      <alignment/>
      <protection/>
    </xf>
    <xf numFmtId="37" fontId="0" fillId="4" borderId="2" xfId="0" applyNumberFormat="1" applyFont="1" applyFill="1" applyBorder="1" applyAlignment="1">
      <alignment/>
    </xf>
    <xf numFmtId="37" fontId="0" fillId="4" borderId="2" xfId="21" applyNumberFormat="1" applyFont="1" applyFill="1" applyBorder="1">
      <alignment/>
      <protection/>
    </xf>
    <xf numFmtId="37" fontId="22" fillId="0" borderId="0" xfId="22" applyNumberFormat="1" applyFont="1" applyAlignment="1">
      <alignment horizontal="center"/>
      <protection/>
    </xf>
    <xf numFmtId="194" fontId="22" fillId="0" borderId="6" xfId="0" applyNumberFormat="1" applyFont="1" applyFill="1" applyBorder="1" applyAlignment="1">
      <alignment horizontal="right" vertical="top"/>
    </xf>
    <xf numFmtId="37" fontId="39" fillId="0" borderId="0" xfId="22" applyNumberFormat="1" applyFont="1" applyAlignment="1" quotePrefix="1">
      <alignment horizontal="center"/>
      <protection/>
    </xf>
    <xf numFmtId="0" fontId="37" fillId="0" borderId="6" xfId="0" applyFont="1" applyFill="1" applyBorder="1" applyAlignment="1">
      <alignment horizontal="right" vertical="top"/>
    </xf>
    <xf numFmtId="0" fontId="37" fillId="0" borderId="12" xfId="0" applyFont="1" applyFill="1" applyBorder="1" applyAlignment="1">
      <alignment horizontal="right" vertical="top"/>
    </xf>
    <xf numFmtId="0" fontId="40" fillId="0" borderId="6" xfId="0" applyFont="1" applyFill="1" applyBorder="1" applyAlignment="1">
      <alignment horizontal="right" vertical="top"/>
    </xf>
    <xf numFmtId="0" fontId="43" fillId="0" borderId="0" xfId="0" applyFont="1" applyAlignment="1">
      <alignment horizontal="center" vertical="center"/>
    </xf>
    <xf numFmtId="15" fontId="4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4" fontId="44" fillId="0" borderId="0" xfId="17" applyFont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/>
      <protection/>
    </xf>
    <xf numFmtId="172" fontId="46" fillId="0" borderId="0" xfId="0" applyNumberFormat="1" applyAlignment="1">
      <alignment horizontal="center" vertical="center"/>
    </xf>
    <xf numFmtId="0" fontId="46" fillId="0" borderId="0" xfId="0" applyFont="1" applyAlignment="1">
      <alignment vertical="center"/>
    </xf>
    <xf numFmtId="204" fontId="48" fillId="0" borderId="0" xfId="17" applyNumberFormat="1" applyFont="1" applyAlignment="1">
      <alignment horizontal="right" vertical="center"/>
    </xf>
    <xf numFmtId="44" fontId="47" fillId="0" borderId="0" xfId="17" applyFont="1" applyAlignment="1">
      <alignment horizontal="right" vertical="center"/>
    </xf>
    <xf numFmtId="208" fontId="47" fillId="0" borderId="0" xfId="0" applyNumberFormat="1" applyFont="1" applyAlignment="1">
      <alignment horizontal="right" vertical="center"/>
    </xf>
    <xf numFmtId="204" fontId="47" fillId="0" borderId="0" xfId="17" applyNumberFormat="1" applyFont="1" applyAlignment="1">
      <alignment horizontal="right" vertical="center"/>
    </xf>
    <xf numFmtId="0" fontId="0" fillId="0" borderId="0" xfId="0" applyNumberFormat="1" applyFill="1" applyBorder="1" applyAlignment="1" applyProtection="1">
      <alignment/>
      <protection/>
    </xf>
    <xf numFmtId="172" fontId="46" fillId="0" borderId="0" xfId="0" applyNumberFormat="1" applyFill="1" applyAlignment="1">
      <alignment horizontal="center" vertical="center"/>
    </xf>
    <xf numFmtId="0" fontId="46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208" fontId="47" fillId="0" borderId="0" xfId="0" applyNumberFormat="1" applyFont="1" applyBorder="1" applyAlignment="1">
      <alignment horizontal="right" vertical="center"/>
    </xf>
    <xf numFmtId="204" fontId="48" fillId="0" borderId="3" xfId="17" applyNumberFormat="1" applyFont="1" applyBorder="1" applyAlignment="1">
      <alignment horizontal="right" vertical="center"/>
    </xf>
    <xf numFmtId="44" fontId="47" fillId="0" borderId="3" xfId="17" applyFont="1" applyBorder="1" applyAlignment="1">
      <alignment horizontal="right" vertical="center"/>
    </xf>
    <xf numFmtId="208" fontId="47" fillId="0" borderId="3" xfId="0" applyNumberFormat="1" applyFont="1" applyBorder="1" applyAlignment="1">
      <alignment horizontal="right" vertical="center"/>
    </xf>
    <xf numFmtId="44" fontId="22" fillId="0" borderId="3" xfId="17" applyFont="1" applyFill="1" applyBorder="1" applyAlignment="1" applyProtection="1">
      <alignment/>
      <protection/>
    </xf>
    <xf numFmtId="204" fontId="22" fillId="0" borderId="0" xfId="17" applyNumberFormat="1" applyFont="1" applyFill="1" applyBorder="1" applyAlignment="1" applyProtection="1">
      <alignment horizontal="right"/>
      <protection/>
    </xf>
    <xf numFmtId="44" fontId="22" fillId="0" borderId="0" xfId="17" applyFont="1" applyFill="1" applyBorder="1" applyAlignment="1" applyProtection="1">
      <alignment horizontal="right"/>
      <protection/>
    </xf>
    <xf numFmtId="208" fontId="22" fillId="0" borderId="0" xfId="0" applyNumberFormat="1" applyFont="1" applyFill="1" applyBorder="1" applyAlignment="1" applyProtection="1">
      <alignment horizontal="right"/>
      <protection/>
    </xf>
    <xf numFmtId="168" fontId="22" fillId="0" borderId="0" xfId="0" applyNumberFormat="1" applyFont="1" applyFill="1" applyBorder="1" applyAlignment="1" applyProtection="1">
      <alignment/>
      <protection/>
    </xf>
    <xf numFmtId="209" fontId="22" fillId="0" borderId="0" xfId="0" applyNumberFormat="1" applyFont="1" applyFill="1" applyBorder="1" applyAlignment="1" applyProtection="1">
      <alignment/>
      <protection/>
    </xf>
    <xf numFmtId="168" fontId="47" fillId="0" borderId="0" xfId="25" applyNumberFormat="1" applyFont="1" applyBorder="1" applyAlignment="1">
      <alignment horizontal="right" vertical="center"/>
    </xf>
    <xf numFmtId="204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9" fillId="0" borderId="9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37" fontId="8" fillId="0" borderId="1" xfId="22" applyNumberFormat="1" applyFont="1" applyFill="1" applyBorder="1" applyAlignment="1">
      <alignment horizontal="right"/>
      <protection/>
    </xf>
    <xf numFmtId="39" fontId="22" fillId="0" borderId="1" xfId="22" applyNumberFormat="1" applyFont="1" applyFill="1" applyBorder="1">
      <alignment/>
      <protection/>
    </xf>
    <xf numFmtId="37" fontId="22" fillId="3" borderId="1" xfId="22" applyNumberFormat="1" applyFont="1" applyFill="1" applyBorder="1">
      <alignment/>
      <protection/>
    </xf>
    <xf numFmtId="37" fontId="8" fillId="2" borderId="1" xfId="0" applyNumberFormat="1" applyFont="1" applyFill="1" applyBorder="1" applyAlignment="1">
      <alignment/>
    </xf>
    <xf numFmtId="169" fontId="42" fillId="2" borderId="13" xfId="22" applyNumberFormat="1" applyFont="1" applyFill="1" applyBorder="1" applyAlignment="1">
      <alignment horizontal="center"/>
      <protection/>
    </xf>
    <xf numFmtId="170" fontId="42" fillId="2" borderId="14" xfId="22" applyNumberFormat="1" applyFont="1" applyFill="1" applyBorder="1" applyAlignment="1">
      <alignment horizontal="center"/>
      <protection/>
    </xf>
    <xf numFmtId="0" fontId="0" fillId="2" borderId="1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6" xfId="22" applyFont="1" applyFill="1" applyBorder="1">
      <alignment/>
      <protection/>
    </xf>
    <xf numFmtId="169" fontId="42" fillId="2" borderId="17" xfId="22" applyNumberFormat="1" applyFont="1" applyFill="1" applyBorder="1" applyAlignment="1">
      <alignment horizontal="center"/>
      <protection/>
    </xf>
    <xf numFmtId="170" fontId="42" fillId="2" borderId="18" xfId="22" applyNumberFormat="1" applyFont="1" applyFill="1" applyBorder="1" applyAlignment="1">
      <alignment horizontal="center"/>
      <protection/>
    </xf>
    <xf numFmtId="170" fontId="42" fillId="2" borderId="19" xfId="22" applyNumberFormat="1" applyFont="1" applyFill="1" applyBorder="1" applyAlignment="1">
      <alignment horizontal="center"/>
      <protection/>
    </xf>
    <xf numFmtId="179" fontId="42" fillId="2" borderId="20" xfId="22" applyNumberFormat="1" applyFont="1" applyFill="1" applyBorder="1" applyAlignment="1">
      <alignment horizontal="center"/>
      <protection/>
    </xf>
    <xf numFmtId="0" fontId="0" fillId="2" borderId="21" xfId="22" applyFont="1" applyFill="1" applyBorder="1">
      <alignment/>
      <protection/>
    </xf>
    <xf numFmtId="0" fontId="22" fillId="2" borderId="22" xfId="22" applyFont="1" applyFill="1" applyBorder="1">
      <alignment/>
      <protection/>
    </xf>
    <xf numFmtId="0" fontId="22" fillId="2" borderId="21" xfId="22" applyFont="1" applyFill="1" applyBorder="1">
      <alignment/>
      <protection/>
    </xf>
    <xf numFmtId="0" fontId="22" fillId="2" borderId="23" xfId="22" applyFont="1" applyFill="1" applyBorder="1">
      <alignment/>
      <protection/>
    </xf>
    <xf numFmtId="0" fontId="22" fillId="2" borderId="24" xfId="22" applyFont="1" applyFill="1" applyBorder="1">
      <alignment/>
      <protection/>
    </xf>
    <xf numFmtId="169" fontId="42" fillId="2" borderId="25" xfId="22" applyNumberFormat="1" applyFont="1" applyFill="1" applyBorder="1" applyAlignment="1">
      <alignment horizontal="center"/>
      <protection/>
    </xf>
    <xf numFmtId="170" fontId="42" fillId="2" borderId="26" xfId="22" applyNumberFormat="1" applyFont="1" applyFill="1" applyBorder="1" applyAlignment="1">
      <alignment horizontal="center"/>
      <protection/>
    </xf>
    <xf numFmtId="179" fontId="42" fillId="2" borderId="27" xfId="22" applyNumberFormat="1" applyFont="1" applyFill="1" applyBorder="1" applyAlignment="1">
      <alignment horizontal="center"/>
      <protection/>
    </xf>
    <xf numFmtId="0" fontId="0" fillId="2" borderId="24" xfId="22" applyFont="1" applyFill="1" applyBorder="1">
      <alignment/>
      <protection/>
    </xf>
    <xf numFmtId="169" fontId="5" fillId="0" borderId="0" xfId="22" applyNumberFormat="1" applyFont="1" applyBorder="1" applyAlignment="1">
      <alignment horizontal="center"/>
      <protection/>
    </xf>
    <xf numFmtId="10" fontId="8" fillId="3" borderId="0" xfId="25" applyNumberFormat="1" applyFont="1" applyFill="1" applyAlignment="1">
      <alignment horizontal="center"/>
    </xf>
    <xf numFmtId="169" fontId="42" fillId="2" borderId="28" xfId="22" applyNumberFormat="1" applyFont="1" applyFill="1" applyBorder="1" applyAlignment="1">
      <alignment horizontal="center"/>
      <protection/>
    </xf>
    <xf numFmtId="170" fontId="42" fillId="2" borderId="29" xfId="22" applyNumberFormat="1" applyFont="1" applyFill="1" applyBorder="1" applyAlignment="1">
      <alignment horizontal="center"/>
      <protection/>
    </xf>
    <xf numFmtId="169" fontId="42" fillId="2" borderId="30" xfId="22" applyNumberFormat="1" applyFont="1" applyFill="1" applyBorder="1" applyAlignment="1">
      <alignment horizontal="center"/>
      <protection/>
    </xf>
    <xf numFmtId="0" fontId="0" fillId="2" borderId="16" xfId="0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1" xfId="0" applyFill="1" applyBorder="1" applyAlignment="1">
      <alignment/>
    </xf>
    <xf numFmtId="173" fontId="26" fillId="2" borderId="22" xfId="22" applyNumberFormat="1" applyFont="1" applyFill="1" applyBorder="1" applyAlignment="1">
      <alignment horizontal="center"/>
      <protection/>
    </xf>
    <xf numFmtId="173" fontId="26" fillId="2" borderId="21" xfId="22" applyNumberFormat="1" applyFont="1" applyFill="1" applyBorder="1" applyAlignment="1">
      <alignment horizontal="center"/>
      <protection/>
    </xf>
    <xf numFmtId="173" fontId="26" fillId="2" borderId="23" xfId="22" applyNumberFormat="1" applyFont="1" applyFill="1" applyBorder="1" applyAlignment="1">
      <alignment horizontal="center"/>
      <protection/>
    </xf>
    <xf numFmtId="173" fontId="26" fillId="2" borderId="24" xfId="22" applyNumberFormat="1" applyFont="1" applyFill="1" applyBorder="1" applyAlignment="1">
      <alignment horizontal="center"/>
      <protection/>
    </xf>
    <xf numFmtId="0" fontId="0" fillId="2" borderId="24" xfId="0" applyFill="1" applyBorder="1" applyAlignment="1">
      <alignment/>
    </xf>
    <xf numFmtId="0" fontId="49" fillId="0" borderId="1" xfId="0" applyFont="1" applyFill="1" applyBorder="1" applyAlignment="1">
      <alignment horizontal="left" vertical="top" wrapText="1"/>
    </xf>
    <xf numFmtId="207" fontId="49" fillId="0" borderId="0" xfId="0" applyNumberFormat="1" applyFont="1" applyFill="1" applyBorder="1" applyAlignment="1">
      <alignment horizontal="right" vertical="top"/>
    </xf>
    <xf numFmtId="44" fontId="8" fillId="0" borderId="0" xfId="17" applyFont="1" applyFill="1" applyAlignment="1">
      <alignment/>
    </xf>
    <xf numFmtId="176" fontId="8" fillId="0" borderId="0" xfId="15" applyNumberFormat="1" applyFont="1" applyFill="1" applyBorder="1" applyAlignment="1">
      <alignment/>
    </xf>
    <xf numFmtId="43" fontId="0" fillId="0" borderId="0" xfId="15" applyFont="1" applyBorder="1" applyAlignment="1">
      <alignment/>
    </xf>
    <xf numFmtId="216" fontId="0" fillId="0" borderId="0" xfId="24" applyNumberFormat="1" applyFont="1">
      <alignment/>
      <protection/>
    </xf>
    <xf numFmtId="0" fontId="0" fillId="0" borderId="1" xfId="24" applyFont="1" applyFill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8" fillId="0" borderId="0" xfId="0" applyFont="1" applyFill="1" applyAlignment="1">
      <alignment horizontal="center"/>
    </xf>
    <xf numFmtId="190" fontId="38" fillId="0" borderId="0" xfId="0" applyNumberFormat="1" applyFont="1" applyFill="1" applyAlignment="1">
      <alignment horizontal="center"/>
    </xf>
    <xf numFmtId="166" fontId="35" fillId="0" borderId="0" xfId="0" applyNumberFormat="1" applyFont="1" applyFill="1" applyAlignment="1">
      <alignment horizontal="center"/>
    </xf>
    <xf numFmtId="0" fontId="8" fillId="0" borderId="0" xfId="23" applyFont="1" applyFill="1">
      <alignment/>
      <protection/>
    </xf>
    <xf numFmtId="0" fontId="0" fillId="0" borderId="0" xfId="23" applyFont="1" applyFill="1">
      <alignment/>
      <protection/>
    </xf>
    <xf numFmtId="10" fontId="8" fillId="0" borderId="3" xfId="23" applyNumberFormat="1" applyFont="1" applyFill="1" applyBorder="1">
      <alignment/>
      <protection/>
    </xf>
    <xf numFmtId="189" fontId="8" fillId="0" borderId="0" xfId="22" applyNumberFormat="1" applyFont="1" applyFill="1">
      <alignment/>
      <protection/>
    </xf>
    <xf numFmtId="10" fontId="8" fillId="0" borderId="1" xfId="0" applyNumberFormat="1" applyFont="1" applyFill="1" applyBorder="1" applyAlignment="1">
      <alignment horizontal="right"/>
    </xf>
    <xf numFmtId="172" fontId="0" fillId="3" borderId="0" xfId="22" applyNumberFormat="1" applyFont="1" applyFill="1" applyBorder="1" applyAlignment="1">
      <alignment horizontal="center"/>
      <protection/>
    </xf>
    <xf numFmtId="37" fontId="0" fillId="0" borderId="1" xfId="0" applyNumberFormat="1" applyFont="1" applyBorder="1" applyAlignment="1">
      <alignment/>
    </xf>
    <xf numFmtId="37" fontId="22" fillId="4" borderId="0" xfId="22" applyNumberFormat="1" applyFont="1" applyFill="1">
      <alignment/>
      <protection/>
    </xf>
    <xf numFmtId="37" fontId="0" fillId="4" borderId="0" xfId="0" applyNumberFormat="1" applyFill="1" applyAlignment="1">
      <alignment/>
    </xf>
    <xf numFmtId="37" fontId="22" fillId="3" borderId="0" xfId="22" applyNumberFormat="1" applyFont="1" applyFill="1">
      <alignment/>
      <protection/>
    </xf>
    <xf numFmtId="0" fontId="37" fillId="3" borderId="6" xfId="0" applyFont="1" applyFill="1" applyBorder="1" applyAlignment="1">
      <alignment horizontal="left" vertical="top"/>
    </xf>
    <xf numFmtId="0" fontId="40" fillId="3" borderId="6" xfId="0" applyFont="1" applyFill="1" applyBorder="1" applyAlignment="1">
      <alignment horizontal="right" vertical="top"/>
    </xf>
    <xf numFmtId="194" fontId="37" fillId="3" borderId="6" xfId="0" applyNumberFormat="1" applyFont="1" applyFill="1" applyBorder="1" applyAlignment="1">
      <alignment horizontal="right" vertical="top"/>
    </xf>
    <xf numFmtId="194" fontId="37" fillId="3" borderId="6" xfId="0" applyNumberFormat="1" applyFont="1" applyFill="1" applyBorder="1" applyAlignment="1">
      <alignment horizontal="left" vertical="top"/>
    </xf>
    <xf numFmtId="0" fontId="0" fillId="0" borderId="0" xfId="24" applyFont="1" applyFill="1">
      <alignment/>
      <protection/>
    </xf>
    <xf numFmtId="194" fontId="37" fillId="3" borderId="31" xfId="0" applyNumberFormat="1" applyFont="1" applyFill="1" applyBorder="1" applyAlignment="1">
      <alignment horizontal="right" vertical="top"/>
    </xf>
    <xf numFmtId="194" fontId="37" fillId="0" borderId="3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Fill="1" applyBorder="1" applyAlignment="1">
      <alignment/>
    </xf>
    <xf numFmtId="43" fontId="0" fillId="0" borderId="0" xfId="15" applyFill="1" applyBorder="1" applyAlignment="1">
      <alignment/>
    </xf>
    <xf numFmtId="2" fontId="0" fillId="0" borderId="0" xfId="0" applyNumberFormat="1" applyFill="1" applyAlignment="1">
      <alignment/>
    </xf>
    <xf numFmtId="43" fontId="0" fillId="0" borderId="0" xfId="15" applyFill="1" applyAlignment="1">
      <alignment/>
    </xf>
    <xf numFmtId="43" fontId="0" fillId="0" borderId="0" xfId="0" applyNumberFormat="1" applyFill="1" applyAlignment="1">
      <alignment/>
    </xf>
    <xf numFmtId="43" fontId="0" fillId="3" borderId="0" xfId="15" applyFill="1" applyBorder="1" applyAlignment="1">
      <alignment/>
    </xf>
    <xf numFmtId="3" fontId="9" fillId="0" borderId="0" xfId="24" applyNumberFormat="1" applyFont="1" applyFill="1" applyBorder="1" applyAlignment="1">
      <alignment horizontal="center"/>
      <protection/>
    </xf>
    <xf numFmtId="43" fontId="0" fillId="3" borderId="0" xfId="0" applyNumberFormat="1" applyFill="1" applyAlignment="1">
      <alignment/>
    </xf>
    <xf numFmtId="39" fontId="0" fillId="0" borderId="0" xfId="0" applyNumberFormat="1" applyFill="1" applyAlignment="1">
      <alignment/>
    </xf>
    <xf numFmtId="43" fontId="0" fillId="0" borderId="1" xfId="0" applyNumberFormat="1" applyFill="1" applyBorder="1" applyAlignment="1">
      <alignment/>
    </xf>
    <xf numFmtId="0" fontId="10" fillId="0" borderId="1" xfId="0" applyFont="1" applyBorder="1" applyAlignment="1">
      <alignment horizontal="center"/>
    </xf>
    <xf numFmtId="176" fontId="0" fillId="0" borderId="1" xfId="15" applyNumberFormat="1" applyFont="1" applyBorder="1" applyAlignment="1">
      <alignment/>
    </xf>
    <xf numFmtId="0" fontId="0" fillId="0" borderId="0" xfId="24" applyFont="1" applyFill="1" applyBorder="1" applyAlignment="1">
      <alignment horizontal="center"/>
      <protection/>
    </xf>
    <xf numFmtId="0" fontId="0" fillId="0" borderId="0" xfId="24" applyFont="1" applyAlignment="1">
      <alignment horizontal="right"/>
      <protection/>
    </xf>
    <xf numFmtId="10" fontId="22" fillId="0" borderId="0" xfId="25" applyNumberFormat="1" applyFont="1" applyFill="1" applyBorder="1" applyAlignment="1">
      <alignment horizontal="right"/>
    </xf>
    <xf numFmtId="10" fontId="0" fillId="0" borderId="0" xfId="25" applyNumberFormat="1" applyFont="1" applyFill="1" applyBorder="1" applyAlignment="1">
      <alignment horizontal="right"/>
    </xf>
    <xf numFmtId="172" fontId="22" fillId="3" borderId="0" xfId="22" applyNumberFormat="1" applyFont="1" applyFill="1" applyBorder="1" applyAlignment="1">
      <alignment horizontal="center"/>
      <protection/>
    </xf>
    <xf numFmtId="5" fontId="1" fillId="0" borderId="0" xfId="0" applyNumberFormat="1" applyFont="1" applyFill="1" applyAlignment="1">
      <alignment/>
    </xf>
    <xf numFmtId="0" fontId="0" fillId="0" borderId="32" xfId="22" applyFont="1" applyBorder="1" applyAlignment="1">
      <alignment horizontal="center"/>
      <protection/>
    </xf>
    <xf numFmtId="0" fontId="0" fillId="0" borderId="33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22" fillId="0" borderId="2" xfId="22" applyFont="1" applyBorder="1" applyAlignment="1">
      <alignment horizontal="center"/>
      <protection/>
    </xf>
    <xf numFmtId="202" fontId="42" fillId="2" borderId="20" xfId="22" applyNumberFormat="1" applyFont="1" applyFill="1" applyBorder="1" applyAlignment="1">
      <alignment horizontal="center"/>
      <protection/>
    </xf>
    <xf numFmtId="202" fontId="42" fillId="2" borderId="18" xfId="22" applyNumberFormat="1" applyFont="1" applyFill="1" applyBorder="1" applyAlignment="1">
      <alignment horizontal="center"/>
      <protection/>
    </xf>
    <xf numFmtId="183" fontId="42" fillId="2" borderId="17" xfId="22" applyNumberFormat="1" applyFont="1" applyFill="1" applyBorder="1" applyAlignment="1">
      <alignment horizontal="center"/>
      <protection/>
    </xf>
    <xf numFmtId="183" fontId="42" fillId="2" borderId="19" xfId="22" applyNumberFormat="1" applyFont="1" applyFill="1" applyBorder="1" applyAlignment="1">
      <alignment horizontal="center"/>
      <protection/>
    </xf>
    <xf numFmtId="201" fontId="42" fillId="2" borderId="20" xfId="22" applyNumberFormat="1" applyFont="1" applyFill="1" applyBorder="1" applyAlignment="1">
      <alignment horizontal="center"/>
      <protection/>
    </xf>
    <xf numFmtId="201" fontId="42" fillId="2" borderId="18" xfId="22" applyNumberFormat="1" applyFont="1" applyFill="1" applyBorder="1" applyAlignment="1">
      <alignment horizontal="center"/>
      <protection/>
    </xf>
    <xf numFmtId="173" fontId="42" fillId="2" borderId="17" xfId="22" applyNumberFormat="1" applyFont="1" applyFill="1" applyBorder="1" applyAlignment="1">
      <alignment horizontal="center"/>
      <protection/>
    </xf>
    <xf numFmtId="173" fontId="42" fillId="2" borderId="18" xfId="22" applyNumberFormat="1" applyFont="1" applyFill="1" applyBorder="1" applyAlignment="1">
      <alignment horizontal="center"/>
      <protection/>
    </xf>
    <xf numFmtId="174" fontId="42" fillId="2" borderId="17" xfId="22" applyNumberFormat="1" applyFont="1" applyFill="1" applyBorder="1" applyAlignment="1">
      <alignment horizontal="center"/>
      <protection/>
    </xf>
    <xf numFmtId="174" fontId="42" fillId="2" borderId="19" xfId="22" applyNumberFormat="1" applyFont="1" applyFill="1" applyBorder="1" applyAlignment="1">
      <alignment horizontal="center"/>
      <protection/>
    </xf>
    <xf numFmtId="37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00" fontId="42" fillId="2" borderId="20" xfId="22" applyNumberFormat="1" applyFont="1" applyFill="1" applyBorder="1" applyAlignment="1">
      <alignment horizontal="center"/>
      <protection/>
    </xf>
    <xf numFmtId="200" fontId="42" fillId="2" borderId="18" xfId="22" applyNumberFormat="1" applyFont="1" applyFill="1" applyBorder="1" applyAlignment="1">
      <alignment horizontal="center"/>
      <protection/>
    </xf>
    <xf numFmtId="203" fontId="42" fillId="2" borderId="20" xfId="22" applyNumberFormat="1" applyFont="1" applyFill="1" applyBorder="1" applyAlignment="1">
      <alignment horizontal="center"/>
      <protection/>
    </xf>
    <xf numFmtId="203" fontId="42" fillId="2" borderId="18" xfId="22" applyNumberFormat="1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0" fillId="5" borderId="0" xfId="0" applyFont="1" applyFill="1" applyAlignment="1">
      <alignment horizontal="left"/>
    </xf>
    <xf numFmtId="0" fontId="0" fillId="5" borderId="0" xfId="0" applyFont="1" applyFill="1" applyAlignment="1">
      <alignment/>
    </xf>
    <xf numFmtId="0" fontId="51" fillId="5" borderId="0" xfId="0" applyFont="1" applyFill="1" applyAlignment="1">
      <alignment/>
    </xf>
    <xf numFmtId="0" fontId="50" fillId="5" borderId="34" xfId="0" applyFont="1" applyFill="1" applyBorder="1" applyAlignment="1">
      <alignment horizontal="center"/>
    </xf>
    <xf numFmtId="0" fontId="50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0" fillId="5" borderId="36" xfId="0" applyFont="1" applyFill="1" applyBorder="1" applyAlignment="1">
      <alignment/>
    </xf>
    <xf numFmtId="0" fontId="0" fillId="5" borderId="37" xfId="0" applyFont="1" applyFill="1" applyBorder="1" applyAlignment="1">
      <alignment/>
    </xf>
    <xf numFmtId="37" fontId="0" fillId="5" borderId="36" xfId="0" applyNumberFormat="1" applyFont="1" applyFill="1" applyBorder="1" applyAlignment="1">
      <alignment/>
    </xf>
    <xf numFmtId="37" fontId="0" fillId="5" borderId="37" xfId="0" applyNumberFormat="1" applyFont="1" applyFill="1" applyBorder="1" applyAlignment="1">
      <alignment/>
    </xf>
    <xf numFmtId="37" fontId="0" fillId="5" borderId="40" xfId="0" applyNumberFormat="1" applyFont="1" applyFill="1" applyBorder="1" applyAlignment="1">
      <alignment/>
    </xf>
    <xf numFmtId="37" fontId="0" fillId="5" borderId="41" xfId="0" applyNumberFormat="1" applyFont="1" applyFill="1" applyBorder="1" applyAlignment="1">
      <alignment/>
    </xf>
    <xf numFmtId="0" fontId="0" fillId="5" borderId="40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37" fontId="0" fillId="5" borderId="42" xfId="0" applyNumberFormat="1" applyFont="1" applyFill="1" applyBorder="1" applyAlignment="1">
      <alignment/>
    </xf>
    <xf numFmtId="37" fontId="0" fillId="5" borderId="43" xfId="0" applyNumberFormat="1" applyFont="1" applyFill="1" applyBorder="1" applyAlignment="1">
      <alignment/>
    </xf>
    <xf numFmtId="0" fontId="50" fillId="5" borderId="44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3" fontId="38" fillId="5" borderId="45" xfId="0" applyNumberFormat="1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0" fillId="5" borderId="45" xfId="0" applyFont="1" applyFill="1" applyBorder="1" applyAlignment="1">
      <alignment/>
    </xf>
    <xf numFmtId="37" fontId="0" fillId="5" borderId="45" xfId="0" applyNumberFormat="1" applyFont="1" applyFill="1" applyBorder="1" applyAlignment="1">
      <alignment/>
    </xf>
    <xf numFmtId="37" fontId="0" fillId="5" borderId="47" xfId="0" applyNumberFormat="1" applyFont="1" applyFill="1" applyBorder="1" applyAlignment="1">
      <alignment/>
    </xf>
    <xf numFmtId="0" fontId="0" fillId="5" borderId="47" xfId="0" applyFont="1" applyFill="1" applyBorder="1" applyAlignment="1">
      <alignment/>
    </xf>
    <xf numFmtId="37" fontId="0" fillId="5" borderId="48" xfId="0" applyNumberFormat="1" applyFont="1" applyFill="1" applyBorder="1" applyAlignment="1">
      <alignment/>
    </xf>
    <xf numFmtId="0" fontId="39" fillId="5" borderId="45" xfId="0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96GasLabor$" xfId="21"/>
    <cellStyle name="Normal_execcompR1" xfId="22"/>
    <cellStyle name="Normal_LaborAdj%" xfId="23"/>
    <cellStyle name="Normal_Loading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0</xdr:rowOff>
    </xdr:from>
    <xdr:to>
      <xdr:col>5</xdr:col>
      <xdr:colOff>295275</xdr:colOff>
      <xdr:row>11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76200" y="181927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5</xdr:col>
      <xdr:colOff>295275</xdr:colOff>
      <xdr:row>11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1819275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7%20OR%20Gas%20GRC\Adjustments\Sal&amp;Wages\PF%20-%20Labor&amp;Benefit_06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m107\c01m107\My%20Documents\WA%20EL%20CASE\Officer%20Salary\1997Labor$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m107\c01m107\From%20the%20Network\ID2002Case\OregonCase\Labor&amp;Benefits\Labor&amp;Benefit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RADJ"/>
      <sheetName val="LaborAdjOR%"/>
      <sheetName val="ORGasLabor$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1997Labor$"/>
    </sheetNames>
    <sheetDataSet>
      <sheetData sheetId="0">
        <row r="1">
          <cell r="A1" t="str">
            <v>The Washington Water Power Company</v>
          </cell>
        </row>
        <row r="2">
          <cell r="A2" t="str">
            <v>Electric Labor Dollars</v>
          </cell>
        </row>
        <row r="3">
          <cell r="A3" t="str">
            <v>Average Monthly Average Basis</v>
          </cell>
        </row>
        <row r="4">
          <cell r="A4" t="str">
            <v>Twelve Months Ended December 31, 1997</v>
          </cell>
        </row>
        <row r="6">
          <cell r="D6" t="str">
            <v>Direct</v>
          </cell>
          <cell r="E6" t="str">
            <v>Alloc</v>
          </cell>
          <cell r="F6" t="str">
            <v>Total</v>
          </cell>
        </row>
        <row r="7">
          <cell r="B7" t="str">
            <v>Total</v>
          </cell>
          <cell r="C7" t="str">
            <v>Allocated</v>
          </cell>
          <cell r="D7" t="str">
            <v>Wash</v>
          </cell>
          <cell r="E7" t="str">
            <v>Wash</v>
          </cell>
          <cell r="F7" t="str">
            <v>Wash</v>
          </cell>
        </row>
        <row r="8">
          <cell r="A8" t="str">
            <v>Production</v>
          </cell>
        </row>
        <row r="9">
          <cell r="A9" t="str">
            <v>Steam</v>
          </cell>
        </row>
        <row r="10">
          <cell r="A10">
            <v>500</v>
          </cell>
          <cell r="B10">
            <v>230826.51</v>
          </cell>
          <cell r="C10">
            <v>230826.51</v>
          </cell>
          <cell r="E10">
            <v>154238.273982</v>
          </cell>
          <cell r="F10">
            <v>154238.273982</v>
          </cell>
        </row>
        <row r="11">
          <cell r="A11">
            <v>501</v>
          </cell>
          <cell r="B11">
            <v>490607.62</v>
          </cell>
          <cell r="C11">
            <v>490607.62</v>
          </cell>
          <cell r="E11">
            <v>327824.011684</v>
          </cell>
          <cell r="F11">
            <v>327824.011684</v>
          </cell>
        </row>
        <row r="12">
          <cell r="A12">
            <v>502</v>
          </cell>
          <cell r="B12">
            <v>266538.19</v>
          </cell>
          <cell r="C12">
            <v>266538.19</v>
          </cell>
          <cell r="E12">
            <v>178100.818558</v>
          </cell>
          <cell r="F12">
            <v>178100.818558</v>
          </cell>
        </row>
        <row r="13">
          <cell r="A13">
            <v>505</v>
          </cell>
          <cell r="B13">
            <v>264865.82</v>
          </cell>
          <cell r="C13">
            <v>264865.82</v>
          </cell>
          <cell r="E13">
            <v>176983.34092400002</v>
          </cell>
          <cell r="F13">
            <v>176983.34092400002</v>
          </cell>
        </row>
        <row r="14">
          <cell r="A14">
            <v>506</v>
          </cell>
          <cell r="B14">
            <v>63825.49</v>
          </cell>
          <cell r="C14">
            <v>63825.49</v>
          </cell>
          <cell r="E14">
            <v>42648.192418</v>
          </cell>
          <cell r="F14">
            <v>42648.192418</v>
          </cell>
        </row>
        <row r="15">
          <cell r="A15">
            <v>510</v>
          </cell>
          <cell r="B15">
            <v>48450.66</v>
          </cell>
          <cell r="C15">
            <v>48450.66</v>
          </cell>
          <cell r="E15">
            <v>32374.731012000004</v>
          </cell>
          <cell r="F15">
            <v>32374.731012000004</v>
          </cell>
        </row>
        <row r="16">
          <cell r="A16">
            <v>511</v>
          </cell>
          <cell r="B16">
            <v>8968.15</v>
          </cell>
          <cell r="C16">
            <v>8968.15</v>
          </cell>
          <cell r="E16">
            <v>5992.51783</v>
          </cell>
          <cell r="F16">
            <v>5992.51783</v>
          </cell>
        </row>
        <row r="17">
          <cell r="A17">
            <v>512</v>
          </cell>
          <cell r="B17">
            <v>394554.25</v>
          </cell>
          <cell r="C17">
            <v>394554.25</v>
          </cell>
          <cell r="E17">
            <v>263641.14985</v>
          </cell>
          <cell r="F17">
            <v>263641.14985</v>
          </cell>
        </row>
        <row r="18">
          <cell r="A18">
            <v>513</v>
          </cell>
          <cell r="B18">
            <v>74044.2</v>
          </cell>
          <cell r="C18">
            <v>74044.2</v>
          </cell>
          <cell r="E18">
            <v>49476.33444</v>
          </cell>
          <cell r="F18">
            <v>49476.33444</v>
          </cell>
        </row>
        <row r="19">
          <cell r="A19">
            <v>514</v>
          </cell>
          <cell r="B19">
            <v>39140.37</v>
          </cell>
          <cell r="C19">
            <v>39140.37</v>
          </cell>
          <cell r="E19">
            <v>26153.595234000004</v>
          </cell>
          <cell r="F19">
            <v>26153.595234000004</v>
          </cell>
        </row>
        <row r="20">
          <cell r="A20" t="str">
            <v>Total Steam</v>
          </cell>
          <cell r="B20">
            <v>1881821.26</v>
          </cell>
          <cell r="C20">
            <v>1881821.26</v>
          </cell>
          <cell r="D20">
            <v>0</v>
          </cell>
          <cell r="E20">
            <v>1257432.9659319997</v>
          </cell>
          <cell r="F20">
            <v>1257432.9659319997</v>
          </cell>
        </row>
        <row r="22">
          <cell r="A22" t="str">
            <v>Hydro</v>
          </cell>
        </row>
        <row r="23">
          <cell r="A23">
            <v>535</v>
          </cell>
          <cell r="B23">
            <v>889256.87</v>
          </cell>
          <cell r="C23">
            <v>889256.87</v>
          </cell>
          <cell r="E23">
            <v>594201.440534</v>
          </cell>
          <cell r="F23">
            <v>594201.440534</v>
          </cell>
        </row>
        <row r="24">
          <cell r="A24">
            <v>537</v>
          </cell>
          <cell r="B24">
            <v>178073.27</v>
          </cell>
          <cell r="C24">
            <v>178073.27</v>
          </cell>
          <cell r="E24">
            <v>118988.559014</v>
          </cell>
          <cell r="F24">
            <v>118988.559014</v>
          </cell>
        </row>
        <row r="25">
          <cell r="H25">
            <v>720248.681838</v>
          </cell>
          <cell r="I25">
            <v>720248.681838</v>
          </cell>
          <cell r="K25">
            <v>0</v>
          </cell>
          <cell r="L25">
            <v>0</v>
          </cell>
          <cell r="M25">
            <v>20063.392727353443</v>
          </cell>
          <cell r="N25">
            <v>740312.0745653535</v>
          </cell>
        </row>
        <row r="26">
          <cell r="H26">
            <v>40383.062789999996</v>
          </cell>
          <cell r="I26">
            <v>40383.062789999996</v>
          </cell>
          <cell r="K26">
            <v>0</v>
          </cell>
          <cell r="L26">
            <v>0</v>
          </cell>
          <cell r="M26">
            <v>1124.918751980972</v>
          </cell>
          <cell r="N26">
            <v>41507.98154198097</v>
          </cell>
        </row>
        <row r="27">
          <cell r="H27">
            <v>56363.61255</v>
          </cell>
          <cell r="I27">
            <v>56363.61255</v>
          </cell>
          <cell r="K27">
            <v>0</v>
          </cell>
          <cell r="L27">
            <v>0</v>
          </cell>
          <cell r="M27">
            <v>1570.0761731867904</v>
          </cell>
          <cell r="N27">
            <v>57933.68872318679</v>
          </cell>
        </row>
        <row r="28">
          <cell r="H28">
            <v>43571.820053999996</v>
          </cell>
          <cell r="I28">
            <v>43571.820053999996</v>
          </cell>
          <cell r="K28">
            <v>0</v>
          </cell>
          <cell r="L28">
            <v>0</v>
          </cell>
          <cell r="M28">
            <v>1213.7454182604156</v>
          </cell>
          <cell r="N28">
            <v>44785.56547226041</v>
          </cell>
        </row>
        <row r="29">
          <cell r="H29">
            <v>142136.298192</v>
          </cell>
          <cell r="I29">
            <v>142136.298192</v>
          </cell>
          <cell r="K29">
            <v>0</v>
          </cell>
          <cell r="L29">
            <v>0</v>
          </cell>
          <cell r="M29">
            <v>3959.377425253979</v>
          </cell>
          <cell r="N29">
            <v>146095.67561725396</v>
          </cell>
        </row>
        <row r="30">
          <cell r="H30">
            <v>238873.45750800002</v>
          </cell>
          <cell r="I30">
            <v>238873.45750800002</v>
          </cell>
          <cell r="K30">
            <v>0</v>
          </cell>
          <cell r="L30">
            <v>0</v>
          </cell>
          <cell r="M30">
            <v>6654.107270135544</v>
          </cell>
          <cell r="N30">
            <v>245527.56477813557</v>
          </cell>
        </row>
        <row r="31">
          <cell r="H31">
            <v>13604.904894</v>
          </cell>
          <cell r="I31">
            <v>13604.904894</v>
          </cell>
          <cell r="K31">
            <v>0</v>
          </cell>
          <cell r="L31">
            <v>0</v>
          </cell>
          <cell r="M31">
            <v>378.9809780839137</v>
          </cell>
          <cell r="N31">
            <v>13983.885872083913</v>
          </cell>
        </row>
        <row r="32">
          <cell r="H32">
            <v>1609321.978278</v>
          </cell>
          <cell r="I32">
            <v>1609321.978278</v>
          </cell>
          <cell r="J32">
            <v>0</v>
          </cell>
          <cell r="K32">
            <v>0</v>
          </cell>
          <cell r="L32">
            <v>0</v>
          </cell>
          <cell r="M32">
            <v>44829.59801128143</v>
          </cell>
          <cell r="N32">
            <v>1654151.5762892812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H36">
            <v>5274.302754</v>
          </cell>
          <cell r="I36">
            <v>5274.302754</v>
          </cell>
          <cell r="K36">
            <v>0</v>
          </cell>
          <cell r="L36">
            <v>0</v>
          </cell>
          <cell r="M36">
            <v>146.92204260120423</v>
          </cell>
          <cell r="N36">
            <v>5421.224796601205</v>
          </cell>
        </row>
        <row r="37">
          <cell r="H37">
            <v>54571.079639999996</v>
          </cell>
          <cell r="I37">
            <v>54571.079639999996</v>
          </cell>
          <cell r="K37">
            <v>0</v>
          </cell>
          <cell r="L37">
            <v>0</v>
          </cell>
          <cell r="M37">
            <v>1520.1430144640854</v>
          </cell>
          <cell r="N37">
            <v>56091.22265446408</v>
          </cell>
        </row>
        <row r="38">
          <cell r="H38">
            <v>3519.2035199999996</v>
          </cell>
          <cell r="I38">
            <v>3519.2035199999996</v>
          </cell>
          <cell r="K38">
            <v>0</v>
          </cell>
          <cell r="L38">
            <v>0</v>
          </cell>
          <cell r="M38">
            <v>98.03164391646293</v>
          </cell>
          <cell r="N38">
            <v>3617.2351639164626</v>
          </cell>
        </row>
        <row r="39">
          <cell r="H39">
            <v>11963.964768</v>
          </cell>
          <cell r="I39">
            <v>11963.964768</v>
          </cell>
          <cell r="K39">
            <v>0</v>
          </cell>
          <cell r="L39">
            <v>0</v>
          </cell>
          <cell r="M39">
            <v>333.270618564761</v>
          </cell>
          <cell r="N39">
            <v>12297.23538656476</v>
          </cell>
        </row>
        <row r="40">
          <cell r="H40">
            <v>194.338578</v>
          </cell>
          <cell r="I40">
            <v>194.338578</v>
          </cell>
          <cell r="K40">
            <v>0</v>
          </cell>
          <cell r="L40">
            <v>0</v>
          </cell>
          <cell r="M40">
            <v>5.413534673245542</v>
          </cell>
          <cell r="N40">
            <v>199.75211267324556</v>
          </cell>
        </row>
        <row r="41">
          <cell r="H41">
            <v>31409.720916</v>
          </cell>
          <cell r="I41">
            <v>31409.720916</v>
          </cell>
          <cell r="K41">
            <v>0</v>
          </cell>
          <cell r="L41">
            <v>0</v>
          </cell>
          <cell r="M41">
            <v>874.9555286739399</v>
          </cell>
          <cell r="N41">
            <v>32284.67644467394</v>
          </cell>
        </row>
        <row r="42">
          <cell r="H42">
            <v>3950.002686</v>
          </cell>
          <cell r="I42">
            <v>3950.002686</v>
          </cell>
          <cell r="K42">
            <v>0</v>
          </cell>
          <cell r="L42">
            <v>0</v>
          </cell>
          <cell r="M42">
            <v>110.03207247957748</v>
          </cell>
          <cell r="N42">
            <v>4060.0347584795772</v>
          </cell>
        </row>
        <row r="43">
          <cell r="H43">
            <v>110882.61286199998</v>
          </cell>
          <cell r="I43">
            <v>110882.61286199998</v>
          </cell>
          <cell r="J43">
            <v>0</v>
          </cell>
          <cell r="K43">
            <v>0</v>
          </cell>
          <cell r="L43">
            <v>0</v>
          </cell>
          <cell r="M43">
            <v>3088.768455373276</v>
          </cell>
          <cell r="N43">
            <v>113971.38131737328</v>
          </cell>
        </row>
        <row r="46">
          <cell r="H46">
            <v>126170.19832199998</v>
          </cell>
          <cell r="I46">
            <v>126170.19832199998</v>
          </cell>
          <cell r="K46">
            <v>0</v>
          </cell>
          <cell r="L46">
            <v>0</v>
          </cell>
          <cell r="M46">
            <v>3514.6225231019926</v>
          </cell>
          <cell r="N46">
            <v>129684.82084510197</v>
          </cell>
        </row>
        <row r="47">
          <cell r="H47">
            <v>620457.880854</v>
          </cell>
          <cell r="I47">
            <v>620457.880854</v>
          </cell>
          <cell r="K47">
            <v>0</v>
          </cell>
          <cell r="L47">
            <v>0</v>
          </cell>
          <cell r="M47">
            <v>17283.600023519673</v>
          </cell>
          <cell r="N47">
            <v>637741.4808775197</v>
          </cell>
        </row>
        <row r="48">
          <cell r="H48">
            <v>746628.079176</v>
          </cell>
          <cell r="I48">
            <v>746628.079176</v>
          </cell>
          <cell r="J48">
            <v>0</v>
          </cell>
          <cell r="K48">
            <v>0</v>
          </cell>
          <cell r="L48">
            <v>0</v>
          </cell>
          <cell r="M48">
            <v>20798.222546621666</v>
          </cell>
          <cell r="N48">
            <v>767426.3017226217</v>
          </cell>
        </row>
        <row r="50">
          <cell r="H50">
            <v>3091220.9643839994</v>
          </cell>
          <cell r="I50">
            <v>3091220.9643839994</v>
          </cell>
          <cell r="J50">
            <v>0</v>
          </cell>
          <cell r="K50">
            <v>0</v>
          </cell>
          <cell r="L50">
            <v>0</v>
          </cell>
          <cell r="M50">
            <v>86109.67542098773</v>
          </cell>
          <cell r="N50">
            <v>3177330.6398049877</v>
          </cell>
        </row>
        <row r="53">
          <cell r="H53">
            <v>218966.79134399997</v>
          </cell>
          <cell r="I53">
            <v>218966.79134399997</v>
          </cell>
          <cell r="K53">
            <v>0</v>
          </cell>
          <cell r="L53">
            <v>0</v>
          </cell>
          <cell r="M53">
            <v>6099.583157545105</v>
          </cell>
          <cell r="N53">
            <v>225066.37450154507</v>
          </cell>
        </row>
        <row r="54">
          <cell r="H54">
            <v>156276.21399599998</v>
          </cell>
          <cell r="I54">
            <v>156276.21399599998</v>
          </cell>
          <cell r="K54">
            <v>0</v>
          </cell>
          <cell r="L54">
            <v>0</v>
          </cell>
          <cell r="M54">
            <v>4353.261775286253</v>
          </cell>
          <cell r="N54">
            <v>160629.47577128623</v>
          </cell>
        </row>
        <row r="55">
          <cell r="H55">
            <v>50625.270906000005</v>
          </cell>
          <cell r="I55">
            <v>50625.270906000005</v>
          </cell>
          <cell r="K55">
            <v>0</v>
          </cell>
          <cell r="L55">
            <v>0</v>
          </cell>
          <cell r="M55">
            <v>1410.2277695583414</v>
          </cell>
          <cell r="N55">
            <v>52035.498675558345</v>
          </cell>
        </row>
        <row r="56">
          <cell r="H56">
            <v>25693.77909</v>
          </cell>
          <cell r="I56">
            <v>25693.77909</v>
          </cell>
          <cell r="K56">
            <v>0</v>
          </cell>
          <cell r="L56">
            <v>0</v>
          </cell>
          <cell r="M56">
            <v>715.7310988990888</v>
          </cell>
          <cell r="N56">
            <v>26409.51018889909</v>
          </cell>
        </row>
        <row r="57">
          <cell r="H57">
            <v>5460.780989999999</v>
          </cell>
          <cell r="I57">
            <v>5460.780989999999</v>
          </cell>
          <cell r="K57">
            <v>0</v>
          </cell>
          <cell r="L57">
            <v>0</v>
          </cell>
          <cell r="M57">
            <v>152.1166180003906</v>
          </cell>
          <cell r="N57">
            <v>5612.8976080003895</v>
          </cell>
        </row>
        <row r="58">
          <cell r="H58">
            <v>23920.769292</v>
          </cell>
          <cell r="I58">
            <v>23920.769292</v>
          </cell>
          <cell r="K58">
            <v>0</v>
          </cell>
          <cell r="L58">
            <v>0</v>
          </cell>
          <cell r="M58">
            <v>666.3417799267278</v>
          </cell>
          <cell r="N58">
            <v>24587.111071926727</v>
          </cell>
        </row>
        <row r="59">
          <cell r="H59">
            <v>1949.9886</v>
          </cell>
          <cell r="I59">
            <v>1949.9886</v>
          </cell>
          <cell r="K59">
            <v>0</v>
          </cell>
          <cell r="L59">
            <v>0</v>
          </cell>
          <cell r="M59">
            <v>54.319276219740225</v>
          </cell>
          <cell r="N59">
            <v>2004.3078762197401</v>
          </cell>
        </row>
        <row r="60">
          <cell r="H60">
            <v>84065.455194</v>
          </cell>
          <cell r="I60">
            <v>84065.455194</v>
          </cell>
          <cell r="K60">
            <v>0</v>
          </cell>
          <cell r="L60">
            <v>0</v>
          </cell>
          <cell r="M60">
            <v>2341.744295951823</v>
          </cell>
          <cell r="N60">
            <v>86407.19948995182</v>
          </cell>
        </row>
        <row r="61">
          <cell r="H61">
            <v>28777.757232</v>
          </cell>
          <cell r="I61">
            <v>28777.757232</v>
          </cell>
          <cell r="K61">
            <v>0</v>
          </cell>
          <cell r="L61">
            <v>0</v>
          </cell>
          <cell r="M61">
            <v>801.6390167971417</v>
          </cell>
          <cell r="N61">
            <v>29579.39624879714</v>
          </cell>
        </row>
        <row r="62">
          <cell r="H62">
            <v>3451.1214779999996</v>
          </cell>
          <cell r="I62">
            <v>3451.1214779999996</v>
          </cell>
          <cell r="K62">
            <v>0</v>
          </cell>
          <cell r="L62">
            <v>0</v>
          </cell>
          <cell r="M62">
            <v>96.13513680611267</v>
          </cell>
          <cell r="N62">
            <v>3547.2566148061123</v>
          </cell>
        </row>
        <row r="63">
          <cell r="H63">
            <v>182.00557199999997</v>
          </cell>
          <cell r="I63">
            <v>182.00557199999997</v>
          </cell>
          <cell r="K63">
            <v>0</v>
          </cell>
          <cell r="L63">
            <v>0</v>
          </cell>
          <cell r="M63">
            <v>5.0699839675984855</v>
          </cell>
          <cell r="N63">
            <v>187.07555596759846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Labor"/>
      <sheetName val="SummaryExec"/>
      <sheetName val="WPNGLabor$"/>
      <sheetName val="ORADJ"/>
      <sheetName val="ElWAAdj"/>
      <sheetName val="ElIDAdj"/>
      <sheetName val="ElLabor$"/>
      <sheetName val="GasWAAdj"/>
      <sheetName val="GasIDAdj"/>
      <sheetName val="GasLabor$"/>
      <sheetName val="LaborAdj%"/>
      <sheetName val="Loadings"/>
      <sheetName val="Proforma Spread"/>
      <sheetName val="ProFormaOfficers"/>
      <sheetName val="%Exp"/>
      <sheetName val="Other"/>
      <sheetName val="Exhibit"/>
      <sheetName val="remove"/>
      <sheetName val="ExclOfficer"/>
    </sheetNames>
    <sheetDataSet>
      <sheetData sheetId="0">
        <row r="1">
          <cell r="A1" t="str">
            <v>AVISTA UTILITIES</v>
          </cell>
        </row>
        <row r="2">
          <cell r="A2" t="str">
            <v>Pro Forma Labor/Benefit - Summary</v>
          </cell>
        </row>
        <row r="3">
          <cell r="A3" t="str">
            <v>Twelve Months Ended December 31, 2001</v>
          </cell>
        </row>
        <row r="5">
          <cell r="D5" t="str">
            <v>Non-Officer</v>
          </cell>
          <cell r="G5" t="str">
            <v>Total</v>
          </cell>
        </row>
        <row r="6">
          <cell r="D6" t="str">
            <v>Labor/Benefit</v>
          </cell>
          <cell r="G6" t="str">
            <v>Labor/Benefit</v>
          </cell>
        </row>
        <row r="7">
          <cell r="A7" t="str">
            <v>Washington Electric</v>
          </cell>
          <cell r="D7" t="str">
            <v>Adjustment</v>
          </cell>
          <cell r="G7" t="str">
            <v>Adjustment</v>
          </cell>
        </row>
        <row r="9">
          <cell r="A9" t="str">
            <v>Total Production</v>
          </cell>
          <cell r="D9">
            <v>9239</v>
          </cell>
          <cell r="G9">
            <v>9239</v>
          </cell>
        </row>
        <row r="10">
          <cell r="A10" t="str">
            <v>Total Transmission</v>
          </cell>
          <cell r="D10">
            <v>-20427</v>
          </cell>
          <cell r="G10">
            <v>-20427</v>
          </cell>
        </row>
        <row r="11">
          <cell r="B11" t="str">
            <v>Total Production &amp; Transmission</v>
          </cell>
          <cell r="D11">
            <v>-11188</v>
          </cell>
          <cell r="G11">
            <v>-11188</v>
          </cell>
        </row>
        <row r="13">
          <cell r="A13" t="str">
            <v>Total Distribution</v>
          </cell>
          <cell r="D13">
            <v>73799</v>
          </cell>
          <cell r="G13">
            <v>73799</v>
          </cell>
        </row>
        <row r="15">
          <cell r="A15" t="str">
            <v>Customer Accounts</v>
          </cell>
          <cell r="D15">
            <v>-37222</v>
          </cell>
          <cell r="G15">
            <v>-37222</v>
          </cell>
        </row>
        <row r="16">
          <cell r="A16" t="str">
            <v>Cust Service &amp; Info</v>
          </cell>
          <cell r="D16">
            <v>-3364</v>
          </cell>
          <cell r="G16">
            <v>-3364</v>
          </cell>
        </row>
        <row r="17">
          <cell r="A17" t="str">
            <v>Sales &amp; Marketing</v>
          </cell>
          <cell r="D17">
            <v>-9544</v>
          </cell>
          <cell r="G17">
            <v>-9544</v>
          </cell>
        </row>
        <row r="19">
          <cell r="A19" t="str">
            <v>Total Admin &amp; General</v>
          </cell>
          <cell r="D19">
            <v>-166929</v>
          </cell>
          <cell r="G19">
            <v>-166929</v>
          </cell>
        </row>
        <row r="21">
          <cell r="A21" t="str">
            <v>Total Electric Expenses</v>
          </cell>
          <cell r="D21">
            <v>-154448</v>
          </cell>
          <cell r="G21">
            <v>-154448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C4" sqref="C4"/>
    </sheetView>
  </sheetViews>
  <sheetFormatPr defaultColWidth="9.33203125" defaultRowHeight="12.75"/>
  <cols>
    <col min="1" max="1" width="3.5" style="0" customWidth="1"/>
    <col min="2" max="2" width="13.5" style="0" customWidth="1"/>
    <col min="3" max="3" width="21.66015625" style="0" customWidth="1"/>
    <col min="4" max="4" width="14.66015625" style="3" customWidth="1"/>
    <col min="5" max="7" width="15.33203125" style="3" customWidth="1"/>
  </cols>
  <sheetData>
    <row r="1" spans="1:8" ht="12.75">
      <c r="A1" s="42" t="s">
        <v>30</v>
      </c>
      <c r="B1" s="43"/>
      <c r="C1" s="44"/>
      <c r="D1" s="44"/>
      <c r="E1" s="44"/>
      <c r="F1" s="44"/>
      <c r="G1" s="44"/>
      <c r="H1" s="45"/>
    </row>
    <row r="2" spans="1:8" ht="12.75">
      <c r="A2" s="42" t="s">
        <v>136</v>
      </c>
      <c r="B2" s="43"/>
      <c r="C2" s="44"/>
      <c r="D2" s="44"/>
      <c r="E2" s="44"/>
      <c r="F2" s="44"/>
      <c r="G2" s="44"/>
      <c r="H2" s="45"/>
    </row>
    <row r="3" spans="1:8" ht="13.5" thickBot="1">
      <c r="A3" s="209" t="s">
        <v>406</v>
      </c>
      <c r="B3" s="43"/>
      <c r="C3" s="44"/>
      <c r="D3" s="44"/>
      <c r="E3" s="44"/>
      <c r="F3" s="44"/>
      <c r="G3" s="44"/>
      <c r="H3" s="45"/>
    </row>
    <row r="4" spans="1:8" ht="18.75">
      <c r="A4" s="43"/>
      <c r="B4" s="43"/>
      <c r="C4" s="44"/>
      <c r="D4" s="470" t="s">
        <v>494</v>
      </c>
      <c r="E4" s="470" t="s">
        <v>495</v>
      </c>
      <c r="F4" s="454" t="s">
        <v>496</v>
      </c>
      <c r="G4" s="455"/>
      <c r="H4" s="45"/>
    </row>
    <row r="5" spans="1:8" ht="12.75">
      <c r="A5" s="451"/>
      <c r="B5" s="451"/>
      <c r="C5" s="452"/>
      <c r="D5" s="471" t="s">
        <v>167</v>
      </c>
      <c r="E5" s="479" t="s">
        <v>408</v>
      </c>
      <c r="F5" s="456" t="s">
        <v>0</v>
      </c>
      <c r="G5" s="457" t="s">
        <v>0</v>
      </c>
      <c r="H5" s="45"/>
    </row>
    <row r="6" spans="1:8" ht="12.75">
      <c r="A6" s="451"/>
      <c r="B6" s="451"/>
      <c r="C6" s="452"/>
      <c r="D6" s="472" t="s">
        <v>407</v>
      </c>
      <c r="E6" s="471" t="s">
        <v>345</v>
      </c>
      <c r="F6" s="456" t="s">
        <v>37</v>
      </c>
      <c r="G6" s="457" t="s">
        <v>479</v>
      </c>
      <c r="H6" s="45"/>
    </row>
    <row r="7" spans="1:8" ht="14.25">
      <c r="A7" s="453" t="s">
        <v>38</v>
      </c>
      <c r="B7" s="451"/>
      <c r="C7" s="452"/>
      <c r="D7" s="473" t="s">
        <v>346</v>
      </c>
      <c r="E7" s="473" t="s">
        <v>4</v>
      </c>
      <c r="F7" s="458" t="s">
        <v>45</v>
      </c>
      <c r="G7" s="459" t="s">
        <v>45</v>
      </c>
      <c r="H7" s="45"/>
    </row>
    <row r="8" spans="1:8" ht="12.75">
      <c r="A8" s="452"/>
      <c r="B8" s="451"/>
      <c r="C8" s="452"/>
      <c r="D8" s="474"/>
      <c r="E8" s="474"/>
      <c r="F8" s="460"/>
      <c r="G8" s="461"/>
      <c r="H8" s="45"/>
    </row>
    <row r="9" spans="1:8" ht="12.75">
      <c r="A9" s="452" t="s">
        <v>39</v>
      </c>
      <c r="B9" s="451"/>
      <c r="C9" s="452"/>
      <c r="D9" s="475">
        <f>ElWAAdj!N50</f>
        <v>800883</v>
      </c>
      <c r="E9" s="475">
        <f>ElWAAdj!R50</f>
        <v>9347</v>
      </c>
      <c r="F9" s="462">
        <f>ElWAAdj!S50</f>
        <v>756281</v>
      </c>
      <c r="G9" s="463">
        <f>ElWAAdj!T50</f>
        <v>65712</v>
      </c>
      <c r="H9" s="45"/>
    </row>
    <row r="10" spans="1:8" ht="12.75">
      <c r="A10" s="452" t="s">
        <v>6</v>
      </c>
      <c r="B10" s="451"/>
      <c r="C10" s="452"/>
      <c r="D10" s="475">
        <f>ElWAAdj!N66</f>
        <v>230515</v>
      </c>
      <c r="E10" s="475">
        <f>ElWAAdj!R66</f>
        <v>0</v>
      </c>
      <c r="F10" s="462">
        <f>ElWAAdj!S66</f>
        <v>218551</v>
      </c>
      <c r="G10" s="463">
        <f>ElWAAdj!T66</f>
        <v>0</v>
      </c>
      <c r="H10" s="45"/>
    </row>
    <row r="11" spans="1:8" ht="12.75">
      <c r="A11" s="452"/>
      <c r="B11" s="452" t="s">
        <v>41</v>
      </c>
      <c r="C11" s="452"/>
      <c r="D11" s="476">
        <f>D9+D10</f>
        <v>1031398</v>
      </c>
      <c r="E11" s="476">
        <f>E9+E10</f>
        <v>9347</v>
      </c>
      <c r="F11" s="464">
        <f>F9+F10</f>
        <v>974832</v>
      </c>
      <c r="G11" s="465">
        <f>G9+G10</f>
        <v>65712</v>
      </c>
      <c r="H11" s="45"/>
    </row>
    <row r="12" spans="1:8" ht="12.75">
      <c r="A12" s="452"/>
      <c r="B12" s="451"/>
      <c r="C12" s="452"/>
      <c r="D12" s="474"/>
      <c r="E12" s="474"/>
      <c r="F12" s="460"/>
      <c r="G12" s="461"/>
      <c r="H12" s="45"/>
    </row>
    <row r="13" spans="1:8" ht="12.75">
      <c r="A13" s="452" t="s">
        <v>8</v>
      </c>
      <c r="B13" s="451"/>
      <c r="C13" s="452"/>
      <c r="D13" s="475">
        <f>ElWAAdj!N88</f>
        <v>841706</v>
      </c>
      <c r="E13" s="475">
        <f>ElWAAdj!R88</f>
        <v>0</v>
      </c>
      <c r="F13" s="462">
        <f>ElWAAdj!S88</f>
        <v>778373</v>
      </c>
      <c r="G13" s="463">
        <f>ElWAAdj!T88</f>
        <v>0</v>
      </c>
      <c r="H13" s="45"/>
    </row>
    <row r="14" spans="1:8" ht="12.75">
      <c r="A14" s="452"/>
      <c r="B14" s="451"/>
      <c r="C14" s="452"/>
      <c r="D14" s="474"/>
      <c r="E14" s="474"/>
      <c r="F14" s="460"/>
      <c r="G14" s="461"/>
      <c r="H14" s="45"/>
    </row>
    <row r="15" spans="1:8" ht="12.75">
      <c r="A15" s="452" t="s">
        <v>9</v>
      </c>
      <c r="B15" s="451"/>
      <c r="C15" s="452"/>
      <c r="D15" s="475">
        <f>ElWAAdj!N95</f>
        <v>348123</v>
      </c>
      <c r="E15" s="475">
        <f>ElWAAdj!R95</f>
        <v>0</v>
      </c>
      <c r="F15" s="462">
        <f>ElWAAdj!S95</f>
        <v>329422</v>
      </c>
      <c r="G15" s="463">
        <f>ElWAAdj!T95</f>
        <v>0</v>
      </c>
      <c r="H15" s="45"/>
    </row>
    <row r="16" spans="1:8" ht="12.75">
      <c r="A16" s="452" t="s">
        <v>11</v>
      </c>
      <c r="B16" s="451"/>
      <c r="C16" s="452"/>
      <c r="D16" s="475">
        <f>ElWAAdj!N102</f>
        <v>19649</v>
      </c>
      <c r="E16" s="475">
        <f>ElWAAdj!R102</f>
        <v>0</v>
      </c>
      <c r="F16" s="462">
        <f>ElWAAdj!S102</f>
        <v>18869</v>
      </c>
      <c r="G16" s="463">
        <f>ElWAAdj!T102</f>
        <v>0</v>
      </c>
      <c r="H16" s="45"/>
    </row>
    <row r="17" spans="1:8" ht="12.75">
      <c r="A17" s="452" t="s">
        <v>36</v>
      </c>
      <c r="B17" s="451"/>
      <c r="C17" s="452"/>
      <c r="D17" s="475">
        <f>ElWAAdj!N109</f>
        <v>30624</v>
      </c>
      <c r="E17" s="475">
        <f>ElWAAdj!R109</f>
        <v>0</v>
      </c>
      <c r="F17" s="462">
        <f>ElWAAdj!S109</f>
        <v>29405</v>
      </c>
      <c r="G17" s="463">
        <f>ElWAAdj!T109</f>
        <v>0</v>
      </c>
      <c r="H17" s="45"/>
    </row>
    <row r="18" spans="1:8" ht="12.75">
      <c r="A18" s="452"/>
      <c r="B18" s="451"/>
      <c r="C18" s="452"/>
      <c r="D18" s="474"/>
      <c r="E18" s="474"/>
      <c r="F18" s="460"/>
      <c r="G18" s="461"/>
      <c r="H18" s="45"/>
    </row>
    <row r="19" spans="1:8" ht="12.75">
      <c r="A19" s="452" t="s">
        <v>16</v>
      </c>
      <c r="B19" s="451"/>
      <c r="C19" s="452"/>
      <c r="D19" s="475">
        <f>ElWAAdj!N123</f>
        <v>715098</v>
      </c>
      <c r="E19" s="475">
        <f>ElWAAdj!R123</f>
        <v>230196</v>
      </c>
      <c r="F19" s="462">
        <f>ElWAAdj!S123</f>
        <v>800820</v>
      </c>
      <c r="G19" s="463">
        <f>ElWAAdj!T123</f>
        <v>967123</v>
      </c>
      <c r="H19" s="45"/>
    </row>
    <row r="20" spans="1:8" ht="12.75">
      <c r="A20" s="452"/>
      <c r="B20" s="451"/>
      <c r="C20" s="452"/>
      <c r="D20" s="477"/>
      <c r="E20" s="477"/>
      <c r="F20" s="466"/>
      <c r="G20" s="467"/>
      <c r="H20" s="45"/>
    </row>
    <row r="21" spans="1:8" ht="13.5" thickBot="1">
      <c r="A21" s="452" t="s">
        <v>388</v>
      </c>
      <c r="B21" s="451"/>
      <c r="C21" s="452"/>
      <c r="D21" s="478">
        <f>SUM(D11:D19)</f>
        <v>2986598</v>
      </c>
      <c r="E21" s="478">
        <f>SUM(E11:E19)</f>
        <v>239543</v>
      </c>
      <c r="F21" s="468">
        <f>SUM(F11:F19)</f>
        <v>2931721</v>
      </c>
      <c r="G21" s="469">
        <f>SUM(G11:G19)</f>
        <v>1032835</v>
      </c>
      <c r="H21" s="45"/>
    </row>
    <row r="22" spans="1:8" ht="12.75">
      <c r="A22" s="3"/>
      <c r="B22" s="43"/>
      <c r="C22" s="44"/>
      <c r="D22" s="18"/>
      <c r="E22" s="18"/>
      <c r="F22" s="18"/>
      <c r="G22" s="18"/>
      <c r="H22" s="45"/>
    </row>
    <row r="23" spans="1:8" ht="12.75">
      <c r="A23" s="42" t="s">
        <v>30</v>
      </c>
      <c r="B23" s="43"/>
      <c r="C23" s="44"/>
      <c r="D23" s="44"/>
      <c r="E23" s="44"/>
      <c r="F23" s="44"/>
      <c r="G23" s="44"/>
      <c r="H23" s="45"/>
    </row>
    <row r="24" spans="1:8" ht="12.75">
      <c r="A24" s="42" t="s">
        <v>136</v>
      </c>
      <c r="B24" s="43"/>
      <c r="C24" s="44"/>
      <c r="D24" s="44"/>
      <c r="E24" s="44"/>
      <c r="F24" s="44"/>
      <c r="G24" s="44"/>
      <c r="H24" s="45"/>
    </row>
    <row r="25" spans="1:8" ht="12.75">
      <c r="A25" s="43" t="str">
        <f>A3</f>
        <v>Twelve Months Ended September 30, 2008</v>
      </c>
      <c r="B25" s="43"/>
      <c r="C25" s="44"/>
      <c r="D25" s="44"/>
      <c r="E25" s="44"/>
      <c r="F25" s="44"/>
      <c r="G25" s="44"/>
      <c r="H25" s="45"/>
    </row>
    <row r="26" spans="1:8" ht="12.75">
      <c r="A26" s="43"/>
      <c r="B26" s="43"/>
      <c r="C26" s="44"/>
      <c r="D26" s="44"/>
      <c r="E26" s="44"/>
      <c r="F26" s="44"/>
      <c r="G26" s="44"/>
      <c r="H26" s="45"/>
    </row>
    <row r="27" spans="1:8" ht="12.75">
      <c r="A27" s="43"/>
      <c r="B27" s="43"/>
      <c r="C27" s="44"/>
      <c r="D27" s="140" t="s">
        <v>167</v>
      </c>
      <c r="E27" s="140" t="str">
        <f>E5</f>
        <v>Net 2010</v>
      </c>
      <c r="F27" s="146" t="s">
        <v>0</v>
      </c>
      <c r="G27" s="146" t="s">
        <v>0</v>
      </c>
      <c r="H27" s="45"/>
    </row>
    <row r="28" spans="1:8" ht="12.75">
      <c r="A28" s="43"/>
      <c r="B28" s="43"/>
      <c r="C28" s="44"/>
      <c r="D28" s="152" t="str">
        <f>D6</f>
        <v>2008 to 2010</v>
      </c>
      <c r="E28" s="140" t="s">
        <v>345</v>
      </c>
      <c r="F28" s="146" t="s">
        <v>37</v>
      </c>
      <c r="G28" s="146" t="s">
        <v>479</v>
      </c>
      <c r="H28" s="45"/>
    </row>
    <row r="29" spans="1:8" ht="12.75">
      <c r="A29" s="48" t="s">
        <v>40</v>
      </c>
      <c r="B29" s="43"/>
      <c r="C29" s="44"/>
      <c r="D29" s="141" t="s">
        <v>346</v>
      </c>
      <c r="E29" s="147" t="s">
        <v>4</v>
      </c>
      <c r="F29" s="147" t="s">
        <v>45</v>
      </c>
      <c r="G29" s="147" t="s">
        <v>45</v>
      </c>
      <c r="H29" s="45"/>
    </row>
    <row r="30" spans="1:8" ht="12.75">
      <c r="A30" s="3"/>
      <c r="B30" s="43"/>
      <c r="C30" s="44"/>
      <c r="D30" s="44"/>
      <c r="E30" s="44"/>
      <c r="F30" s="44"/>
      <c r="G30" s="44"/>
      <c r="H30" s="45"/>
    </row>
    <row r="31" spans="1:8" ht="12.75">
      <c r="A31" s="3" t="s">
        <v>39</v>
      </c>
      <c r="B31" s="43"/>
      <c r="C31" s="44"/>
      <c r="D31" s="25">
        <f>ElIDAdj!N50</f>
        <v>309011</v>
      </c>
      <c r="E31" s="25">
        <f>ElIDAdj!R50</f>
        <v>5125</v>
      </c>
      <c r="F31" s="25">
        <f>ElIDAdj!S50</f>
        <v>414701</v>
      </c>
      <c r="G31" s="25">
        <f>ElIDAdj!T50</f>
        <v>34436</v>
      </c>
      <c r="H31" s="45"/>
    </row>
    <row r="32" spans="1:8" ht="12.75">
      <c r="A32" s="3" t="s">
        <v>6</v>
      </c>
      <c r="B32" s="43"/>
      <c r="C32" s="44"/>
      <c r="D32" s="25">
        <f>ElIDAdj!N66</f>
        <v>89748</v>
      </c>
      <c r="E32" s="25">
        <f>ElIDAdj!R66</f>
        <v>0</v>
      </c>
      <c r="F32" s="25">
        <f>ElIDAdj!S66</f>
        <v>119841</v>
      </c>
      <c r="G32" s="25">
        <f>ElIDAdj!T66</f>
        <v>0</v>
      </c>
      <c r="H32" s="45"/>
    </row>
    <row r="33" spans="1:8" ht="12.75">
      <c r="A33" s="3"/>
      <c r="B33" s="3" t="s">
        <v>41</v>
      </c>
      <c r="C33" s="44"/>
      <c r="D33" s="49">
        <f>D31+D32</f>
        <v>398759</v>
      </c>
      <c r="E33" s="49">
        <f>E31+E32</f>
        <v>5125</v>
      </c>
      <c r="F33" s="49">
        <f>F31+F32</f>
        <v>534542</v>
      </c>
      <c r="G33" s="49">
        <f>G31+G32</f>
        <v>34436</v>
      </c>
      <c r="H33" s="45"/>
    </row>
    <row r="34" spans="1:8" ht="12.75">
      <c r="A34" s="3"/>
      <c r="B34" s="43"/>
      <c r="C34" s="44"/>
      <c r="H34" s="45"/>
    </row>
    <row r="35" spans="1:8" ht="12.75">
      <c r="A35" s="3" t="s">
        <v>8</v>
      </c>
      <c r="B35" s="43"/>
      <c r="C35" s="44"/>
      <c r="D35" s="25">
        <f>ElIDAdj!N88</f>
        <v>294225</v>
      </c>
      <c r="E35" s="25">
        <f>ElIDAdj!R88</f>
        <v>0</v>
      </c>
      <c r="F35" s="25">
        <f>ElIDAdj!S88</f>
        <v>389172</v>
      </c>
      <c r="G35" s="25">
        <f>ElIDAdj!T88</f>
        <v>0</v>
      </c>
      <c r="H35" s="45"/>
    </row>
    <row r="36" spans="1:8" ht="12.75">
      <c r="A36" s="3"/>
      <c r="B36" s="43"/>
      <c r="C36" s="44"/>
      <c r="H36" s="45"/>
    </row>
    <row r="37" spans="1:8" ht="12.75">
      <c r="A37" s="3" t="s">
        <v>9</v>
      </c>
      <c r="B37" s="43"/>
      <c r="C37" s="44"/>
      <c r="D37" s="25">
        <f>ElIDAdj!N95</f>
        <v>93198</v>
      </c>
      <c r="E37" s="25">
        <f>ElIDAdj!R95</f>
        <v>0</v>
      </c>
      <c r="F37" s="25">
        <f>ElIDAdj!S95</f>
        <v>124784</v>
      </c>
      <c r="G37" s="25">
        <f>ElIDAdj!T95</f>
        <v>0</v>
      </c>
      <c r="H37" s="45"/>
    </row>
    <row r="38" spans="1:8" ht="12.75">
      <c r="A38" s="3" t="s">
        <v>11</v>
      </c>
      <c r="B38" s="43"/>
      <c r="C38" s="44"/>
      <c r="D38" s="25">
        <f>ElIDAdj!N102</f>
        <v>7325</v>
      </c>
      <c r="E38" s="25">
        <f>ElIDAdj!R102</f>
        <v>0</v>
      </c>
      <c r="F38" s="25">
        <f>ElIDAdj!S102</f>
        <v>9827</v>
      </c>
      <c r="G38" s="25">
        <f>ElIDAdj!T102</f>
        <v>0</v>
      </c>
      <c r="H38" s="45"/>
    </row>
    <row r="39" spans="1:8" ht="12.75">
      <c r="A39" s="3" t="s">
        <v>36</v>
      </c>
      <c r="B39" s="43"/>
      <c r="C39" s="44"/>
      <c r="D39" s="25">
        <f>ElIDAdj!N109</f>
        <v>6970</v>
      </c>
      <c r="E39" s="25">
        <f>ElIDAdj!R109</f>
        <v>0</v>
      </c>
      <c r="F39" s="25">
        <f>ElIDAdj!S109</f>
        <v>9352</v>
      </c>
      <c r="G39" s="25">
        <f>ElIDAdj!T109</f>
        <v>0</v>
      </c>
      <c r="H39" s="45"/>
    </row>
    <row r="40" spans="1:8" ht="12.75">
      <c r="A40" s="3"/>
      <c r="B40" s="43"/>
      <c r="C40" s="44"/>
      <c r="H40" s="45"/>
    </row>
    <row r="41" spans="1:8" ht="12.75">
      <c r="A41" s="3" t="s">
        <v>16</v>
      </c>
      <c r="B41" s="43"/>
      <c r="C41" s="44"/>
      <c r="D41" s="25">
        <f>ElIDAdj!N123</f>
        <v>279430</v>
      </c>
      <c r="E41" s="25">
        <f>ElIDAdj!R123</f>
        <v>123423</v>
      </c>
      <c r="F41" s="25">
        <f>ElIDAdj!S123</f>
        <v>437029</v>
      </c>
      <c r="G41" s="25">
        <f>ElIDAdj!T123</f>
        <v>495667</v>
      </c>
      <c r="H41" s="45"/>
    </row>
    <row r="42" spans="1:8" ht="12.75">
      <c r="A42" s="3"/>
      <c r="B42" s="43"/>
      <c r="C42" s="44"/>
      <c r="D42" s="50"/>
      <c r="E42" s="50"/>
      <c r="F42" s="50"/>
      <c r="G42" s="50"/>
      <c r="H42" s="45"/>
    </row>
    <row r="43" spans="1:8" ht="13.5" thickBot="1">
      <c r="A43" s="3" t="s">
        <v>389</v>
      </c>
      <c r="B43" s="43"/>
      <c r="C43" s="44"/>
      <c r="D43" s="25">
        <f>SUM(D33:D41)</f>
        <v>1079907</v>
      </c>
      <c r="E43" s="25">
        <f>SUM(E33:E41)</f>
        <v>128548</v>
      </c>
      <c r="F43" s="25">
        <f>SUM(F33:F41)</f>
        <v>1504706</v>
      </c>
      <c r="G43" s="25">
        <f>SUM(G33:G41)</f>
        <v>530103</v>
      </c>
      <c r="H43" s="45"/>
    </row>
    <row r="44" spans="1:8" ht="13.5" thickTop="1">
      <c r="A44" s="43"/>
      <c r="B44" s="43"/>
      <c r="C44" s="44"/>
      <c r="D44" s="51"/>
      <c r="E44" s="51"/>
      <c r="F44" s="51"/>
      <c r="G44" s="51"/>
      <c r="H44" s="45"/>
    </row>
    <row r="45" spans="1:8" ht="12.75">
      <c r="A45" s="43"/>
      <c r="B45" s="43"/>
      <c r="C45" s="44"/>
      <c r="D45" s="44"/>
      <c r="E45" s="44"/>
      <c r="F45" s="44"/>
      <c r="G45" s="44"/>
      <c r="H45" s="45"/>
    </row>
    <row r="46" spans="1:8" ht="12.75">
      <c r="A46" s="43"/>
      <c r="B46" s="43"/>
      <c r="C46" s="44"/>
      <c r="D46" s="44"/>
      <c r="E46" s="44"/>
      <c r="F46" s="44"/>
      <c r="G46" s="44"/>
      <c r="H46" s="45"/>
    </row>
    <row r="47" spans="1:8" ht="12.75">
      <c r="A47" s="42" t="s">
        <v>30</v>
      </c>
      <c r="B47" s="43"/>
      <c r="C47" s="44"/>
      <c r="D47" s="44"/>
      <c r="E47" s="44"/>
      <c r="F47" s="44"/>
      <c r="G47" s="44"/>
      <c r="H47" s="45"/>
    </row>
    <row r="48" spans="1:8" ht="12.75">
      <c r="A48" s="42" t="s">
        <v>136</v>
      </c>
      <c r="B48" s="43"/>
      <c r="C48" s="44"/>
      <c r="D48" s="44"/>
      <c r="E48" s="44"/>
      <c r="F48" s="44"/>
      <c r="G48" s="44"/>
      <c r="H48" s="45"/>
    </row>
    <row r="49" spans="1:8" ht="12.75">
      <c r="A49" s="43" t="str">
        <f>A3</f>
        <v>Twelve Months Ended September 30, 2008</v>
      </c>
      <c r="B49" s="43"/>
      <c r="C49" s="44"/>
      <c r="D49" s="44"/>
      <c r="E49" s="44"/>
      <c r="F49" s="44"/>
      <c r="G49" s="44"/>
      <c r="H49" s="45"/>
    </row>
    <row r="50" spans="1:8" ht="12.75">
      <c r="A50" s="43"/>
      <c r="B50" s="43"/>
      <c r="C50" s="44"/>
      <c r="D50" s="44"/>
      <c r="E50" s="44"/>
      <c r="F50" s="44"/>
      <c r="G50" s="44"/>
      <c r="H50" s="45"/>
    </row>
    <row r="51" spans="1:8" ht="12.75">
      <c r="A51" s="43"/>
      <c r="B51" s="43"/>
      <c r="C51" s="44"/>
      <c r="D51" s="140" t="s">
        <v>167</v>
      </c>
      <c r="E51" s="140" t="str">
        <f>E27</f>
        <v>Net 2010</v>
      </c>
      <c r="F51" s="146" t="s">
        <v>0</v>
      </c>
      <c r="G51" s="146" t="s">
        <v>0</v>
      </c>
      <c r="H51" s="45"/>
    </row>
    <row r="52" spans="1:8" ht="12.75">
      <c r="A52" s="43"/>
      <c r="B52" s="43"/>
      <c r="C52" s="44"/>
      <c r="D52" s="152" t="str">
        <f>D28</f>
        <v>2008 to 2010</v>
      </c>
      <c r="E52" s="140" t="s">
        <v>345</v>
      </c>
      <c r="F52" s="146" t="s">
        <v>37</v>
      </c>
      <c r="G52" s="146" t="s">
        <v>479</v>
      </c>
      <c r="H52" s="45"/>
    </row>
    <row r="53" spans="1:8" ht="12.75">
      <c r="A53" s="48" t="s">
        <v>42</v>
      </c>
      <c r="B53" s="43"/>
      <c r="C53" s="44"/>
      <c r="D53" s="141" t="s">
        <v>346</v>
      </c>
      <c r="E53" s="147" t="s">
        <v>4</v>
      </c>
      <c r="F53" s="147" t="s">
        <v>45</v>
      </c>
      <c r="G53" s="147" t="s">
        <v>45</v>
      </c>
      <c r="H53" s="45"/>
    </row>
    <row r="54" spans="1:8" ht="12.75">
      <c r="A54" s="3"/>
      <c r="B54" s="43"/>
      <c r="C54" s="44"/>
      <c r="D54" s="44"/>
      <c r="E54" s="44"/>
      <c r="F54" s="44"/>
      <c r="G54" s="44"/>
      <c r="H54" s="45"/>
    </row>
    <row r="55" spans="1:8" ht="12.75">
      <c r="A55" s="21" t="s">
        <v>39</v>
      </c>
      <c r="B55" s="43"/>
      <c r="C55" s="44"/>
      <c r="D55" s="25">
        <f>GasWAAdj!N12</f>
        <v>33444</v>
      </c>
      <c r="E55" s="25">
        <f>GasWAAdj!R12</f>
        <v>2935</v>
      </c>
      <c r="F55" s="25">
        <f>GasWAAdj!S12</f>
        <v>34572</v>
      </c>
      <c r="G55" s="25">
        <f>GasWAAdj!T12</f>
        <v>19243</v>
      </c>
      <c r="H55" s="45"/>
    </row>
    <row r="56" spans="1:8" ht="12.75">
      <c r="A56" s="21"/>
      <c r="B56" s="43"/>
      <c r="C56" s="44"/>
      <c r="D56" s="25"/>
      <c r="E56" s="25"/>
      <c r="F56" s="25"/>
      <c r="G56" s="25"/>
      <c r="H56" s="45"/>
    </row>
    <row r="57" spans="1:8" ht="12.75">
      <c r="A57" s="22" t="s">
        <v>43</v>
      </c>
      <c r="B57" s="43"/>
      <c r="C57" s="44"/>
      <c r="D57" s="25">
        <f>GasWAAdj!N17</f>
        <v>639</v>
      </c>
      <c r="E57" s="25">
        <f>GasWAAdj!R17</f>
        <v>0</v>
      </c>
      <c r="F57" s="25">
        <f>GasWAAdj!S17</f>
        <v>614</v>
      </c>
      <c r="G57" s="25">
        <f>GasWAAdj!T17</f>
        <v>0</v>
      </c>
      <c r="H57" s="45"/>
    </row>
    <row r="58" spans="1:8" ht="12.75">
      <c r="A58" s="3"/>
      <c r="B58" s="43"/>
      <c r="C58" s="44"/>
      <c r="H58" s="45"/>
    </row>
    <row r="59" spans="1:8" ht="12.75">
      <c r="A59" s="3" t="s">
        <v>8</v>
      </c>
      <c r="B59" s="43"/>
      <c r="C59" s="44"/>
      <c r="D59" s="25">
        <f>GasWAAdj!N38</f>
        <v>328886</v>
      </c>
      <c r="E59" s="25">
        <f>GasWAAdj!R38</f>
        <v>0</v>
      </c>
      <c r="F59" s="25">
        <f>GasWAAdj!S38</f>
        <v>303760</v>
      </c>
      <c r="G59" s="25">
        <f>GasWAAdj!T38</f>
        <v>0</v>
      </c>
      <c r="H59" s="45"/>
    </row>
    <row r="60" spans="1:8" ht="12.75">
      <c r="A60" s="3"/>
      <c r="B60" s="43"/>
      <c r="C60" s="44"/>
      <c r="H60" s="45"/>
    </row>
    <row r="61" spans="1:8" ht="12.75">
      <c r="A61" s="3" t="s">
        <v>9</v>
      </c>
      <c r="B61" s="43"/>
      <c r="C61" s="44"/>
      <c r="D61" s="25">
        <f>GasWAAdj!N45</f>
        <v>204778</v>
      </c>
      <c r="E61" s="25">
        <f>GasWAAdj!R45</f>
        <v>0</v>
      </c>
      <c r="F61" s="25">
        <f>GasWAAdj!S45</f>
        <v>193749</v>
      </c>
      <c r="G61" s="25">
        <f>GasWAAdj!T45</f>
        <v>0</v>
      </c>
      <c r="H61" s="45"/>
    </row>
    <row r="62" spans="1:8" ht="12.75">
      <c r="A62" s="3" t="s">
        <v>11</v>
      </c>
      <c r="B62" s="43"/>
      <c r="C62" s="44"/>
      <c r="D62" s="25">
        <f>GasWAAdj!N51</f>
        <v>12164</v>
      </c>
      <c r="E62" s="25">
        <f>GasWAAdj!R51</f>
        <v>0</v>
      </c>
      <c r="F62" s="25">
        <f>GasWAAdj!S51</f>
        <v>11680</v>
      </c>
      <c r="G62" s="25">
        <f>GasWAAdj!T51</f>
        <v>0</v>
      </c>
      <c r="H62" s="45"/>
    </row>
    <row r="63" spans="1:8" ht="12.75">
      <c r="A63" s="3" t="s">
        <v>36</v>
      </c>
      <c r="B63" s="43"/>
      <c r="C63" s="44"/>
      <c r="D63" s="25">
        <f>GasWAAdj!N58</f>
        <v>18838</v>
      </c>
      <c r="E63" s="25">
        <f>GasWAAdj!R58</f>
        <v>0</v>
      </c>
      <c r="F63" s="25">
        <f>GasWAAdj!S58</f>
        <v>18089</v>
      </c>
      <c r="G63" s="25">
        <f>GasWAAdj!T58</f>
        <v>0</v>
      </c>
      <c r="H63" s="45"/>
    </row>
    <row r="64" spans="1:8" ht="12.75">
      <c r="A64" s="3"/>
      <c r="B64" s="43"/>
      <c r="C64" s="44"/>
      <c r="H64" s="45"/>
    </row>
    <row r="65" spans="1:8" ht="12.75">
      <c r="A65" s="3" t="s">
        <v>16</v>
      </c>
      <c r="B65" s="43"/>
      <c r="C65" s="44"/>
      <c r="D65" s="25">
        <f>GasWAAdj!N69</f>
        <v>187591</v>
      </c>
      <c r="E65" s="25">
        <f>GasWAAdj!R69</f>
        <v>63625</v>
      </c>
      <c r="F65" s="25">
        <f>GasWAAdj!S69</f>
        <v>211873</v>
      </c>
      <c r="G65" s="25">
        <f>GasWAAdj!T69</f>
        <v>253553</v>
      </c>
      <c r="H65" s="45"/>
    </row>
    <row r="66" spans="1:8" ht="12.75">
      <c r="A66" s="3"/>
      <c r="B66" s="43"/>
      <c r="C66" s="44"/>
      <c r="D66" s="50"/>
      <c r="E66" s="50"/>
      <c r="F66" s="50"/>
      <c r="G66" s="50"/>
      <c r="H66" s="45"/>
    </row>
    <row r="67" spans="1:8" ht="13.5" thickBot="1">
      <c r="A67" s="3" t="s">
        <v>390</v>
      </c>
      <c r="B67" s="43"/>
      <c r="C67" s="44"/>
      <c r="D67" s="25">
        <f>SUM(D55:D65)</f>
        <v>786340</v>
      </c>
      <c r="E67" s="25">
        <f>SUM(E55:E65)</f>
        <v>66560</v>
      </c>
      <c r="F67" s="25">
        <f>SUM(F55:F65)</f>
        <v>774337</v>
      </c>
      <c r="G67" s="25">
        <f>SUM(G55:G65)</f>
        <v>272796</v>
      </c>
      <c r="H67" s="45"/>
    </row>
    <row r="68" spans="1:8" ht="13.5" thickTop="1">
      <c r="A68" s="3"/>
      <c r="B68" s="43"/>
      <c r="C68" s="44"/>
      <c r="D68" s="51"/>
      <c r="E68" s="51"/>
      <c r="F68" s="51"/>
      <c r="G68" s="51"/>
      <c r="H68" s="45"/>
    </row>
    <row r="69" spans="1:8" ht="12.75">
      <c r="A69" s="42" t="s">
        <v>30</v>
      </c>
      <c r="B69" s="43"/>
      <c r="C69" s="44"/>
      <c r="D69" s="44"/>
      <c r="E69" s="44"/>
      <c r="F69" s="44"/>
      <c r="G69" s="44"/>
      <c r="H69" s="45"/>
    </row>
    <row r="70" spans="1:8" ht="12.75">
      <c r="A70" s="42" t="s">
        <v>136</v>
      </c>
      <c r="B70" s="43"/>
      <c r="C70" s="44"/>
      <c r="D70" s="44"/>
      <c r="E70" s="44"/>
      <c r="F70" s="44"/>
      <c r="G70" s="44"/>
      <c r="H70" s="45"/>
    </row>
    <row r="71" spans="1:8" ht="12.75">
      <c r="A71" s="43" t="str">
        <f>A3</f>
        <v>Twelve Months Ended September 30, 2008</v>
      </c>
      <c r="B71" s="43"/>
      <c r="C71" s="44"/>
      <c r="D71" s="44"/>
      <c r="E71" s="44"/>
      <c r="F71" s="44"/>
      <c r="G71" s="44"/>
      <c r="H71" s="45"/>
    </row>
    <row r="72" spans="1:8" ht="12.75">
      <c r="A72" s="43"/>
      <c r="B72" s="43"/>
      <c r="C72" s="44"/>
      <c r="D72" s="44"/>
      <c r="E72" s="44"/>
      <c r="F72" s="44"/>
      <c r="G72" s="44"/>
      <c r="H72" s="45"/>
    </row>
    <row r="73" spans="1:8" ht="12.75">
      <c r="A73" s="43"/>
      <c r="B73" s="43"/>
      <c r="C73" s="44"/>
      <c r="D73" s="140" t="s">
        <v>167</v>
      </c>
      <c r="E73" s="140" t="str">
        <f>E51</f>
        <v>Net 2010</v>
      </c>
      <c r="F73" s="146" t="s">
        <v>0</v>
      </c>
      <c r="G73" s="146" t="s">
        <v>0</v>
      </c>
      <c r="H73" s="45"/>
    </row>
    <row r="74" spans="1:8" ht="12.75">
      <c r="A74" s="43"/>
      <c r="B74" s="43"/>
      <c r="C74" s="44"/>
      <c r="D74" s="152" t="str">
        <f>D52</f>
        <v>2008 to 2010</v>
      </c>
      <c r="E74" s="140" t="s">
        <v>345</v>
      </c>
      <c r="F74" s="146" t="s">
        <v>37</v>
      </c>
      <c r="G74" s="146" t="s">
        <v>479</v>
      </c>
      <c r="H74" s="45"/>
    </row>
    <row r="75" spans="1:8" ht="12.75">
      <c r="A75" s="48" t="s">
        <v>44</v>
      </c>
      <c r="B75" s="43"/>
      <c r="C75" s="44"/>
      <c r="D75" s="141" t="s">
        <v>346</v>
      </c>
      <c r="E75" s="147" t="s">
        <v>4</v>
      </c>
      <c r="F75" s="147" t="s">
        <v>45</v>
      </c>
      <c r="G75" s="147" t="s">
        <v>45</v>
      </c>
      <c r="H75" s="45"/>
    </row>
    <row r="76" spans="1:8" ht="12.75">
      <c r="A76" s="3"/>
      <c r="B76" s="43"/>
      <c r="C76" s="44"/>
      <c r="D76" s="44"/>
      <c r="E76" s="44"/>
      <c r="F76" s="44"/>
      <c r="G76" s="44"/>
      <c r="H76" s="45"/>
    </row>
    <row r="77" spans="1:8" ht="12.75">
      <c r="A77" s="21" t="s">
        <v>39</v>
      </c>
      <c r="B77" s="43"/>
      <c r="C77" s="44"/>
      <c r="D77" s="25">
        <f>GasIDAdj!N12</f>
        <v>11574</v>
      </c>
      <c r="E77" s="25">
        <f>GasIDAdj!R12</f>
        <v>1419</v>
      </c>
      <c r="F77" s="25">
        <f>GasIDAdj!S12</f>
        <v>16717</v>
      </c>
      <c r="G77" s="25">
        <f>GasIDAdj!T12</f>
        <v>9646</v>
      </c>
      <c r="H77" s="45"/>
    </row>
    <row r="78" spans="1:8" ht="12.75">
      <c r="A78" s="21"/>
      <c r="B78" s="43"/>
      <c r="C78" s="44"/>
      <c r="D78" s="25"/>
      <c r="E78" s="25"/>
      <c r="F78" s="25"/>
      <c r="G78" s="25"/>
      <c r="H78" s="45"/>
    </row>
    <row r="79" spans="1:8" ht="12.75">
      <c r="A79" s="22" t="s">
        <v>43</v>
      </c>
      <c r="B79" s="43"/>
      <c r="C79" s="44"/>
      <c r="D79" s="25">
        <f>GasIDAdj!N17</f>
        <v>187</v>
      </c>
      <c r="E79" s="25">
        <f>GasIDAdj!R17</f>
        <v>0</v>
      </c>
      <c r="F79" s="25">
        <f>GasIDAdj!S17</f>
        <v>251</v>
      </c>
      <c r="G79" s="25">
        <f>GasIDAdj!T17</f>
        <v>0</v>
      </c>
      <c r="H79" s="45"/>
    </row>
    <row r="80" spans="1:8" ht="12.75">
      <c r="A80" s="3"/>
      <c r="B80" s="43"/>
      <c r="C80" s="44"/>
      <c r="H80" s="45"/>
    </row>
    <row r="81" spans="1:8" ht="12.75">
      <c r="A81" s="3" t="s">
        <v>8</v>
      </c>
      <c r="B81" s="43"/>
      <c r="C81" s="44"/>
      <c r="D81" s="25">
        <f>GasIDAdj!N38</f>
        <v>138711</v>
      </c>
      <c r="E81" s="25">
        <f>GasIDAdj!R38</f>
        <v>0</v>
      </c>
      <c r="F81" s="25">
        <f>GasIDAdj!S38</f>
        <v>183322</v>
      </c>
      <c r="G81" s="25">
        <f>GasIDAdj!T38</f>
        <v>0</v>
      </c>
      <c r="H81" s="45"/>
    </row>
    <row r="82" spans="1:8" ht="12.75">
      <c r="A82" s="3"/>
      <c r="B82" s="43"/>
      <c r="C82" s="44"/>
      <c r="H82" s="45"/>
    </row>
    <row r="83" spans="1:8" ht="12.75">
      <c r="A83" s="3" t="s">
        <v>9</v>
      </c>
      <c r="B83" s="43"/>
      <c r="C83" s="44"/>
      <c r="D83" s="25">
        <f>GasIDAdj!N45</f>
        <v>51498</v>
      </c>
      <c r="E83" s="25">
        <f>GasIDAdj!R45</f>
        <v>0</v>
      </c>
      <c r="F83" s="25">
        <f>GasIDAdj!S45</f>
        <v>68964</v>
      </c>
      <c r="G83" s="25">
        <f>GasIDAdj!T45</f>
        <v>0</v>
      </c>
      <c r="H83" s="45"/>
    </row>
    <row r="84" spans="1:8" ht="12.75">
      <c r="A84" s="3" t="s">
        <v>11</v>
      </c>
      <c r="B84" s="43"/>
      <c r="C84" s="44"/>
      <c r="D84" s="25">
        <f>GasIDAdj!N51</f>
        <v>4350</v>
      </c>
      <c r="E84" s="25">
        <f>GasIDAdj!R51</f>
        <v>0</v>
      </c>
      <c r="F84" s="25">
        <f>GasIDAdj!S51</f>
        <v>5837</v>
      </c>
      <c r="G84" s="25">
        <f>GasIDAdj!T51</f>
        <v>0</v>
      </c>
      <c r="H84" s="45"/>
    </row>
    <row r="85" spans="1:8" ht="12.75">
      <c r="A85" s="3" t="s">
        <v>36</v>
      </c>
      <c r="B85" s="43"/>
      <c r="C85" s="44"/>
      <c r="D85" s="25">
        <f>GasIDAdj!N58</f>
        <v>4151</v>
      </c>
      <c r="E85" s="25">
        <f>GasIDAdj!R58</f>
        <v>0</v>
      </c>
      <c r="F85" s="25">
        <f>GasIDAdj!S58</f>
        <v>5569</v>
      </c>
      <c r="G85" s="25">
        <f>GasIDAdj!T58</f>
        <v>0</v>
      </c>
      <c r="H85" s="45"/>
    </row>
    <row r="86" spans="1:8" ht="12.75">
      <c r="A86" s="3"/>
      <c r="B86" s="43"/>
      <c r="C86" s="44"/>
      <c r="H86" s="45"/>
    </row>
    <row r="87" spans="1:8" ht="12.75">
      <c r="A87" s="3" t="s">
        <v>16</v>
      </c>
      <c r="B87" s="43"/>
      <c r="C87" s="44"/>
      <c r="D87" s="25">
        <f>GasIDAdj!N69</f>
        <v>67347</v>
      </c>
      <c r="E87" s="25">
        <f>GasIDAdj!R69</f>
        <v>30632</v>
      </c>
      <c r="F87" s="25">
        <f>GasIDAdj!S69</f>
        <v>105803</v>
      </c>
      <c r="G87" s="25">
        <f>GasIDAdj!T69</f>
        <v>126505</v>
      </c>
      <c r="H87" s="45"/>
    </row>
    <row r="88" spans="1:8" ht="12.75">
      <c r="A88" s="3"/>
      <c r="B88" s="43"/>
      <c r="C88" s="44"/>
      <c r="D88" s="50"/>
      <c r="E88" s="50"/>
      <c r="F88" s="50"/>
      <c r="G88" s="50"/>
      <c r="H88" s="45"/>
    </row>
    <row r="89" spans="1:8" ht="13.5" thickBot="1">
      <c r="A89" s="3" t="s">
        <v>391</v>
      </c>
      <c r="B89" s="43"/>
      <c r="C89" s="44"/>
      <c r="D89" s="25">
        <f>SUM(D77:D87)</f>
        <v>277818</v>
      </c>
      <c r="E89" s="25">
        <f>SUM(E77:E87)</f>
        <v>32051</v>
      </c>
      <c r="F89" s="25">
        <f>SUM(F77:F87)</f>
        <v>386463</v>
      </c>
      <c r="G89" s="25">
        <f>SUM(G77:G87)</f>
        <v>136151</v>
      </c>
      <c r="H89" s="45"/>
    </row>
    <row r="90" spans="1:8" ht="13.5" thickTop="1">
      <c r="A90" s="3"/>
      <c r="B90" s="43"/>
      <c r="C90" s="44"/>
      <c r="D90" s="51"/>
      <c r="E90" s="51"/>
      <c r="F90" s="51"/>
      <c r="G90" s="51"/>
      <c r="H90" s="45"/>
    </row>
    <row r="91" spans="1:8" ht="12.75">
      <c r="A91" s="42" t="s">
        <v>30</v>
      </c>
      <c r="B91" s="43"/>
      <c r="C91" s="44"/>
      <c r="D91" s="44"/>
      <c r="E91" s="44"/>
      <c r="F91" s="44"/>
      <c r="G91" s="44"/>
      <c r="H91" s="45"/>
    </row>
    <row r="92" spans="1:8" ht="12.75">
      <c r="A92" s="42" t="s">
        <v>136</v>
      </c>
      <c r="B92" s="43"/>
      <c r="C92" s="44"/>
      <c r="D92" s="44"/>
      <c r="E92" s="44"/>
      <c r="F92" s="44"/>
      <c r="G92" s="44"/>
      <c r="H92" s="45"/>
    </row>
    <row r="93" spans="1:8" ht="12.75">
      <c r="A93" s="43" t="str">
        <f>A25</f>
        <v>Twelve Months Ended September 30, 2008</v>
      </c>
      <c r="B93" s="43"/>
      <c r="C93" s="44"/>
      <c r="D93" s="44"/>
      <c r="E93" s="44"/>
      <c r="F93" s="44"/>
      <c r="G93" s="44"/>
      <c r="H93" s="45"/>
    </row>
    <row r="94" spans="1:7" ht="12.75">
      <c r="A94" s="43"/>
      <c r="B94" s="43"/>
      <c r="C94" s="44"/>
      <c r="D94" s="44"/>
      <c r="E94" s="44"/>
      <c r="F94" s="44"/>
      <c r="G94" s="44"/>
    </row>
    <row r="95" spans="1:7" ht="12.75">
      <c r="A95" s="43"/>
      <c r="B95" s="43"/>
      <c r="C95" s="44"/>
      <c r="D95" s="140" t="s">
        <v>167</v>
      </c>
      <c r="E95" s="140" t="str">
        <f>E73</f>
        <v>Net 2010</v>
      </c>
      <c r="F95" s="146" t="s">
        <v>0</v>
      </c>
      <c r="G95" s="146" t="s">
        <v>0</v>
      </c>
    </row>
    <row r="96" spans="1:7" ht="12.75">
      <c r="A96" s="43"/>
      <c r="B96" s="43"/>
      <c r="C96" s="44"/>
      <c r="D96" s="152" t="str">
        <f>D74</f>
        <v>2008 to 2010</v>
      </c>
      <c r="E96" s="140" t="s">
        <v>345</v>
      </c>
      <c r="F96" s="146" t="s">
        <v>37</v>
      </c>
      <c r="G96" s="146" t="s">
        <v>479</v>
      </c>
    </row>
    <row r="97" spans="1:7" ht="12.75">
      <c r="A97" s="48" t="s">
        <v>341</v>
      </c>
      <c r="B97" s="43"/>
      <c r="C97" s="44"/>
      <c r="D97" s="141" t="s">
        <v>346</v>
      </c>
      <c r="E97" s="147" t="s">
        <v>4</v>
      </c>
      <c r="F97" s="147" t="s">
        <v>45</v>
      </c>
      <c r="G97" s="147" t="s">
        <v>45</v>
      </c>
    </row>
    <row r="98" spans="1:7" ht="12.75">
      <c r="A98" s="3"/>
      <c r="B98" s="43"/>
      <c r="C98" s="44"/>
      <c r="D98" s="44"/>
      <c r="E98" s="44"/>
      <c r="F98" s="44"/>
      <c r="G98" s="44"/>
    </row>
    <row r="99" spans="1:7" ht="12.75">
      <c r="A99" s="21" t="s">
        <v>39</v>
      </c>
      <c r="B99" s="43"/>
      <c r="C99" s="44"/>
      <c r="D99" s="25">
        <f>GasORAdj!L12</f>
        <v>24660</v>
      </c>
      <c r="E99" s="25"/>
      <c r="F99" s="25">
        <f>GasORAdj!N12</f>
        <v>23681</v>
      </c>
      <c r="G99" s="25">
        <f>GasORAdj!O12</f>
        <v>7930</v>
      </c>
    </row>
    <row r="100" spans="1:7" ht="12.75">
      <c r="A100" s="21"/>
      <c r="B100" s="43"/>
      <c r="C100" s="44"/>
      <c r="D100" s="25"/>
      <c r="E100" s="25"/>
      <c r="F100" s="25"/>
      <c r="G100" s="25"/>
    </row>
    <row r="101" spans="1:7" ht="12.75">
      <c r="A101" s="22" t="s">
        <v>43</v>
      </c>
      <c r="B101" s="43"/>
      <c r="C101" s="44"/>
      <c r="D101" s="25">
        <f>GasORAdj!L17</f>
        <v>0</v>
      </c>
      <c r="E101" s="25"/>
      <c r="F101" s="25">
        <f>GasORAdj!N17</f>
        <v>0</v>
      </c>
      <c r="G101" s="25">
        <f>GasORAdj!O17</f>
        <v>0</v>
      </c>
    </row>
    <row r="102" spans="1:3" ht="12.75">
      <c r="A102" s="3"/>
      <c r="B102" s="43"/>
      <c r="C102" s="44"/>
    </row>
    <row r="103" spans="1:7" ht="12.75">
      <c r="A103" s="3" t="s">
        <v>8</v>
      </c>
      <c r="B103" s="43"/>
      <c r="C103" s="44"/>
      <c r="D103" s="203">
        <f>GasORAdj!L41</f>
        <v>251352</v>
      </c>
      <c r="E103" s="25"/>
      <c r="F103" s="25">
        <f>GasORAdj!N41</f>
        <v>232249</v>
      </c>
      <c r="G103" s="25">
        <f>GasORAdj!O41</f>
        <v>86138</v>
      </c>
    </row>
    <row r="104" spans="1:3" ht="12.75">
      <c r="A104" s="3"/>
      <c r="B104" s="43"/>
      <c r="C104" s="44"/>
    </row>
    <row r="105" spans="1:7" ht="12.75">
      <c r="A105" s="3" t="s">
        <v>9</v>
      </c>
      <c r="B105" s="43"/>
      <c r="C105" s="44"/>
      <c r="D105" s="25">
        <f>GasORAdj!L48</f>
        <v>108530</v>
      </c>
      <c r="E105" s="25"/>
      <c r="F105" s="25">
        <f>GasORAdj!N48</f>
        <v>103850</v>
      </c>
      <c r="G105" s="25">
        <f>GasORAdj!O48</f>
        <v>35117</v>
      </c>
    </row>
    <row r="106" spans="1:7" ht="12.75">
      <c r="A106" s="3" t="s">
        <v>11</v>
      </c>
      <c r="B106" s="43"/>
      <c r="C106" s="44"/>
      <c r="D106" s="203">
        <f>GasORAdj!L55</f>
        <v>3663</v>
      </c>
      <c r="E106" s="25"/>
      <c r="F106" s="25">
        <f>GasORAdj!N55</f>
        <v>3517</v>
      </c>
      <c r="G106" s="25">
        <f>GasORAdj!O55</f>
        <v>1178</v>
      </c>
    </row>
    <row r="107" spans="1:7" ht="12.75">
      <c r="A107" s="3" t="s">
        <v>36</v>
      </c>
      <c r="B107" s="43"/>
      <c r="C107" s="44"/>
      <c r="D107" s="25">
        <f>GasORAdj!L62</f>
        <v>1358</v>
      </c>
      <c r="E107" s="25"/>
      <c r="F107" s="25">
        <f>GasORAdj!N62</f>
        <v>2157</v>
      </c>
      <c r="G107" s="25">
        <f>GasORAdj!O62</f>
        <v>723</v>
      </c>
    </row>
    <row r="108" spans="1:3" ht="12.75">
      <c r="A108" s="3"/>
      <c r="B108" s="43"/>
      <c r="C108" s="44"/>
    </row>
    <row r="109" spans="1:7" ht="12.75">
      <c r="A109" s="3" t="s">
        <v>16</v>
      </c>
      <c r="B109" s="43"/>
      <c r="C109" s="44"/>
      <c r="D109" s="25">
        <f>GasORAdj!L75</f>
        <v>93809</v>
      </c>
      <c r="E109" s="25"/>
      <c r="F109" s="25">
        <f>GasORAdj!N75</f>
        <v>148597</v>
      </c>
      <c r="G109" s="25">
        <f>GasORAdj!O75</f>
        <v>50013</v>
      </c>
    </row>
    <row r="110" spans="1:7" ht="12.75">
      <c r="A110" s="3"/>
      <c r="B110" s="43"/>
      <c r="C110" s="44"/>
      <c r="D110" s="50"/>
      <c r="E110" s="50"/>
      <c r="F110" s="50"/>
      <c r="G110" s="50"/>
    </row>
    <row r="111" spans="1:7" ht="12.75">
      <c r="A111" s="3" t="s">
        <v>392</v>
      </c>
      <c r="B111" s="43"/>
      <c r="C111" s="44"/>
      <c r="D111" s="25">
        <f>SUM(D99:D109)</f>
        <v>483372</v>
      </c>
      <c r="E111" s="25">
        <f>SUM(E99:E109)</f>
        <v>0</v>
      </c>
      <c r="F111" s="25">
        <f>SUM(F99:F109)</f>
        <v>514051</v>
      </c>
      <c r="G111" s="25">
        <f>SUM(G99:G109)</f>
        <v>181099</v>
      </c>
    </row>
    <row r="113" spans="6:7" ht="12.75">
      <c r="F113" s="25">
        <f>F21+F43+F67+F89+F111</f>
        <v>6111278</v>
      </c>
      <c r="G113" s="25">
        <f>G21+G43+G67+G89+G111</f>
        <v>2152984</v>
      </c>
    </row>
    <row r="114" spans="6:7" ht="12.75">
      <c r="F114" s="182">
        <f>Pension!G33</f>
        <v>6111280</v>
      </c>
      <c r="G114" s="182">
        <f>Pension!H33</f>
        <v>2152983</v>
      </c>
    </row>
  </sheetData>
  <mergeCells count="1">
    <mergeCell ref="F4:G4"/>
  </mergeCells>
  <printOptions/>
  <pageMargins left="0.61" right="0.75" top="1" bottom="1" header="0.5" footer="0.5"/>
  <pageSetup fitToHeight="2" horizontalDpi="600" verticalDpi="600" orientation="portrait" scale="73" r:id="rId1"/>
  <headerFooter alignWithMargins="0">
    <oddFooter>&amp;C&amp;F&amp;Rtm &amp;D&amp;T</oddFooter>
  </headerFooter>
  <rowBreaks count="4" manualBreakCount="4">
    <brk id="22" max="255" man="1"/>
    <brk id="46" max="255" man="1"/>
    <brk id="68" max="255" man="1"/>
    <brk id="11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1"/>
  <sheetViews>
    <sheetView workbookViewId="0" topLeftCell="A67">
      <selection activeCell="G78" sqref="G78"/>
    </sheetView>
  </sheetViews>
  <sheetFormatPr defaultColWidth="9.33203125" defaultRowHeight="12.75"/>
  <cols>
    <col min="1" max="1" width="24.16015625" style="21" customWidth="1"/>
    <col min="2" max="3" width="13.33203125" style="21" customWidth="1"/>
    <col min="4" max="4" width="12.66015625" style="21" customWidth="1"/>
    <col min="5" max="5" width="1.83203125" style="18" customWidth="1"/>
    <col min="6" max="6" width="13.33203125" style="3" customWidth="1"/>
    <col min="7" max="7" width="13.66015625" style="3" customWidth="1"/>
    <col min="8" max="8" width="1.83203125" style="18" customWidth="1"/>
    <col min="9" max="9" width="13.33203125" style="21" customWidth="1"/>
    <col min="10" max="10" width="21.16015625" style="21" customWidth="1"/>
    <col min="11" max="11" width="6.33203125" style="21" customWidth="1"/>
    <col min="12" max="16384" width="13.33203125" style="21" customWidth="1"/>
  </cols>
  <sheetData>
    <row r="1" ht="12.75">
      <c r="A1" s="20" t="str">
        <f>'ElLabor$'!A1</f>
        <v>AVISTA UTILITIES</v>
      </c>
    </row>
    <row r="2" ht="12.75">
      <c r="A2" s="22" t="s">
        <v>351</v>
      </c>
    </row>
    <row r="3" ht="12.75">
      <c r="A3" s="22" t="s">
        <v>31</v>
      </c>
    </row>
    <row r="4" ht="12.75">
      <c r="A4" s="22" t="str">
        <f>'ElLabor$'!A4</f>
        <v>Twelve Months Ended September 30, 2008</v>
      </c>
    </row>
    <row r="7" spans="1:15" ht="12.75">
      <c r="A7" s="23"/>
      <c r="B7" s="23"/>
      <c r="C7" s="23" t="s">
        <v>352</v>
      </c>
      <c r="D7" s="23" t="s">
        <v>17</v>
      </c>
      <c r="E7" s="19"/>
      <c r="F7" s="16" t="s">
        <v>353</v>
      </c>
      <c r="G7" s="16" t="s">
        <v>1</v>
      </c>
      <c r="H7" s="19"/>
      <c r="I7" s="23"/>
      <c r="J7" s="23"/>
      <c r="K7" s="23"/>
      <c r="L7" s="23"/>
      <c r="M7" s="23"/>
      <c r="N7" s="23"/>
      <c r="O7" s="23"/>
    </row>
    <row r="8" spans="1:14" ht="12.75">
      <c r="A8" s="23"/>
      <c r="B8" s="67" t="s">
        <v>0</v>
      </c>
      <c r="C8" s="67" t="s">
        <v>351</v>
      </c>
      <c r="D8" s="67" t="s">
        <v>351</v>
      </c>
      <c r="E8" s="19"/>
      <c r="F8" s="17" t="s">
        <v>20</v>
      </c>
      <c r="G8" s="17" t="s">
        <v>340</v>
      </c>
      <c r="H8" s="19"/>
      <c r="I8" s="23"/>
      <c r="J8" s="225"/>
      <c r="K8" s="226"/>
      <c r="L8" s="226"/>
      <c r="M8" s="226"/>
      <c r="N8" s="226"/>
    </row>
    <row r="9" spans="1:14" ht="12.75">
      <c r="A9" s="21" t="s">
        <v>48</v>
      </c>
      <c r="J9" s="227"/>
      <c r="K9" s="227"/>
      <c r="L9" s="228"/>
      <c r="M9" s="228"/>
      <c r="N9" s="229"/>
    </row>
    <row r="10" spans="1:14" ht="12.75">
      <c r="A10" s="22">
        <v>807</v>
      </c>
      <c r="B10" s="69">
        <f>SUMIF('OR Gas Labor'!A:A,A10,'OR Gas Labor'!D:D)</f>
        <v>0</v>
      </c>
      <c r="C10" s="69">
        <f>SUMIF('OR Gas Labor'!A:A,A10,'OR Gas Labor'!B:B)</f>
        <v>0</v>
      </c>
      <c r="D10" s="69">
        <f>SUMIF('OR Gas Labor'!A:A,A10,'OR Gas Labor'!C:C)</f>
        <v>0</v>
      </c>
      <c r="F10" s="7">
        <f>ROUND(B10/(B$78-B$71)*B$71,2)</f>
        <v>0</v>
      </c>
      <c r="G10" s="7">
        <f>B10+F10</f>
        <v>0</v>
      </c>
      <c r="H10" s="8"/>
      <c r="J10" s="227"/>
      <c r="K10" s="227"/>
      <c r="L10" s="228"/>
      <c r="M10" s="228"/>
      <c r="N10" s="229"/>
    </row>
    <row r="11" spans="1:14" ht="12.75">
      <c r="A11" s="157" t="s">
        <v>281</v>
      </c>
      <c r="B11" s="69">
        <f>SUMIF('OR Gas Labor'!A:A,A11,'OR Gas Labor'!D:D)</f>
        <v>0</v>
      </c>
      <c r="C11" s="69">
        <f>SUMIF('OR Gas Labor'!A:A,A11,'OR Gas Labor'!B:B)</f>
        <v>0</v>
      </c>
      <c r="D11" s="69">
        <f>SUMIF('OR Gas Labor'!A:A,A11,'OR Gas Labor'!C:C)</f>
        <v>0</v>
      </c>
      <c r="F11" s="7">
        <f>ROUND(B11/(B$78-B$71)*B$71,2)</f>
        <v>0</v>
      </c>
      <c r="G11" s="7">
        <f>B11+F11</f>
        <v>0</v>
      </c>
      <c r="H11" s="8"/>
      <c r="J11" s="227"/>
      <c r="K11" s="227"/>
      <c r="L11" s="228"/>
      <c r="M11" s="228"/>
      <c r="N11" s="229"/>
    </row>
    <row r="12" spans="1:14" ht="12.75">
      <c r="A12" s="22">
        <v>813</v>
      </c>
      <c r="B12" s="69">
        <f>SUMIF('OR Gas Labor'!A:A,A12,'OR Gas Labor'!D:D)</f>
        <v>262428.34</v>
      </c>
      <c r="C12" s="69">
        <f>SUMIF('OR Gas Labor'!A:A,A12,'OR Gas Labor'!B:B)</f>
        <v>262428.34</v>
      </c>
      <c r="D12" s="69">
        <f>SUMIF('OR Gas Labor'!A:A,A12,'OR Gas Labor'!C:C)</f>
        <v>0</v>
      </c>
      <c r="F12" s="7">
        <f>ROUND(B12/(B$78-B$71)*B$71,2)</f>
        <v>438.88</v>
      </c>
      <c r="G12" s="7">
        <f>B12+F12</f>
        <v>262867.22</v>
      </c>
      <c r="H12" s="8"/>
      <c r="J12" s="227"/>
      <c r="K12" s="227"/>
      <c r="L12" s="228"/>
      <c r="M12" s="228"/>
      <c r="N12" s="229"/>
    </row>
    <row r="13" spans="1:14" ht="12.75">
      <c r="A13" s="21" t="s">
        <v>39</v>
      </c>
      <c r="B13" s="70">
        <f>SUM(B9:B12)</f>
        <v>262428.34</v>
      </c>
      <c r="C13" s="187">
        <f>SUM(C9:C12)</f>
        <v>262428.34</v>
      </c>
      <c r="D13" s="252">
        <f>SUM(D10:D12)</f>
        <v>0</v>
      </c>
      <c r="E13" s="8"/>
      <c r="F13" s="70">
        <f>SUM(F9:F12)</f>
        <v>438.88</v>
      </c>
      <c r="G13" s="70">
        <f>SUM(G9:G12)</f>
        <v>262867.22</v>
      </c>
      <c r="H13" s="8"/>
      <c r="J13" s="227"/>
      <c r="K13" s="227"/>
      <c r="L13" s="228"/>
      <c r="M13" s="228"/>
      <c r="N13" s="229"/>
    </row>
    <row r="14" spans="2:14" ht="12.75">
      <c r="B14" s="69"/>
      <c r="C14" s="69"/>
      <c r="D14" s="69"/>
      <c r="E14" s="8"/>
      <c r="F14" s="69"/>
      <c r="G14" s="69"/>
      <c r="H14" s="8"/>
      <c r="J14" s="227"/>
      <c r="K14" s="227"/>
      <c r="L14" s="228"/>
      <c r="M14" s="228"/>
      <c r="N14" s="229"/>
    </row>
    <row r="15" spans="1:14" ht="12.75">
      <c r="A15" s="21" t="s">
        <v>130</v>
      </c>
      <c r="B15" s="69"/>
      <c r="C15" s="69"/>
      <c r="D15" s="69"/>
      <c r="E15" s="8"/>
      <c r="F15" s="69"/>
      <c r="G15" s="69"/>
      <c r="H15" s="8"/>
      <c r="J15" s="227"/>
      <c r="K15" s="227"/>
      <c r="L15" s="229"/>
      <c r="M15" s="229"/>
      <c r="N15" s="229"/>
    </row>
    <row r="16" spans="1:14" ht="12.75">
      <c r="A16" s="22">
        <v>814</v>
      </c>
      <c r="B16" s="69">
        <f>SUMIF('OR Gas Labor'!A:A,A16,'OR Gas Labor'!D:D)</f>
        <v>0</v>
      </c>
      <c r="C16" s="69">
        <f>SUMIF('OR Gas Labor'!A:A,A16,'OR Gas Labor'!B:B)</f>
        <v>0</v>
      </c>
      <c r="D16" s="69">
        <f>SUMIF('OR Gas Labor'!A:A,A16,'OR Gas Labor'!C:C)</f>
        <v>0</v>
      </c>
      <c r="E16" s="8"/>
      <c r="F16" s="7">
        <f>ROUND(B16/(B$78-B$71)*B$71,2)</f>
        <v>0</v>
      </c>
      <c r="G16" s="7">
        <f>B16+F16</f>
        <v>0</v>
      </c>
      <c r="H16" s="8"/>
      <c r="J16" s="230"/>
      <c r="K16" s="227"/>
      <c r="L16" s="229"/>
      <c r="M16" s="229"/>
      <c r="N16" s="229"/>
    </row>
    <row r="17" spans="1:14" ht="12.75">
      <c r="A17" s="22">
        <v>820</v>
      </c>
      <c r="B17" s="69">
        <f>SUMIF('OR Gas Labor'!A:A,A17,'OR Gas Labor'!D:D)</f>
        <v>0</v>
      </c>
      <c r="C17" s="69">
        <f>SUMIF('OR Gas Labor'!A:A,A17,'OR Gas Labor'!B:B)</f>
        <v>0</v>
      </c>
      <c r="D17" s="69">
        <f>SUMIF('OR Gas Labor'!A:A,A17,'OR Gas Labor'!C:C)</f>
        <v>0</v>
      </c>
      <c r="E17" s="8"/>
      <c r="F17" s="7">
        <f>ROUND(B17/(B$78-B$71)*B$71,2)</f>
        <v>0</v>
      </c>
      <c r="G17" s="7">
        <f>B17+F17</f>
        <v>0</v>
      </c>
      <c r="H17" s="8"/>
      <c r="J17" s="227"/>
      <c r="K17" s="227"/>
      <c r="L17" s="229"/>
      <c r="M17" s="229"/>
      <c r="N17" s="229"/>
    </row>
    <row r="18" spans="1:14" ht="12.75">
      <c r="A18" s="223" t="s">
        <v>43</v>
      </c>
      <c r="B18" s="70">
        <f>SUM(B15:B17)</f>
        <v>0</v>
      </c>
      <c r="C18" s="187">
        <f>SUM(C15:C17)</f>
        <v>0</v>
      </c>
      <c r="D18" s="70">
        <f>SUM(D15:D17)</f>
        <v>0</v>
      </c>
      <c r="E18" s="8"/>
      <c r="F18" s="70">
        <f>SUM(F15:F17)</f>
        <v>0</v>
      </c>
      <c r="G18" s="70">
        <f>SUM(G15:G17)</f>
        <v>0</v>
      </c>
      <c r="H18" s="8"/>
      <c r="L18" s="68"/>
      <c r="M18" s="68"/>
      <c r="N18" s="68"/>
    </row>
    <row r="19" spans="2:8" ht="12.75">
      <c r="B19" s="69"/>
      <c r="C19" s="69"/>
      <c r="D19" s="69"/>
      <c r="E19" s="8"/>
      <c r="F19" s="69"/>
      <c r="G19" s="69"/>
      <c r="H19" s="8"/>
    </row>
    <row r="20" spans="1:8" ht="12.75">
      <c r="A20" s="21" t="s">
        <v>7</v>
      </c>
      <c r="B20" s="69"/>
      <c r="C20" s="69"/>
      <c r="D20" s="69"/>
      <c r="E20" s="8"/>
      <c r="F20" s="69"/>
      <c r="G20" s="69"/>
      <c r="H20" s="8"/>
    </row>
    <row r="21" spans="1:8" ht="12.75">
      <c r="A21" s="22">
        <v>870</v>
      </c>
      <c r="B21" s="69">
        <f>SUMIF('OR Gas Labor'!A:A,A21,'OR Gas Labor'!D:D)</f>
        <v>225715.75</v>
      </c>
      <c r="C21" s="69">
        <f>SUMIF('OR Gas Labor'!A:A,A21,'OR Gas Labor'!B:B)</f>
        <v>114742.79</v>
      </c>
      <c r="D21" s="69">
        <f>SUMIF('OR Gas Labor'!A:A,A21,'OR Gas Labor'!C:C)</f>
        <v>110972.96</v>
      </c>
      <c r="E21" s="8"/>
      <c r="F21" s="7">
        <f>ROUND(B21/(B$78-B$71)*B$71,2)</f>
        <v>377.48</v>
      </c>
      <c r="G21" s="7">
        <f>B21+F21</f>
        <v>226093.23</v>
      </c>
      <c r="H21" s="8"/>
    </row>
    <row r="22" spans="1:8" ht="12.75">
      <c r="A22" s="22">
        <v>871</v>
      </c>
      <c r="B22" s="69">
        <f>SUMIF('OR Gas Labor'!A:A,A22,'OR Gas Labor'!D:D)</f>
        <v>0</v>
      </c>
      <c r="C22" s="69">
        <f>SUMIF('OR Gas Labor'!A:A,A22,'OR Gas Labor'!B:B)</f>
        <v>0</v>
      </c>
      <c r="D22" s="69">
        <f>SUMIF('OR Gas Labor'!A:A,A22,'OR Gas Labor'!C:C)</f>
        <v>0</v>
      </c>
      <c r="E22" s="8"/>
      <c r="F22" s="7">
        <f aca="true" t="shared" si="0" ref="F22:F41">ROUND(B22/(B$78-B$71)*B$71,2)</f>
        <v>0</v>
      </c>
      <c r="G22" s="7">
        <f aca="true" t="shared" si="1" ref="G22:G41">B22+F22</f>
        <v>0</v>
      </c>
      <c r="H22" s="8"/>
    </row>
    <row r="23" spans="1:8" ht="12.75">
      <c r="A23" s="22">
        <v>872</v>
      </c>
      <c r="B23" s="69">
        <f>SUMIF('OR Gas Labor'!A:A,A23,'OR Gas Labor'!D:D)</f>
        <v>0</v>
      </c>
      <c r="C23" s="69">
        <f>SUMIF('OR Gas Labor'!A:A,A23,'OR Gas Labor'!B:B)</f>
        <v>0</v>
      </c>
      <c r="D23" s="69">
        <f>SUMIF('OR Gas Labor'!A:A,A23,'OR Gas Labor'!C:C)</f>
        <v>0</v>
      </c>
      <c r="E23" s="8"/>
      <c r="F23" s="7">
        <f t="shared" si="0"/>
        <v>0</v>
      </c>
      <c r="G23" s="7">
        <f t="shared" si="1"/>
        <v>0</v>
      </c>
      <c r="H23" s="8"/>
    </row>
    <row r="24" spans="1:8" ht="12.75">
      <c r="A24" s="22">
        <v>874</v>
      </c>
      <c r="B24" s="69">
        <f>SUMIF('OR Gas Labor'!A:A,A24,'OR Gas Labor'!D:D)</f>
        <v>321110.69</v>
      </c>
      <c r="C24" s="69">
        <f>SUMIF('OR Gas Labor'!A:A,A24,'OR Gas Labor'!B:B)</f>
        <v>3579.8</v>
      </c>
      <c r="D24" s="69">
        <f>SUMIF('OR Gas Labor'!A:A,A24,'OR Gas Labor'!C:C)</f>
        <v>317530.89</v>
      </c>
      <c r="E24" s="8"/>
      <c r="F24" s="7">
        <f t="shared" si="0"/>
        <v>537.01</v>
      </c>
      <c r="G24" s="7">
        <f t="shared" si="1"/>
        <v>321647.7</v>
      </c>
      <c r="H24" s="8"/>
    </row>
    <row r="25" spans="1:8" ht="12.75">
      <c r="A25" s="22">
        <v>875</v>
      </c>
      <c r="B25" s="69">
        <f>SUMIF('OR Gas Labor'!A:A,A25,'OR Gas Labor'!D:D)</f>
        <v>124543.6</v>
      </c>
      <c r="C25" s="69">
        <f>SUMIF('OR Gas Labor'!A:A,A25,'OR Gas Labor'!B:B)</f>
        <v>0</v>
      </c>
      <c r="D25" s="69">
        <f>SUMIF('OR Gas Labor'!A:A,A25,'OR Gas Labor'!C:C)</f>
        <v>124543.6</v>
      </c>
      <c r="E25" s="8"/>
      <c r="F25" s="7">
        <f t="shared" si="0"/>
        <v>208.28</v>
      </c>
      <c r="G25" s="7">
        <f t="shared" si="1"/>
        <v>124751.88</v>
      </c>
      <c r="H25" s="8"/>
    </row>
    <row r="26" spans="1:8" ht="12.75">
      <c r="A26" s="22">
        <v>876</v>
      </c>
      <c r="B26" s="69">
        <f>SUMIF('OR Gas Labor'!A:A,A26,'OR Gas Labor'!D:D)</f>
        <v>12444.38</v>
      </c>
      <c r="C26" s="69">
        <f>SUMIF('OR Gas Labor'!A:A,A26,'OR Gas Labor'!B:B)</f>
        <v>0</v>
      </c>
      <c r="D26" s="69">
        <f>SUMIF('OR Gas Labor'!A:A,A26,'OR Gas Labor'!C:C)</f>
        <v>12444.38</v>
      </c>
      <c r="E26" s="8"/>
      <c r="F26" s="7">
        <f t="shared" si="0"/>
        <v>20.81</v>
      </c>
      <c r="G26" s="7">
        <f t="shared" si="1"/>
        <v>12465.19</v>
      </c>
      <c r="H26" s="8"/>
    </row>
    <row r="27" spans="1:8" ht="12.75">
      <c r="A27" s="22">
        <v>877</v>
      </c>
      <c r="B27" s="69">
        <f>SUMIF('OR Gas Labor'!A:A,A27,'OR Gas Labor'!D:D)</f>
        <v>275.57</v>
      </c>
      <c r="C27" s="69">
        <f>SUMIF('OR Gas Labor'!A:A,A27,'OR Gas Labor'!B:B)</f>
        <v>0</v>
      </c>
      <c r="D27" s="69">
        <f>SUMIF('OR Gas Labor'!A:A,A27,'OR Gas Labor'!C:C)</f>
        <v>275.57</v>
      </c>
      <c r="E27" s="8"/>
      <c r="F27" s="7">
        <f t="shared" si="0"/>
        <v>0.46</v>
      </c>
      <c r="G27" s="7">
        <f t="shared" si="1"/>
        <v>276.03</v>
      </c>
      <c r="H27" s="8"/>
    </row>
    <row r="28" spans="1:8" ht="12.75">
      <c r="A28" s="22">
        <v>878</v>
      </c>
      <c r="B28" s="69">
        <f>SUMIF('OR Gas Labor'!A:A,A28,'OR Gas Labor'!D:D)</f>
        <v>371641.51</v>
      </c>
      <c r="C28" s="69">
        <f>SUMIF('OR Gas Labor'!A:A,A28,'OR Gas Labor'!B:B)</f>
        <v>0</v>
      </c>
      <c r="D28" s="69">
        <f>SUMIF('OR Gas Labor'!A:A,A28,'OR Gas Labor'!C:C)</f>
        <v>371641.51</v>
      </c>
      <c r="E28" s="8"/>
      <c r="F28" s="7">
        <f t="shared" si="0"/>
        <v>621.52</v>
      </c>
      <c r="G28" s="7">
        <f t="shared" si="1"/>
        <v>372263.03</v>
      </c>
      <c r="H28" s="8"/>
    </row>
    <row r="29" spans="1:8" ht="12.75">
      <c r="A29" s="22">
        <v>879</v>
      </c>
      <c r="B29" s="69">
        <f>SUMIF('OR Gas Labor'!A:A,A29,'OR Gas Labor'!D:D)</f>
        <v>535441.46</v>
      </c>
      <c r="C29" s="69">
        <f>SUMIF('OR Gas Labor'!A:A,A29,'OR Gas Labor'!B:B)</f>
        <v>0</v>
      </c>
      <c r="D29" s="69">
        <f>SUMIF('OR Gas Labor'!A:A,A29,'OR Gas Labor'!C:C)</f>
        <v>535441.46</v>
      </c>
      <c r="E29" s="8"/>
      <c r="F29" s="7">
        <f t="shared" si="0"/>
        <v>895.45</v>
      </c>
      <c r="G29" s="7">
        <f t="shared" si="1"/>
        <v>536336.91</v>
      </c>
      <c r="H29" s="8"/>
    </row>
    <row r="30" spans="1:8" ht="12.75">
      <c r="A30" s="22">
        <v>880</v>
      </c>
      <c r="B30" s="69">
        <f>SUMIF('OR Gas Labor'!A:A,A30,'OR Gas Labor'!D:D)</f>
        <v>305019.39</v>
      </c>
      <c r="C30" s="69">
        <f>SUMIF('OR Gas Labor'!A:A,A30,'OR Gas Labor'!B:B)</f>
        <v>33782.42</v>
      </c>
      <c r="D30" s="69">
        <f>SUMIF('OR Gas Labor'!A:A,A30,'OR Gas Labor'!C:C)</f>
        <v>271236.97</v>
      </c>
      <c r="E30" s="8"/>
      <c r="F30" s="7">
        <f t="shared" si="0"/>
        <v>510.1</v>
      </c>
      <c r="G30" s="7">
        <f t="shared" si="1"/>
        <v>305529.49</v>
      </c>
      <c r="H30" s="8"/>
    </row>
    <row r="31" spans="1:8" ht="12.75">
      <c r="A31" s="22">
        <v>881</v>
      </c>
      <c r="B31" s="69">
        <f>SUMIF('OR Gas Labor'!A:A,A31,'OR Gas Labor'!D:D)</f>
        <v>0</v>
      </c>
      <c r="C31" s="69">
        <f>SUMIF('OR Gas Labor'!A:A,A31,'OR Gas Labor'!B:B)</f>
        <v>0</v>
      </c>
      <c r="D31" s="69">
        <f>SUMIF('OR Gas Labor'!A:A,A31,'OR Gas Labor'!C:C)</f>
        <v>0</v>
      </c>
      <c r="E31" s="8"/>
      <c r="F31" s="7">
        <f t="shared" si="0"/>
        <v>0</v>
      </c>
      <c r="G31" s="7">
        <f t="shared" si="1"/>
        <v>0</v>
      </c>
      <c r="H31" s="8"/>
    </row>
    <row r="32" spans="1:8" ht="12.75">
      <c r="A32" s="22">
        <v>885</v>
      </c>
      <c r="B32" s="69">
        <f>SUMIF('OR Gas Labor'!A:A,A32,'OR Gas Labor'!D:D)</f>
        <v>54453.68</v>
      </c>
      <c r="C32" s="69">
        <f>SUMIF('OR Gas Labor'!A:A,A32,'OR Gas Labor'!B:B)</f>
        <v>0</v>
      </c>
      <c r="D32" s="69">
        <f>SUMIF('OR Gas Labor'!A:A,A32,'OR Gas Labor'!C:C)</f>
        <v>54453.68</v>
      </c>
      <c r="E32" s="8"/>
      <c r="F32" s="7">
        <f t="shared" si="0"/>
        <v>91.07</v>
      </c>
      <c r="G32" s="7">
        <f t="shared" si="1"/>
        <v>54544.75</v>
      </c>
      <c r="H32" s="8"/>
    </row>
    <row r="33" spans="1:8" ht="12.75">
      <c r="A33" s="22">
        <v>886</v>
      </c>
      <c r="B33" s="69">
        <f>SUMIF('OR Gas Labor'!A:A,A33,'OR Gas Labor'!D:D)</f>
        <v>0</v>
      </c>
      <c r="C33" s="69">
        <f>SUMIF('OR Gas Labor'!A:A,A33,'OR Gas Labor'!B:B)</f>
        <v>0</v>
      </c>
      <c r="D33" s="69">
        <f>SUMIF('OR Gas Labor'!A:A,A33,'OR Gas Labor'!C:C)</f>
        <v>0</v>
      </c>
      <c r="E33" s="8"/>
      <c r="F33" s="7">
        <f t="shared" si="0"/>
        <v>0</v>
      </c>
      <c r="G33" s="7">
        <f t="shared" si="1"/>
        <v>0</v>
      </c>
      <c r="H33" s="8"/>
    </row>
    <row r="34" spans="1:8" ht="12.75">
      <c r="A34" s="22">
        <v>887</v>
      </c>
      <c r="B34" s="69">
        <f>SUMIF('OR Gas Labor'!A:A,A34,'OR Gas Labor'!D:D)</f>
        <v>340503.53</v>
      </c>
      <c r="C34" s="69">
        <f>SUMIF('OR Gas Labor'!A:A,A34,'OR Gas Labor'!B:B)</f>
        <v>0</v>
      </c>
      <c r="D34" s="69">
        <f>SUMIF('OR Gas Labor'!A:A,A34,'OR Gas Labor'!C:C)</f>
        <v>340503.53</v>
      </c>
      <c r="E34" s="8"/>
      <c r="F34" s="7">
        <f t="shared" si="0"/>
        <v>569.45</v>
      </c>
      <c r="G34" s="7">
        <f t="shared" si="1"/>
        <v>341072.98</v>
      </c>
      <c r="H34" s="8"/>
    </row>
    <row r="35" spans="1:8" ht="12.75">
      <c r="A35" s="22">
        <v>888</v>
      </c>
      <c r="B35" s="69">
        <f>SUMIF('OR Gas Labor'!A:A,A35,'OR Gas Labor'!D:D)</f>
        <v>0</v>
      </c>
      <c r="C35" s="69">
        <f>SUMIF('OR Gas Labor'!A:A,A35,'OR Gas Labor'!B:B)</f>
        <v>0</v>
      </c>
      <c r="D35" s="69">
        <f>SUMIF('OR Gas Labor'!A:A,A35,'OR Gas Labor'!C:C)</f>
        <v>0</v>
      </c>
      <c r="E35" s="8"/>
      <c r="F35" s="7">
        <f t="shared" si="0"/>
        <v>0</v>
      </c>
      <c r="G35" s="7">
        <f t="shared" si="1"/>
        <v>0</v>
      </c>
      <c r="H35" s="8"/>
    </row>
    <row r="36" spans="1:8" ht="12.75">
      <c r="A36" s="22">
        <v>889</v>
      </c>
      <c r="B36" s="69">
        <f>SUMIF('OR Gas Labor'!A:A,A36,'OR Gas Labor'!D:D)</f>
        <v>13285.36</v>
      </c>
      <c r="C36" s="69">
        <f>SUMIF('OR Gas Labor'!A:A,A36,'OR Gas Labor'!B:B)</f>
        <v>0</v>
      </c>
      <c r="D36" s="69">
        <f>SUMIF('OR Gas Labor'!A:A,A36,'OR Gas Labor'!C:C)</f>
        <v>13285.36</v>
      </c>
      <c r="E36" s="8"/>
      <c r="F36" s="7">
        <f t="shared" si="0"/>
        <v>22.22</v>
      </c>
      <c r="G36" s="7">
        <f t="shared" si="1"/>
        <v>13307.58</v>
      </c>
      <c r="H36" s="8"/>
    </row>
    <row r="37" spans="1:8" ht="12.75">
      <c r="A37" s="22">
        <v>890</v>
      </c>
      <c r="B37" s="69">
        <f>SUMIF('OR Gas Labor'!A:A,A37,'OR Gas Labor'!D:D)</f>
        <v>7102.33</v>
      </c>
      <c r="C37" s="69">
        <f>SUMIF('OR Gas Labor'!A:A,A37,'OR Gas Labor'!B:B)</f>
        <v>0</v>
      </c>
      <c r="D37" s="69">
        <f>SUMIF('OR Gas Labor'!A:A,A37,'OR Gas Labor'!C:C)</f>
        <v>7102.33</v>
      </c>
      <c r="E37" s="8"/>
      <c r="F37" s="7">
        <f t="shared" si="0"/>
        <v>11.88</v>
      </c>
      <c r="G37" s="7">
        <f t="shared" si="1"/>
        <v>7114.21</v>
      </c>
      <c r="H37" s="8"/>
    </row>
    <row r="38" spans="1:8" ht="12.75">
      <c r="A38" s="22">
        <v>891</v>
      </c>
      <c r="B38" s="69">
        <f>SUMIF('OR Gas Labor'!A:A,A38,'OR Gas Labor'!D:D)</f>
        <v>1141.91</v>
      </c>
      <c r="C38" s="69">
        <f>SUMIF('OR Gas Labor'!A:A,A38,'OR Gas Labor'!B:B)</f>
        <v>0</v>
      </c>
      <c r="D38" s="69">
        <f>SUMIF('OR Gas Labor'!A:A,A38,'OR Gas Labor'!C:C)</f>
        <v>1141.91</v>
      </c>
      <c r="E38" s="8"/>
      <c r="F38" s="7">
        <f t="shared" si="0"/>
        <v>1.91</v>
      </c>
      <c r="G38" s="7">
        <f t="shared" si="1"/>
        <v>1143.82</v>
      </c>
      <c r="H38" s="8"/>
    </row>
    <row r="39" spans="1:8" ht="12.75">
      <c r="A39" s="22">
        <v>892</v>
      </c>
      <c r="B39" s="69">
        <f>SUMIF('OR Gas Labor'!A:A,A39,'OR Gas Labor'!D:D)</f>
        <v>124211.53</v>
      </c>
      <c r="C39" s="69">
        <f>SUMIF('OR Gas Labor'!A:A,A39,'OR Gas Labor'!B:B)</f>
        <v>0</v>
      </c>
      <c r="D39" s="69">
        <f>SUMIF('OR Gas Labor'!A:A,A39,'OR Gas Labor'!C:C)</f>
        <v>124211.53</v>
      </c>
      <c r="E39" s="8"/>
      <c r="F39" s="7">
        <f t="shared" si="0"/>
        <v>207.73</v>
      </c>
      <c r="G39" s="7">
        <f t="shared" si="1"/>
        <v>124419.26</v>
      </c>
      <c r="H39" s="8"/>
    </row>
    <row r="40" spans="1:8" ht="12.75">
      <c r="A40" s="22">
        <v>893</v>
      </c>
      <c r="B40" s="69">
        <f>SUMIF('OR Gas Labor'!A:A,A40,'OR Gas Labor'!D:D)</f>
        <v>92835.63</v>
      </c>
      <c r="C40" s="69">
        <f>SUMIF('OR Gas Labor'!A:A,A40,'OR Gas Labor'!B:B)</f>
        <v>0</v>
      </c>
      <c r="D40" s="69">
        <f>SUMIF('OR Gas Labor'!A:A,A40,'OR Gas Labor'!C:C)</f>
        <v>92835.63</v>
      </c>
      <c r="E40" s="8"/>
      <c r="F40" s="7">
        <f t="shared" si="0"/>
        <v>155.26</v>
      </c>
      <c r="G40" s="7">
        <f t="shared" si="1"/>
        <v>92990.89</v>
      </c>
      <c r="H40" s="8"/>
    </row>
    <row r="41" spans="1:8" ht="12.75">
      <c r="A41" s="22">
        <v>894</v>
      </c>
      <c r="B41" s="69">
        <f>SUMIF('OR Gas Labor'!A:A,A41,'OR Gas Labor'!D:D)</f>
        <v>44048.83</v>
      </c>
      <c r="C41" s="69">
        <f>SUMIF('OR Gas Labor'!A:A,A41,'OR Gas Labor'!B:B)</f>
        <v>4577.26</v>
      </c>
      <c r="D41" s="69">
        <f>SUMIF('OR Gas Labor'!A:A,A41,'OR Gas Labor'!C:C)</f>
        <v>39471.57</v>
      </c>
      <c r="E41" s="8"/>
      <c r="F41" s="7">
        <f t="shared" si="0"/>
        <v>73.67</v>
      </c>
      <c r="G41" s="7">
        <f t="shared" si="1"/>
        <v>44122.5</v>
      </c>
      <c r="H41" s="8"/>
    </row>
    <row r="42" spans="1:8" ht="12.75">
      <c r="A42" s="21" t="s">
        <v>8</v>
      </c>
      <c r="B42" s="70">
        <f>SUM(B21:B41)</f>
        <v>2573775.15</v>
      </c>
      <c r="C42" s="187">
        <f>SUM(C21:C41)</f>
        <v>156682.27</v>
      </c>
      <c r="D42" s="70">
        <f>SUM(D21:D41)</f>
        <v>2417092.88</v>
      </c>
      <c r="E42" s="8"/>
      <c r="F42" s="70">
        <f>SUM(F21:F41)</f>
        <v>4304.3</v>
      </c>
      <c r="G42" s="70">
        <f>SUM(G21:G41)</f>
        <v>2578079.45</v>
      </c>
      <c r="H42" s="8"/>
    </row>
    <row r="43" spans="2:8" ht="12.75">
      <c r="B43" s="69"/>
      <c r="C43" s="69"/>
      <c r="D43" s="69"/>
      <c r="E43" s="8"/>
      <c r="F43" s="69"/>
      <c r="G43" s="69"/>
      <c r="H43" s="8"/>
    </row>
    <row r="44" spans="1:8" ht="12.75">
      <c r="A44" s="21" t="s">
        <v>9</v>
      </c>
      <c r="B44" s="69"/>
      <c r="C44" s="69"/>
      <c r="D44" s="69"/>
      <c r="E44" s="8"/>
      <c r="F44" s="69"/>
      <c r="G44" s="69"/>
      <c r="H44" s="8"/>
    </row>
    <row r="45" spans="1:8" ht="12.75">
      <c r="A45" s="22">
        <v>901</v>
      </c>
      <c r="B45" s="69">
        <f>SUMIF('OR Gas Labor'!A:A,A45,'OR Gas Labor'!D:D)</f>
        <v>90841.55</v>
      </c>
      <c r="C45" s="69">
        <f>SUMIF('OR Gas Labor'!A:A,A45,'OR Gas Labor'!B:B)</f>
        <v>90841.55</v>
      </c>
      <c r="D45" s="69">
        <f>SUMIF('OR Gas Labor'!A:A,A45,'OR Gas Labor'!C:C)</f>
        <v>0</v>
      </c>
      <c r="E45" s="8"/>
      <c r="F45" s="7">
        <f>ROUND(B45/(B$78-B$71)*B$71,2)</f>
        <v>151.92</v>
      </c>
      <c r="G45" s="7">
        <f>B45+F45</f>
        <v>90993.47</v>
      </c>
      <c r="H45" s="8"/>
    </row>
    <row r="46" spans="1:8" ht="12.75">
      <c r="A46" s="22">
        <v>902</v>
      </c>
      <c r="B46" s="69">
        <f>SUMIF('OR Gas Labor'!A:A,A46,'OR Gas Labor'!D:D)</f>
        <v>95559.21</v>
      </c>
      <c r="C46" s="69">
        <f>SUMIF('OR Gas Labor'!A:A,A46,'OR Gas Labor'!B:B)</f>
        <v>0</v>
      </c>
      <c r="D46" s="69">
        <f>SUMIF('OR Gas Labor'!A:A,A46,'OR Gas Labor'!C:C)</f>
        <v>95559.21</v>
      </c>
      <c r="E46" s="8"/>
      <c r="F46" s="7">
        <f>ROUND(B46/(B$78-B$71)*B$71,2)</f>
        <v>159.81</v>
      </c>
      <c r="G46" s="7">
        <f>B46+F46</f>
        <v>95719.02</v>
      </c>
      <c r="H46" s="8"/>
    </row>
    <row r="47" spans="1:8" ht="12.75">
      <c r="A47" s="22">
        <v>903</v>
      </c>
      <c r="B47" s="69">
        <f>SUMIF('OR Gas Labor'!A:A,A47,'OR Gas Labor'!D:D)</f>
        <v>940133.28</v>
      </c>
      <c r="C47" s="69">
        <f>SUMIF('OR Gas Labor'!A:A,A47,'OR Gas Labor'!B:B)</f>
        <v>642051.2</v>
      </c>
      <c r="D47" s="69">
        <f>SUMIF('OR Gas Labor'!A:A,A47,'OR Gas Labor'!C:C)</f>
        <v>298082.08</v>
      </c>
      <c r="E47" s="8"/>
      <c r="F47" s="7">
        <f>ROUND(B47/(B$78-B$71)*B$71,2)</f>
        <v>1572.25</v>
      </c>
      <c r="G47" s="7">
        <f>B47+F47</f>
        <v>941705.53</v>
      </c>
      <c r="H47" s="8"/>
    </row>
    <row r="48" spans="1:8" ht="12.75">
      <c r="A48" s="22">
        <v>905</v>
      </c>
      <c r="B48" s="69">
        <f>SUMIF('OR Gas Labor'!A:A,A48,'OR Gas Labor'!D:D)</f>
        <v>24336</v>
      </c>
      <c r="C48" s="69">
        <f>SUMIF('OR Gas Labor'!A:A,A48,'OR Gas Labor'!B:B)</f>
        <v>24336</v>
      </c>
      <c r="D48" s="69">
        <f>SUMIF('OR Gas Labor'!A:A,A48,'OR Gas Labor'!C:C)</f>
        <v>0</v>
      </c>
      <c r="E48" s="8"/>
      <c r="F48" s="7">
        <f>ROUND(B48/(B$78-B$71)*B$71,2)</f>
        <v>40.7</v>
      </c>
      <c r="G48" s="7">
        <f>B48+F48</f>
        <v>24376.7</v>
      </c>
      <c r="H48" s="8"/>
    </row>
    <row r="49" spans="1:8" ht="12.75">
      <c r="A49" s="21" t="s">
        <v>10</v>
      </c>
      <c r="B49" s="70">
        <f>SUM(B45:B48)</f>
        <v>1150870.04</v>
      </c>
      <c r="C49" s="187">
        <f>SUM(C45:C48)</f>
        <v>757228.75</v>
      </c>
      <c r="D49" s="70">
        <f>SUM(D45:D48)</f>
        <v>393641.29</v>
      </c>
      <c r="E49" s="8"/>
      <c r="F49" s="70">
        <f>SUM(F45:F48)</f>
        <v>1924.68</v>
      </c>
      <c r="G49" s="70">
        <f>SUM(G45:G48)</f>
        <v>1152794.72</v>
      </c>
      <c r="H49" s="8"/>
    </row>
    <row r="50" spans="2:8" ht="12.75">
      <c r="B50" s="69"/>
      <c r="C50" s="69"/>
      <c r="D50" s="69"/>
      <c r="E50" s="8"/>
      <c r="F50" s="69"/>
      <c r="G50" s="69"/>
      <c r="H50" s="8"/>
    </row>
    <row r="51" spans="1:8" ht="12.75">
      <c r="A51" s="21" t="s">
        <v>11</v>
      </c>
      <c r="B51" s="69"/>
      <c r="C51" s="69"/>
      <c r="D51" s="69"/>
      <c r="E51" s="8"/>
      <c r="F51" s="69"/>
      <c r="G51" s="69"/>
      <c r="H51" s="8"/>
    </row>
    <row r="52" spans="1:8" ht="12.75">
      <c r="A52" s="22">
        <v>907</v>
      </c>
      <c r="B52" s="69">
        <f>SUMIF('OR Gas Labor'!A:A,A52,'OR Gas Labor'!D:D)</f>
        <v>0</v>
      </c>
      <c r="C52" s="69">
        <f>SUMIF('OR Gas Labor'!A:A,A52,'OR Gas Labor'!B:B)</f>
        <v>0</v>
      </c>
      <c r="D52" s="69">
        <f>SUMIF('OR Gas Labor'!A:A,A52,'OR Gas Labor'!C:C)</f>
        <v>0</v>
      </c>
      <c r="E52" s="8"/>
      <c r="F52" s="7">
        <f>ROUND(B52/(B$78-B$71)*B$71,2)</f>
        <v>0</v>
      </c>
      <c r="G52" s="7">
        <f>B52+F52</f>
        <v>0</v>
      </c>
      <c r="H52" s="8"/>
    </row>
    <row r="53" spans="1:8" ht="12.75">
      <c r="A53" s="22">
        <v>908</v>
      </c>
      <c r="B53" s="69">
        <f>SUMIF('OR Gas Labor'!A:A,A53,'OR Gas Labor'!D:D)</f>
        <v>34617.06</v>
      </c>
      <c r="C53" s="69">
        <f>SUMIF('OR Gas Labor'!A:A,A53,'OR Gas Labor'!B:B)</f>
        <v>0</v>
      </c>
      <c r="D53" s="69">
        <f>SUMIF('OR Gas Labor'!A:A,A53,'OR Gas Labor'!C:C)</f>
        <v>34617.06</v>
      </c>
      <c r="E53" s="8"/>
      <c r="F53" s="7">
        <f>ROUND(B53/(B$78-B$71)*B$71,2)</f>
        <v>57.89</v>
      </c>
      <c r="G53" s="7">
        <f>B53+F53</f>
        <v>34674.95</v>
      </c>
      <c r="H53" s="8"/>
    </row>
    <row r="54" spans="1:8" ht="12.75">
      <c r="A54" s="22">
        <v>909</v>
      </c>
      <c r="B54" s="69">
        <f>SUMIF('OR Gas Labor'!A:A,A54,'OR Gas Labor'!D:D)</f>
        <v>4359.28</v>
      </c>
      <c r="C54" s="69">
        <f>SUMIF('OR Gas Labor'!A:A,A54,'OR Gas Labor'!B:B)</f>
        <v>4359.28</v>
      </c>
      <c r="D54" s="69">
        <f>SUMIF('OR Gas Labor'!A:A,A54,'OR Gas Labor'!C:C)</f>
        <v>0</v>
      </c>
      <c r="E54" s="8"/>
      <c r="F54" s="7">
        <f>ROUND(B54/(B$78-B$71)*B$71,2)</f>
        <v>7.29</v>
      </c>
      <c r="G54" s="7">
        <f>B54+F54</f>
        <v>4366.57</v>
      </c>
      <c r="H54" s="8"/>
    </row>
    <row r="55" spans="1:8" ht="12.75">
      <c r="A55" s="22">
        <v>910</v>
      </c>
      <c r="B55" s="69">
        <f>SUMIF('OR Gas Labor'!A:A,A55,'OR Gas Labor'!D:D)</f>
        <v>0</v>
      </c>
      <c r="C55" s="69">
        <f>SUMIF('OR Gas Labor'!A:A,A55,'OR Gas Labor'!B:B)</f>
        <v>0</v>
      </c>
      <c r="D55" s="69">
        <f>SUMIF('OR Gas Labor'!A:A,A55,'OR Gas Labor'!C:C)</f>
        <v>0</v>
      </c>
      <c r="E55" s="8"/>
      <c r="F55" s="7">
        <f>ROUND(B55/(B$78-B$71)*B$71,2)</f>
        <v>0</v>
      </c>
      <c r="G55" s="7">
        <f>B55+F55</f>
        <v>0</v>
      </c>
      <c r="H55" s="8"/>
    </row>
    <row r="56" spans="1:8" ht="12.75">
      <c r="A56" s="21" t="s">
        <v>12</v>
      </c>
      <c r="B56" s="70">
        <f>SUM(B52:B55)</f>
        <v>38976.34</v>
      </c>
      <c r="C56" s="187">
        <f>SUM(C52:C55)</f>
        <v>4359.28</v>
      </c>
      <c r="D56" s="70">
        <f>SUM(D52:D55)</f>
        <v>34617.06</v>
      </c>
      <c r="E56" s="8"/>
      <c r="F56" s="70">
        <f>SUM(F52:F55)</f>
        <v>65.18</v>
      </c>
      <c r="G56" s="70">
        <f>SUM(G52:G55)</f>
        <v>39041.52</v>
      </c>
      <c r="H56" s="8"/>
    </row>
    <row r="57" spans="2:8" ht="12.75">
      <c r="B57" s="69"/>
      <c r="C57" s="69"/>
      <c r="D57" s="69"/>
      <c r="E57" s="8"/>
      <c r="F57" s="69"/>
      <c r="G57" s="69"/>
      <c r="H57" s="8"/>
    </row>
    <row r="58" spans="1:8" ht="12.75">
      <c r="A58" s="21" t="s">
        <v>13</v>
      </c>
      <c r="B58" s="69"/>
      <c r="C58" s="69"/>
      <c r="D58" s="69"/>
      <c r="E58" s="8"/>
      <c r="F58" s="69"/>
      <c r="G58" s="69"/>
      <c r="H58" s="8"/>
    </row>
    <row r="59" spans="1:8" ht="12.75">
      <c r="A59" s="22">
        <v>911</v>
      </c>
      <c r="B59" s="69">
        <f>SUMIF('OR Gas Labor'!A:A,A59,'OR Gas Labor'!D:D)</f>
        <v>0</v>
      </c>
      <c r="C59" s="69">
        <f>SUMIF('OR Gas Labor'!A:A,A59,'OR Gas Labor'!B:B)</f>
        <v>0</v>
      </c>
      <c r="D59" s="69">
        <f>SUMIF('OR Gas Labor'!A:A,A59,'OR Gas Labor'!C:C)</f>
        <v>0</v>
      </c>
      <c r="E59" s="8"/>
      <c r="F59" s="7">
        <f>ROUND(B59/(B$78-B$71)*B$71,2)</f>
        <v>0</v>
      </c>
      <c r="G59" s="7">
        <f>B59+F59</f>
        <v>0</v>
      </c>
      <c r="H59" s="8"/>
    </row>
    <row r="60" spans="1:8" ht="12.75">
      <c r="A60" s="22">
        <v>912</v>
      </c>
      <c r="B60" s="69">
        <f>SUMIF('OR Gas Labor'!A:A,A60,'OR Gas Labor'!D:D)</f>
        <v>23906.06</v>
      </c>
      <c r="C60" s="69">
        <f>SUMIF('OR Gas Labor'!A:A,A60,'OR Gas Labor'!B:B)</f>
        <v>0</v>
      </c>
      <c r="D60" s="69">
        <f>SUMIF('OR Gas Labor'!A:A,A60,'OR Gas Labor'!C:C)</f>
        <v>23906.06</v>
      </c>
      <c r="E60" s="8"/>
      <c r="F60" s="7">
        <f>ROUND(B60/(B$78-B$71)*B$71,2)</f>
        <v>39.98</v>
      </c>
      <c r="G60" s="7">
        <f>B60+F60</f>
        <v>23946.04</v>
      </c>
      <c r="H60" s="8"/>
    </row>
    <row r="61" spans="1:8" ht="12.75">
      <c r="A61" s="22">
        <v>913</v>
      </c>
      <c r="B61" s="69">
        <f>SUMIF('OR Gas Labor'!A:A,A61,'OR Gas Labor'!D:D)</f>
        <v>0</v>
      </c>
      <c r="C61" s="69">
        <f>SUMIF('OR Gas Labor'!A:A,A61,'OR Gas Labor'!B:B)</f>
        <v>0</v>
      </c>
      <c r="D61" s="69">
        <f>SUMIF('OR Gas Labor'!A:A,A61,'OR Gas Labor'!C:C)</f>
        <v>0</v>
      </c>
      <c r="E61" s="8"/>
      <c r="F61" s="7">
        <f>ROUND(B61/(B$78-B$71)*B$71,2)</f>
        <v>0</v>
      </c>
      <c r="G61" s="7">
        <f>B61+F61</f>
        <v>0</v>
      </c>
      <c r="H61" s="8"/>
    </row>
    <row r="62" spans="1:8" ht="12.75">
      <c r="A62" s="22">
        <v>916</v>
      </c>
      <c r="B62" s="69">
        <f>SUMIF('OR Gas Labor'!A:A,A62,'OR Gas Labor'!D:D)</f>
        <v>0</v>
      </c>
      <c r="C62" s="69">
        <f>SUMIF('OR Gas Labor'!A:A,A62,'OR Gas Labor'!B:B)</f>
        <v>0</v>
      </c>
      <c r="D62" s="69">
        <f>SUMIF('OR Gas Labor'!A:A,A62,'OR Gas Labor'!C:C)</f>
        <v>0</v>
      </c>
      <c r="E62" s="8"/>
      <c r="F62" s="7">
        <f>ROUND(B62/(B$78-B$71)*B$71,2)</f>
        <v>0</v>
      </c>
      <c r="G62" s="7">
        <f>B62+F62</f>
        <v>0</v>
      </c>
      <c r="H62" s="8"/>
    </row>
    <row r="63" spans="1:8" ht="12.75">
      <c r="A63" s="21" t="s">
        <v>14</v>
      </c>
      <c r="B63" s="70">
        <f aca="true" t="shared" si="2" ref="B63:H63">SUM(B59:B62)</f>
        <v>23906.06</v>
      </c>
      <c r="C63" s="187">
        <f t="shared" si="2"/>
        <v>0</v>
      </c>
      <c r="D63" s="70">
        <f t="shared" si="2"/>
        <v>23906.06</v>
      </c>
      <c r="E63" s="70">
        <f t="shared" si="2"/>
        <v>0</v>
      </c>
      <c r="F63" s="70">
        <f t="shared" si="2"/>
        <v>39.98</v>
      </c>
      <c r="G63" s="70">
        <f t="shared" si="2"/>
        <v>23946.04</v>
      </c>
      <c r="H63" s="70">
        <f t="shared" si="2"/>
        <v>0</v>
      </c>
    </row>
    <row r="64" spans="2:8" ht="12.75">
      <c r="B64" s="69"/>
      <c r="C64" s="69"/>
      <c r="D64" s="69"/>
      <c r="E64" s="8"/>
      <c r="F64" s="69"/>
      <c r="G64" s="69"/>
      <c r="H64" s="8"/>
    </row>
    <row r="65" spans="1:8" ht="12.75">
      <c r="A65" s="21" t="s">
        <v>15</v>
      </c>
      <c r="B65" s="69"/>
      <c r="C65" s="69"/>
      <c r="D65" s="69"/>
      <c r="E65" s="8"/>
      <c r="F65" s="69"/>
      <c r="G65" s="69"/>
      <c r="H65" s="8"/>
    </row>
    <row r="66" spans="1:8" ht="12.75">
      <c r="A66" s="22">
        <v>920</v>
      </c>
      <c r="B66" s="69">
        <f>SUMIF('OR Gas Labor'!A:A,A66,'OR Gas Labor'!D:D)</f>
        <v>1374389.07</v>
      </c>
      <c r="C66" s="69">
        <f>SUMIF('OR Gas Labor'!A:A,A66,'OR Gas Labor'!B:B)</f>
        <v>1243574.41</v>
      </c>
      <c r="D66" s="69">
        <f>SUMIF('OR Gas Labor'!A:A,A66,'OR Gas Labor'!C:C)</f>
        <v>130814.66</v>
      </c>
      <c r="E66" s="8"/>
      <c r="F66" s="7">
        <f>ROUND(B66/(B$78-B$71)*B$71,2)</f>
        <v>2298.48</v>
      </c>
      <c r="G66" s="7">
        <f aca="true" t="shared" si="3" ref="G66:G75">B66+F66</f>
        <v>1376687.55</v>
      </c>
      <c r="H66" s="8"/>
    </row>
    <row r="67" spans="1:8" ht="12.75">
      <c r="A67" s="22">
        <v>921</v>
      </c>
      <c r="B67" s="69">
        <f>SUMIF('OR Gas Labor'!A:A,A67,'OR Gas Labor'!D:D)</f>
        <v>10627.89</v>
      </c>
      <c r="C67" s="69">
        <f>SUMIF('OR Gas Labor'!A:A,A67,'OR Gas Labor'!B:B)</f>
        <v>2246.04</v>
      </c>
      <c r="D67" s="69">
        <f>SUMIF('OR Gas Labor'!A:A,A67,'OR Gas Labor'!C:C)</f>
        <v>8381.85</v>
      </c>
      <c r="E67" s="8"/>
      <c r="F67" s="7">
        <f aca="true" t="shared" si="4" ref="F67:F75">ROUND(B67/(B$78-B$71)*B$71,2)</f>
        <v>17.77</v>
      </c>
      <c r="G67" s="7">
        <f t="shared" si="3"/>
        <v>10645.66</v>
      </c>
      <c r="H67" s="8"/>
    </row>
    <row r="68" spans="1:8" ht="12.75">
      <c r="A68" s="22">
        <v>923</v>
      </c>
      <c r="B68" s="69">
        <f>SUMIF('OR Gas Labor'!A:A,A68,'OR Gas Labor'!D:D)</f>
        <v>251.27</v>
      </c>
      <c r="C68" s="69">
        <f>SUMIF('OR Gas Labor'!A:A,A68,'OR Gas Labor'!B:B)</f>
        <v>251.27</v>
      </c>
      <c r="D68" s="69">
        <f>SUMIF('OR Gas Labor'!A:A,A68,'OR Gas Labor'!C:C)</f>
        <v>0</v>
      </c>
      <c r="E68" s="8"/>
      <c r="F68" s="7">
        <f t="shared" si="4"/>
        <v>0.42</v>
      </c>
      <c r="G68" s="7">
        <f t="shared" si="3"/>
        <v>251.69</v>
      </c>
      <c r="H68" s="8"/>
    </row>
    <row r="69" spans="1:8" ht="12.75">
      <c r="A69" s="22">
        <v>924</v>
      </c>
      <c r="B69" s="69">
        <f>SUMIF('OR Gas Labor'!A:A,A69,'OR Gas Labor'!D:D)</f>
        <v>0</v>
      </c>
      <c r="C69" s="69">
        <f>SUMIF('OR Gas Labor'!A:A,A69,'OR Gas Labor'!B:B)</f>
        <v>0</v>
      </c>
      <c r="D69" s="69">
        <f>SUMIF('OR Gas Labor'!A:A,A69,'OR Gas Labor'!C:C)</f>
        <v>0</v>
      </c>
      <c r="E69" s="8"/>
      <c r="F69" s="7">
        <f t="shared" si="4"/>
        <v>0</v>
      </c>
      <c r="G69" s="7">
        <f t="shared" si="3"/>
        <v>0</v>
      </c>
      <c r="H69" s="8"/>
    </row>
    <row r="70" spans="1:8" ht="12.75">
      <c r="A70" s="22">
        <v>925</v>
      </c>
      <c r="B70" s="69">
        <f>SUMIF('OR Gas Labor'!A:A,A70,'OR Gas Labor'!D:D)</f>
        <v>0</v>
      </c>
      <c r="C70" s="69">
        <f>SUMIF('OR Gas Labor'!A:A,A70,'OR Gas Labor'!B:B)</f>
        <v>0</v>
      </c>
      <c r="D70" s="69">
        <f>SUMIF('OR Gas Labor'!A:A,A70,'OR Gas Labor'!C:C)</f>
        <v>0</v>
      </c>
      <c r="E70" s="8"/>
      <c r="F70" s="7">
        <f t="shared" si="4"/>
        <v>0</v>
      </c>
      <c r="G70" s="7">
        <f t="shared" si="3"/>
        <v>0</v>
      </c>
      <c r="H70" s="8"/>
    </row>
    <row r="71" spans="1:8" ht="12.75">
      <c r="A71" s="22">
        <v>926</v>
      </c>
      <c r="B71" s="69">
        <f>SUMIF('OR Gas Labor'!A:A,A71,'OR Gas Labor'!D:D)</f>
        <v>9526.97</v>
      </c>
      <c r="C71" s="69">
        <f>SUMIF('OR Gas Labor'!A:A,A71,'OR Gas Labor'!B:B)</f>
        <v>9526.97</v>
      </c>
      <c r="D71" s="69">
        <f>SUMIF('OR Gas Labor'!A:A,A71,'OR Gas Labor'!C:C)</f>
        <v>0</v>
      </c>
      <c r="E71" s="8"/>
      <c r="F71" s="7">
        <f>-B71</f>
        <v>-9526.97</v>
      </c>
      <c r="G71" s="7">
        <f t="shared" si="3"/>
        <v>0</v>
      </c>
      <c r="H71" s="8"/>
    </row>
    <row r="72" spans="1:8" ht="12.75">
      <c r="A72" s="22">
        <v>928</v>
      </c>
      <c r="B72" s="69">
        <f>SUMIF('OR Gas Labor'!A:A,A72,'OR Gas Labor'!D:D)</f>
        <v>170696.72</v>
      </c>
      <c r="C72" s="69">
        <f>SUMIF('OR Gas Labor'!A:A,A72,'OR Gas Labor'!B:B)</f>
        <v>56107.86</v>
      </c>
      <c r="D72" s="69">
        <f>SUMIF('OR Gas Labor'!A:A,A72,'OR Gas Labor'!C:C)</f>
        <v>114588.86</v>
      </c>
      <c r="E72" s="8"/>
      <c r="F72" s="7">
        <f t="shared" si="4"/>
        <v>285.47</v>
      </c>
      <c r="G72" s="7">
        <f t="shared" si="3"/>
        <v>170982.19</v>
      </c>
      <c r="H72" s="8"/>
    </row>
    <row r="73" spans="1:8" ht="12.75">
      <c r="A73" s="22">
        <v>930</v>
      </c>
      <c r="B73" s="69">
        <f>SUMIF('OR Gas Labor'!A:A,A73,'OR Gas Labor'!D:D)</f>
        <v>21076.87</v>
      </c>
      <c r="C73" s="69">
        <f>SUMIF('OR Gas Labor'!A:A,A73,'OR Gas Labor'!B:B)</f>
        <v>21076.87</v>
      </c>
      <c r="D73" s="69">
        <f>SUMIF('OR Gas Labor'!A:A,A73,'OR Gas Labor'!C:C)</f>
        <v>0</v>
      </c>
      <c r="E73" s="8"/>
      <c r="F73" s="7">
        <f t="shared" si="4"/>
        <v>35.25</v>
      </c>
      <c r="G73" s="7">
        <f t="shared" si="3"/>
        <v>21112.12</v>
      </c>
      <c r="H73" s="8"/>
    </row>
    <row r="74" spans="1:8" ht="12.75">
      <c r="A74" s="22">
        <v>931</v>
      </c>
      <c r="B74" s="69">
        <f>SUMIF('OR Gas Labor'!A:A,A74,'OR Gas Labor'!D:D)</f>
        <v>0</v>
      </c>
      <c r="C74" s="69">
        <f>SUMIF('OR Gas Labor'!A:A,A74,'OR Gas Labor'!B:B)</f>
        <v>0</v>
      </c>
      <c r="D74" s="69">
        <f>SUMIF('OR Gas Labor'!A:A,A74,'OR Gas Labor'!C:C)</f>
        <v>0</v>
      </c>
      <c r="E74" s="8"/>
      <c r="F74" s="7">
        <f t="shared" si="4"/>
        <v>0</v>
      </c>
      <c r="G74" s="7">
        <f t="shared" si="3"/>
        <v>0</v>
      </c>
      <c r="H74" s="8"/>
    </row>
    <row r="75" spans="1:8" ht="12.75">
      <c r="A75" s="22">
        <v>935</v>
      </c>
      <c r="B75" s="69">
        <f>SUMIF('OR Gas Labor'!A:A,A75,'OR Gas Labor'!D:D)</f>
        <v>69704.06</v>
      </c>
      <c r="C75" s="69">
        <f>SUMIF('OR Gas Labor'!A:A,A75,'OR Gas Labor'!B:B)</f>
        <v>69704.06</v>
      </c>
      <c r="D75" s="69">
        <f>SUMIF('OR Gas Labor'!A:A,A75,'OR Gas Labor'!C:C)</f>
        <v>0</v>
      </c>
      <c r="E75" s="8"/>
      <c r="F75" s="7">
        <f t="shared" si="4"/>
        <v>116.57</v>
      </c>
      <c r="G75" s="7">
        <f t="shared" si="3"/>
        <v>69820.63</v>
      </c>
      <c r="H75" s="8"/>
    </row>
    <row r="76" spans="1:8" ht="12.75">
      <c r="A76" s="21" t="s">
        <v>16</v>
      </c>
      <c r="B76" s="70">
        <f>SUM(B66:B75)</f>
        <v>1656272.85</v>
      </c>
      <c r="C76" s="187">
        <f>SUM(C66:C75)</f>
        <v>1402487.48</v>
      </c>
      <c r="D76" s="70">
        <f>SUM(D66:D75)</f>
        <v>253785.37</v>
      </c>
      <c r="E76" s="8"/>
      <c r="F76" s="70">
        <f>SUM(F66:F75)</f>
        <v>-6773.01</v>
      </c>
      <c r="G76" s="70">
        <f>SUM(G66:G75)</f>
        <v>1649499.84</v>
      </c>
      <c r="H76" s="8"/>
    </row>
    <row r="77" spans="2:8" ht="12.75">
      <c r="B77" s="69"/>
      <c r="C77" s="69"/>
      <c r="D77" s="69"/>
      <c r="E77" s="8"/>
      <c r="F77" s="69"/>
      <c r="G77" s="69"/>
      <c r="H77" s="8"/>
    </row>
    <row r="78" spans="1:8" ht="12.75">
      <c r="A78" s="21" t="s">
        <v>343</v>
      </c>
      <c r="B78" s="162">
        <f>B13+B18+B42+B49+B56+B63+B76</f>
        <v>5706228.78</v>
      </c>
      <c r="C78" s="164">
        <f>C13+C18+C42+C49+C56+C63+C76</f>
        <v>2583186.12</v>
      </c>
      <c r="D78" s="162">
        <f>D13+D18+D42+D49+D56+D63+D76</f>
        <v>3123042.66</v>
      </c>
      <c r="E78" s="8"/>
      <c r="F78" s="70">
        <f>F13+F18+F42+F49+F56+F63+F76</f>
        <v>0.01</v>
      </c>
      <c r="G78" s="164">
        <f>G13+G18+G42+G49+G56+G63+G76</f>
        <v>5706228.79</v>
      </c>
      <c r="H78" s="8"/>
    </row>
    <row r="79" spans="5:8" ht="12.75">
      <c r="E79" s="8"/>
      <c r="F79" s="21"/>
      <c r="G79" s="21"/>
      <c r="H79" s="8"/>
    </row>
    <row r="80" spans="1:8" ht="12.75">
      <c r="A80" s="23" t="s">
        <v>292</v>
      </c>
      <c r="B80" s="69">
        <f>C78+D78</f>
        <v>5706228.78</v>
      </c>
      <c r="C80" s="69"/>
      <c r="E80" s="8"/>
      <c r="F80" s="8"/>
      <c r="G80" s="8"/>
      <c r="H80" s="8"/>
    </row>
    <row r="81" spans="5:8" ht="12.75">
      <c r="E81" s="8"/>
      <c r="F81" s="8"/>
      <c r="G81" s="8"/>
      <c r="H81" s="8"/>
    </row>
    <row r="82" spans="2:8" ht="12.75">
      <c r="B82" s="69"/>
      <c r="E82" s="8"/>
      <c r="F82" s="8"/>
      <c r="G82" s="8"/>
      <c r="H82" s="8"/>
    </row>
    <row r="83" spans="5:8" ht="12.75">
      <c r="E83" s="8"/>
      <c r="F83" s="8"/>
      <c r="G83" s="8"/>
      <c r="H83" s="8"/>
    </row>
    <row r="84" spans="5:8" ht="12.75">
      <c r="E84" s="8"/>
      <c r="F84" s="8"/>
      <c r="G84" s="8"/>
      <c r="H84" s="8"/>
    </row>
    <row r="85" spans="5:8" ht="12.75">
      <c r="E85" s="8"/>
      <c r="F85" s="8"/>
      <c r="G85" s="8"/>
      <c r="H85" s="8"/>
    </row>
    <row r="86" spans="5:8" ht="12.75">
      <c r="E86" s="8"/>
      <c r="F86" s="8"/>
      <c r="G86" s="8"/>
      <c r="H86" s="8"/>
    </row>
    <row r="87" spans="5:8" ht="12.75">
      <c r="E87" s="8"/>
      <c r="F87" s="8"/>
      <c r="G87" s="8"/>
      <c r="H87" s="8"/>
    </row>
    <row r="88" spans="5:8" ht="12.75">
      <c r="E88" s="8"/>
      <c r="F88" s="8"/>
      <c r="G88" s="8"/>
      <c r="H88" s="8"/>
    </row>
    <row r="89" spans="5:8" ht="12.75">
      <c r="E89" s="8"/>
      <c r="F89" s="8"/>
      <c r="G89" s="8"/>
      <c r="H89" s="8"/>
    </row>
    <row r="90" spans="5:8" ht="12.75">
      <c r="E90" s="8"/>
      <c r="F90" s="8"/>
      <c r="G90" s="8"/>
      <c r="H90" s="8"/>
    </row>
    <row r="91" spans="5:8" ht="12.75">
      <c r="E91" s="8"/>
      <c r="F91" s="8"/>
      <c r="G91" s="8"/>
      <c r="H91" s="8"/>
    </row>
    <row r="92" spans="5:8" ht="12.75">
      <c r="E92" s="8"/>
      <c r="F92" s="8"/>
      <c r="G92" s="8"/>
      <c r="H92" s="8"/>
    </row>
    <row r="93" spans="5:8" ht="12.75">
      <c r="E93" s="8"/>
      <c r="F93" s="8"/>
      <c r="G93" s="8"/>
      <c r="H93" s="8"/>
    </row>
    <row r="94" spans="5:8" ht="12.75">
      <c r="E94" s="8"/>
      <c r="F94" s="8"/>
      <c r="G94" s="8"/>
      <c r="H94" s="8"/>
    </row>
    <row r="95" spans="5:8" ht="12.75">
      <c r="E95" s="8"/>
      <c r="F95" s="8"/>
      <c r="G95" s="8"/>
      <c r="H95" s="8"/>
    </row>
    <row r="96" spans="5:8" ht="12.75">
      <c r="E96" s="8"/>
      <c r="F96" s="8"/>
      <c r="G96" s="8"/>
      <c r="H96" s="8"/>
    </row>
    <row r="97" spans="5:8" ht="12.75">
      <c r="E97" s="8"/>
      <c r="F97" s="8"/>
      <c r="G97" s="8"/>
      <c r="H97" s="8"/>
    </row>
    <row r="98" spans="5:8" ht="12.75">
      <c r="E98" s="8"/>
      <c r="F98" s="8"/>
      <c r="G98" s="8"/>
      <c r="H98" s="8"/>
    </row>
    <row r="99" spans="5:8" ht="12.75">
      <c r="E99" s="8"/>
      <c r="F99" s="8"/>
      <c r="G99" s="8"/>
      <c r="H99" s="8"/>
    </row>
    <row r="100" spans="5:8" ht="12.75">
      <c r="E100" s="8"/>
      <c r="F100" s="8"/>
      <c r="G100" s="8"/>
      <c r="H100" s="8"/>
    </row>
    <row r="101" spans="5:8" ht="12.75">
      <c r="E101" s="8"/>
      <c r="F101" s="8"/>
      <c r="G101" s="8"/>
      <c r="H101" s="8"/>
    </row>
    <row r="102" spans="5:8" ht="12.75">
      <c r="E102" s="8"/>
      <c r="F102" s="8"/>
      <c r="G102" s="8"/>
      <c r="H102" s="8"/>
    </row>
    <row r="103" spans="5:8" ht="12.75">
      <c r="E103" s="8"/>
      <c r="F103" s="8"/>
      <c r="G103" s="8"/>
      <c r="H103" s="8"/>
    </row>
    <row r="104" spans="5:8" ht="12.75">
      <c r="E104" s="8"/>
      <c r="F104" s="8"/>
      <c r="G104" s="8"/>
      <c r="H104" s="8"/>
    </row>
    <row r="105" spans="5:8" ht="12.75">
      <c r="E105" s="8"/>
      <c r="F105" s="8"/>
      <c r="G105" s="8"/>
      <c r="H105" s="8"/>
    </row>
    <row r="106" spans="5:8" ht="12.75">
      <c r="E106" s="8"/>
      <c r="F106" s="8"/>
      <c r="G106" s="8"/>
      <c r="H106" s="8"/>
    </row>
    <row r="107" spans="5:8" ht="12.75">
      <c r="E107" s="8"/>
      <c r="F107" s="8"/>
      <c r="G107" s="8"/>
      <c r="H107" s="8"/>
    </row>
    <row r="108" spans="5:8" ht="12.75">
      <c r="E108" s="8"/>
      <c r="F108" s="8"/>
      <c r="G108" s="8"/>
      <c r="H108" s="8"/>
    </row>
    <row r="109" spans="5:8" ht="12.75">
      <c r="E109" s="8"/>
      <c r="F109" s="8"/>
      <c r="G109" s="8"/>
      <c r="H109" s="8"/>
    </row>
    <row r="110" spans="5:8" ht="12.75">
      <c r="E110" s="8"/>
      <c r="F110" s="8"/>
      <c r="G110" s="8"/>
      <c r="H110" s="8"/>
    </row>
    <row r="111" spans="5:8" ht="12.75">
      <c r="E111" s="8"/>
      <c r="F111" s="8"/>
      <c r="G111" s="8"/>
      <c r="H111" s="8"/>
    </row>
    <row r="112" spans="5:8" ht="12.75">
      <c r="E112" s="8"/>
      <c r="F112" s="8"/>
      <c r="G112" s="8"/>
      <c r="H112" s="8"/>
    </row>
    <row r="113" spans="5:8" ht="12.75">
      <c r="E113" s="8"/>
      <c r="F113" s="8"/>
      <c r="G113" s="8"/>
      <c r="H113" s="8"/>
    </row>
    <row r="114" spans="5:8" ht="12.75">
      <c r="E114" s="8"/>
      <c r="F114" s="8"/>
      <c r="G114" s="8"/>
      <c r="H114" s="8"/>
    </row>
    <row r="115" spans="5:8" ht="12.75">
      <c r="E115" s="8"/>
      <c r="F115" s="8"/>
      <c r="G115" s="8"/>
      <c r="H115" s="8"/>
    </row>
    <row r="116" spans="5:8" ht="12.75">
      <c r="E116" s="8"/>
      <c r="F116" s="8"/>
      <c r="G116" s="8"/>
      <c r="H116" s="8"/>
    </row>
    <row r="117" spans="5:8" ht="12.75">
      <c r="E117" s="8"/>
      <c r="F117" s="8"/>
      <c r="G117" s="8"/>
      <c r="H117" s="8"/>
    </row>
    <row r="118" spans="5:8" ht="12.75">
      <c r="E118" s="8"/>
      <c r="F118" s="8"/>
      <c r="G118" s="8"/>
      <c r="H118" s="8"/>
    </row>
    <row r="119" spans="5:8" ht="12.75">
      <c r="E119" s="8"/>
      <c r="F119" s="8"/>
      <c r="G119" s="8"/>
      <c r="H119" s="8"/>
    </row>
    <row r="120" spans="5:8" ht="12.75">
      <c r="E120" s="8"/>
      <c r="F120" s="8"/>
      <c r="G120" s="8"/>
      <c r="H120" s="8"/>
    </row>
    <row r="121" spans="5:8" ht="12.75">
      <c r="E121" s="8"/>
      <c r="F121" s="8"/>
      <c r="G121" s="8"/>
      <c r="H121" s="8"/>
    </row>
    <row r="122" spans="5:8" ht="12.75">
      <c r="E122" s="8"/>
      <c r="F122" s="8"/>
      <c r="G122" s="8"/>
      <c r="H122" s="8"/>
    </row>
    <row r="123" spans="5:8" ht="12.75">
      <c r="E123" s="8"/>
      <c r="F123" s="8"/>
      <c r="G123" s="8"/>
      <c r="H123" s="8"/>
    </row>
    <row r="124" spans="5:8" ht="12.75">
      <c r="E124" s="8"/>
      <c r="F124" s="8"/>
      <c r="G124" s="8"/>
      <c r="H124" s="8"/>
    </row>
    <row r="125" spans="5:8" ht="12.75">
      <c r="E125" s="8"/>
      <c r="F125" s="8"/>
      <c r="G125" s="8"/>
      <c r="H125" s="8"/>
    </row>
    <row r="126" spans="5:8" ht="12.75">
      <c r="E126" s="8"/>
      <c r="F126" s="8"/>
      <c r="G126" s="8"/>
      <c r="H126" s="8"/>
    </row>
    <row r="127" spans="5:8" ht="12.75">
      <c r="E127" s="8"/>
      <c r="F127" s="8"/>
      <c r="G127" s="8"/>
      <c r="H127" s="8"/>
    </row>
    <row r="128" spans="6:7" ht="12.75">
      <c r="F128" s="18"/>
      <c r="G128" s="18"/>
    </row>
    <row r="129" spans="6:7" ht="12.75">
      <c r="F129" s="18"/>
      <c r="G129" s="18"/>
    </row>
    <row r="130" spans="6:7" ht="12.75">
      <c r="F130" s="18"/>
      <c r="G130" s="18"/>
    </row>
    <row r="131" spans="6:7" ht="12.75">
      <c r="F131" s="8"/>
      <c r="G131" s="18"/>
    </row>
  </sheetData>
  <printOptions horizontalCentered="1"/>
  <pageMargins left="0.37" right="0.55" top="1" bottom="0.76" header="0.5" footer="0.5"/>
  <pageSetup horizontalDpi="300" verticalDpi="300" orientation="landscape" scale="78" r:id="rId1"/>
  <headerFooter alignWithMargins="0">
    <oddFooter>&amp;CPage &amp;P&amp;Rtm &amp;A &amp;F</oddFooter>
  </headerFooter>
  <rowBreaks count="1" manualBreakCount="1">
    <brk id="4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A1" sqref="A1"/>
    </sheetView>
  </sheetViews>
  <sheetFormatPr defaultColWidth="9.33203125" defaultRowHeight="12.75"/>
  <cols>
    <col min="1" max="1" width="10.5" style="88" customWidth="1"/>
    <col min="2" max="2" width="11.33203125" style="88" customWidth="1"/>
    <col min="3" max="3" width="10.33203125" style="88" customWidth="1"/>
    <col min="4" max="4" width="12" style="88" customWidth="1"/>
    <col min="5" max="5" width="9.83203125" style="88" customWidth="1"/>
    <col min="6" max="6" width="1.83203125" style="88" customWidth="1"/>
    <col min="7" max="7" width="13" style="88" bestFit="1" customWidth="1"/>
    <col min="8" max="8" width="11.5" style="88" bestFit="1" customWidth="1"/>
    <col min="9" max="9" width="13" style="88" bestFit="1" customWidth="1"/>
    <col min="10" max="10" width="11.5" style="88" bestFit="1" customWidth="1"/>
    <col min="11" max="11" width="12.33203125" style="88" customWidth="1"/>
    <col min="12" max="12" width="10.66015625" style="88" customWidth="1"/>
    <col min="13" max="13" width="10.5" style="88" bestFit="1" customWidth="1"/>
    <col min="14" max="16384" width="10.66015625" style="88" customWidth="1"/>
  </cols>
  <sheetData>
    <row r="1" spans="1:13" ht="18.75">
      <c r="A1" s="73" t="s">
        <v>144</v>
      </c>
      <c r="B1" s="92"/>
      <c r="C1" s="92"/>
      <c r="D1" s="92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>
      <c r="A2" s="213" t="s">
        <v>413</v>
      </c>
      <c r="B2" s="92"/>
      <c r="C2" s="92"/>
      <c r="D2" s="92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2.75">
      <c r="A3" s="92" t="s">
        <v>166</v>
      </c>
      <c r="B3" s="92"/>
      <c r="C3" s="92"/>
      <c r="D3" s="92"/>
      <c r="E3" s="100"/>
      <c r="F3" s="100"/>
      <c r="G3" s="429" t="s">
        <v>148</v>
      </c>
      <c r="H3" s="430"/>
      <c r="I3" s="431" t="s">
        <v>379</v>
      </c>
      <c r="J3" s="432"/>
      <c r="K3" s="431"/>
      <c r="L3" s="430"/>
      <c r="M3" s="100"/>
    </row>
    <row r="4" spans="1:13" ht="12.75">
      <c r="A4" s="126"/>
      <c r="B4" s="92"/>
      <c r="C4" s="92"/>
      <c r="D4" s="92"/>
      <c r="E4" s="268" t="s">
        <v>382</v>
      </c>
      <c r="F4"/>
      <c r="G4" s="349">
        <v>0.6459</v>
      </c>
      <c r="H4" s="350">
        <v>0.3541</v>
      </c>
      <c r="I4" s="351"/>
      <c r="J4" s="352"/>
      <c r="K4" s="352"/>
      <c r="L4" s="353"/>
      <c r="M4" s="105">
        <f>SUM(G4:K4)</f>
        <v>1</v>
      </c>
    </row>
    <row r="5" spans="1:13" ht="12.75">
      <c r="A5" s="100"/>
      <c r="B5" s="100"/>
      <c r="C5" s="100"/>
      <c r="D5" s="100"/>
      <c r="E5" s="268" t="s">
        <v>383</v>
      </c>
      <c r="F5"/>
      <c r="G5" s="354">
        <v>0.65097</v>
      </c>
      <c r="H5" s="355">
        <v>0.34903</v>
      </c>
      <c r="I5" s="354">
        <v>0.67505</v>
      </c>
      <c r="J5" s="356">
        <v>0.32495</v>
      </c>
      <c r="K5" s="357">
        <v>1</v>
      </c>
      <c r="L5" s="358"/>
      <c r="M5" s="105">
        <f>SUM(G5:K5)</f>
        <v>3</v>
      </c>
    </row>
    <row r="6" spans="1:13" ht="12.75">
      <c r="A6" s="100"/>
      <c r="B6" s="100"/>
      <c r="C6" s="100"/>
      <c r="D6" s="100"/>
      <c r="E6" s="268" t="s">
        <v>384</v>
      </c>
      <c r="F6"/>
      <c r="G6" s="439">
        <v>0.7196</v>
      </c>
      <c r="H6" s="440"/>
      <c r="I6" s="441">
        <v>0.1918</v>
      </c>
      <c r="J6" s="442"/>
      <c r="K6" s="437">
        <v>0.0886</v>
      </c>
      <c r="L6" s="438"/>
      <c r="M6" s="105">
        <f>SUM(G6:L6)</f>
        <v>1</v>
      </c>
    </row>
    <row r="7" spans="1:13" ht="12.75">
      <c r="A7" s="100"/>
      <c r="B7" s="100"/>
      <c r="C7" s="100"/>
      <c r="D7" s="100"/>
      <c r="E7" s="268" t="s">
        <v>385</v>
      </c>
      <c r="F7"/>
      <c r="G7" s="359"/>
      <c r="H7" s="360"/>
      <c r="I7" s="435">
        <v>0.68157</v>
      </c>
      <c r="J7" s="436"/>
      <c r="K7" s="433">
        <v>0.31843</v>
      </c>
      <c r="L7" s="434"/>
      <c r="M7" s="105">
        <f>SUM(I7:L7)</f>
        <v>1</v>
      </c>
    </row>
    <row r="8" spans="1:13" ht="12.75">
      <c r="A8" s="93"/>
      <c r="B8" s="104" t="s">
        <v>380</v>
      </c>
      <c r="C8" s="102" t="s">
        <v>143</v>
      </c>
      <c r="D8" s="104" t="s">
        <v>381</v>
      </c>
      <c r="E8" s="268" t="s">
        <v>159</v>
      </c>
      <c r="F8"/>
      <c r="G8" s="361"/>
      <c r="H8" s="362"/>
      <c r="I8" s="363">
        <v>0.67404</v>
      </c>
      <c r="J8" s="364">
        <v>0.32596</v>
      </c>
      <c r="K8" s="365">
        <v>1</v>
      </c>
      <c r="L8" s="366"/>
      <c r="M8" s="105">
        <f>SUM(I8:K8)</f>
        <v>2</v>
      </c>
    </row>
    <row r="9" spans="1:13" ht="12.75">
      <c r="A9" s="106" t="s">
        <v>140</v>
      </c>
      <c r="B9" s="269" t="s">
        <v>183</v>
      </c>
      <c r="C9" s="269" t="s">
        <v>184</v>
      </c>
      <c r="D9" s="269" t="s">
        <v>185</v>
      </c>
      <c r="E9" s="106" t="s">
        <v>0</v>
      </c>
      <c r="F9" s="100"/>
      <c r="G9" s="367" t="s">
        <v>169</v>
      </c>
      <c r="H9" s="270" t="s">
        <v>170</v>
      </c>
      <c r="I9" s="367" t="s">
        <v>171</v>
      </c>
      <c r="J9" s="270" t="s">
        <v>172</v>
      </c>
      <c r="K9" s="271" t="s">
        <v>173</v>
      </c>
      <c r="L9" s="271" t="s">
        <v>0</v>
      </c>
      <c r="M9" s="273" t="s">
        <v>3</v>
      </c>
    </row>
    <row r="10" spans="1:13" ht="12.75">
      <c r="A10" s="80">
        <f>'%Exp'!A9</f>
        <v>188</v>
      </c>
      <c r="B10" s="97">
        <f>'%Exp'!N9</f>
        <v>208548</v>
      </c>
      <c r="C10" s="97">
        <f>'%Exp'!O9</f>
        <v>0</v>
      </c>
      <c r="D10" s="97">
        <f>'%Exp'!P9</f>
        <v>0</v>
      </c>
      <c r="E10" s="97">
        <f>SUM(B10:D10)</f>
        <v>208548</v>
      </c>
      <c r="F10" s="99"/>
      <c r="G10" s="99">
        <f>ROUND($B10*$G$6*G$5+$C10*G$4,0)</f>
        <v>97692</v>
      </c>
      <c r="H10" s="99">
        <f>ROUND($B10*$G$6*H$5+$C10*H$4,0)</f>
        <v>52379</v>
      </c>
      <c r="I10" s="99">
        <f>ROUND($B10*$I$6*I$5+$D10*$I$7*I$8,0)</f>
        <v>27002</v>
      </c>
      <c r="J10" s="99">
        <f>ROUND($B10*$I$6*J$5+$D10*$I$7*J$8,0)</f>
        <v>12998</v>
      </c>
      <c r="K10" s="99">
        <f aca="true" t="shared" si="0" ref="K10:K22">ROUND($B10*$K$6*K$5+$D10*$K$7*K$8,0)</f>
        <v>18477</v>
      </c>
      <c r="L10" s="99">
        <f aca="true" t="shared" si="1" ref="L10:L22">SUM(G10:K10)</f>
        <v>208548</v>
      </c>
      <c r="M10" s="99">
        <f aca="true" t="shared" si="2" ref="M10:M22">L10-E10</f>
        <v>0</v>
      </c>
    </row>
    <row r="11" spans="1:13" ht="12.75">
      <c r="A11" s="80">
        <f>'%Exp'!A10</f>
        <v>365</v>
      </c>
      <c r="B11" s="97">
        <f>'%Exp'!N10</f>
        <v>219696</v>
      </c>
      <c r="C11" s="97">
        <f>'%Exp'!O10</f>
        <v>0</v>
      </c>
      <c r="D11" s="97">
        <f>'%Exp'!P10</f>
        <v>0</v>
      </c>
      <c r="E11" s="97">
        <f aca="true" t="shared" si="3" ref="E11:E22">SUM(B11:D11)</f>
        <v>219696</v>
      </c>
      <c r="F11" s="99"/>
      <c r="G11" s="99">
        <f aca="true" t="shared" si="4" ref="G11:H22">ROUND($B11*$G$6*G$5+$C11*G$4,0)</f>
        <v>102914</v>
      </c>
      <c r="H11" s="99">
        <f t="shared" si="4"/>
        <v>55179</v>
      </c>
      <c r="I11" s="99">
        <f aca="true" t="shared" si="5" ref="I11:J22">ROUND($B11*$I$6*I$5+$D11*$I$7*I$8,0)</f>
        <v>28445</v>
      </c>
      <c r="J11" s="99">
        <f t="shared" si="5"/>
        <v>13693</v>
      </c>
      <c r="K11" s="99">
        <f t="shared" si="0"/>
        <v>19465</v>
      </c>
      <c r="L11" s="99">
        <f t="shared" si="1"/>
        <v>219696</v>
      </c>
      <c r="M11" s="99">
        <f t="shared" si="2"/>
        <v>0</v>
      </c>
    </row>
    <row r="12" spans="1:13" ht="12.75">
      <c r="A12" s="242">
        <v>3512</v>
      </c>
      <c r="B12" s="97">
        <f>'%Exp'!N12</f>
        <v>265747</v>
      </c>
      <c r="C12" s="97">
        <f>'%Exp'!O12</f>
        <v>0</v>
      </c>
      <c r="D12" s="97">
        <f>'%Exp'!P12</f>
        <v>0</v>
      </c>
      <c r="E12" s="97">
        <f t="shared" si="3"/>
        <v>265747</v>
      </c>
      <c r="F12" s="99"/>
      <c r="G12" s="99">
        <f>ROUND($B12*$G$6*G$5+$C12*G$4,0)</f>
        <v>124486</v>
      </c>
      <c r="H12" s="99">
        <f>ROUND($B12*$G$6*H$5+$C12*H$4,0)</f>
        <v>66746</v>
      </c>
      <c r="I12" s="99">
        <f>ROUND($B12*$I$6*I$5+$D12*$I$7*I$8,0)</f>
        <v>34407</v>
      </c>
      <c r="J12" s="99">
        <f>ROUND($B12*$I$6*J$5+$D12*$I$7*J$8,0)</f>
        <v>16563</v>
      </c>
      <c r="K12" s="99">
        <f t="shared" si="0"/>
        <v>23545</v>
      </c>
      <c r="L12" s="99">
        <f>SUM(G12:K12)</f>
        <v>265747</v>
      </c>
      <c r="M12" s="99">
        <f>L12-E12</f>
        <v>0</v>
      </c>
    </row>
    <row r="13" spans="1:13" ht="12.75">
      <c r="A13" s="80">
        <f>'%Exp'!A13</f>
        <v>2565</v>
      </c>
      <c r="B13" s="97">
        <f>'%Exp'!N13</f>
        <v>251174</v>
      </c>
      <c r="C13" s="97">
        <f>'%Exp'!O13</f>
        <v>0</v>
      </c>
      <c r="D13" s="97">
        <f>'%Exp'!P13</f>
        <v>0</v>
      </c>
      <c r="E13" s="97">
        <f t="shared" si="3"/>
        <v>251174</v>
      </c>
      <c r="F13" s="99"/>
      <c r="G13" s="99">
        <f>ROUND($B13*$G$6*G$5+$C13*G$4,0)</f>
        <v>117659</v>
      </c>
      <c r="H13" s="99">
        <f>ROUND($B13*$G$6*H$5+$C13*H$4,0)</f>
        <v>63085</v>
      </c>
      <c r="I13" s="99">
        <f>ROUND($B13*$I$6*I$5+$D13*$I$7*I$8,0)</f>
        <v>32521</v>
      </c>
      <c r="J13" s="99">
        <f>ROUND($B13*$I$6*J$5+$D13*$I$7*J$8,0)</f>
        <v>15655</v>
      </c>
      <c r="K13" s="99">
        <f t="shared" si="0"/>
        <v>22254</v>
      </c>
      <c r="L13" s="99">
        <f t="shared" si="1"/>
        <v>251174</v>
      </c>
      <c r="M13" s="99">
        <f t="shared" si="2"/>
        <v>0</v>
      </c>
    </row>
    <row r="14" spans="1:13" ht="12.75">
      <c r="A14" s="80">
        <f>'%Exp'!A14</f>
        <v>11290</v>
      </c>
      <c r="B14" s="97">
        <f>'%Exp'!N14</f>
        <v>165094</v>
      </c>
      <c r="C14" s="97">
        <f>'%Exp'!O14</f>
        <v>0</v>
      </c>
      <c r="D14" s="97">
        <f>'%Exp'!P14</f>
        <v>0</v>
      </c>
      <c r="E14" s="97">
        <f t="shared" si="3"/>
        <v>165094</v>
      </c>
      <c r="F14" s="99"/>
      <c r="G14" s="99">
        <f t="shared" si="4"/>
        <v>77336</v>
      </c>
      <c r="H14" s="99">
        <f t="shared" si="4"/>
        <v>41465</v>
      </c>
      <c r="I14" s="99">
        <f t="shared" si="5"/>
        <v>21375</v>
      </c>
      <c r="J14" s="99">
        <f t="shared" si="5"/>
        <v>10290</v>
      </c>
      <c r="K14" s="99">
        <f t="shared" si="0"/>
        <v>14627</v>
      </c>
      <c r="L14" s="99">
        <f t="shared" si="1"/>
        <v>165093</v>
      </c>
      <c r="M14" s="99">
        <f t="shared" si="2"/>
        <v>-1</v>
      </c>
    </row>
    <row r="15" spans="1:13" ht="12.75">
      <c r="A15" s="80">
        <f>'%Exp'!A15</f>
        <v>45464</v>
      </c>
      <c r="B15" s="97">
        <f>'%Exp'!N15</f>
        <v>185038</v>
      </c>
      <c r="C15" s="97">
        <f>'%Exp'!O15</f>
        <v>0</v>
      </c>
      <c r="D15" s="97">
        <f>'%Exp'!P15</f>
        <v>0</v>
      </c>
      <c r="E15" s="97">
        <f t="shared" si="3"/>
        <v>185038</v>
      </c>
      <c r="F15" s="99"/>
      <c r="G15" s="99">
        <f t="shared" si="4"/>
        <v>86679</v>
      </c>
      <c r="H15" s="99">
        <f t="shared" si="4"/>
        <v>46475</v>
      </c>
      <c r="I15" s="99">
        <f t="shared" si="5"/>
        <v>23958</v>
      </c>
      <c r="J15" s="99">
        <f t="shared" si="5"/>
        <v>11533</v>
      </c>
      <c r="K15" s="99">
        <f t="shared" si="0"/>
        <v>16394</v>
      </c>
      <c r="L15" s="99">
        <f t="shared" si="1"/>
        <v>185039</v>
      </c>
      <c r="M15" s="99">
        <f t="shared" si="2"/>
        <v>1</v>
      </c>
    </row>
    <row r="16" spans="1:13" s="100" customFormat="1" ht="12.75">
      <c r="A16" s="84">
        <f>'%Exp'!A16</f>
        <v>46832</v>
      </c>
      <c r="B16" s="98">
        <f>'%Exp'!N16</f>
        <v>144643</v>
      </c>
      <c r="C16" s="97">
        <f>'%Exp'!O16</f>
        <v>0</v>
      </c>
      <c r="D16" s="97">
        <f>'%Exp'!P16</f>
        <v>0</v>
      </c>
      <c r="E16" s="97">
        <f t="shared" si="3"/>
        <v>144643</v>
      </c>
      <c r="F16" s="99"/>
      <c r="G16" s="99">
        <f t="shared" si="4"/>
        <v>67756</v>
      </c>
      <c r="H16" s="99">
        <f t="shared" si="4"/>
        <v>36329</v>
      </c>
      <c r="I16" s="99">
        <f t="shared" si="5"/>
        <v>18728</v>
      </c>
      <c r="J16" s="99">
        <f t="shared" si="5"/>
        <v>9015</v>
      </c>
      <c r="K16" s="99">
        <f t="shared" si="0"/>
        <v>12815</v>
      </c>
      <c r="L16" s="99">
        <f t="shared" si="1"/>
        <v>144643</v>
      </c>
      <c r="M16" s="99">
        <f t="shared" si="2"/>
        <v>0</v>
      </c>
    </row>
    <row r="17" spans="1:13" ht="12.75">
      <c r="A17" s="80">
        <f>'%Exp'!A17</f>
        <v>61582</v>
      </c>
      <c r="B17" s="97">
        <f>'%Exp'!N17</f>
        <v>551347</v>
      </c>
      <c r="C17" s="97">
        <f>'%Exp'!O17</f>
        <v>0</v>
      </c>
      <c r="D17" s="97">
        <f>'%Exp'!P17</f>
        <v>0</v>
      </c>
      <c r="E17" s="97">
        <f t="shared" si="3"/>
        <v>551347</v>
      </c>
      <c r="F17" s="99"/>
      <c r="G17" s="99">
        <f t="shared" si="4"/>
        <v>258272</v>
      </c>
      <c r="H17" s="99">
        <f t="shared" si="4"/>
        <v>138477</v>
      </c>
      <c r="I17" s="99">
        <f t="shared" si="5"/>
        <v>71385</v>
      </c>
      <c r="J17" s="99">
        <f t="shared" si="5"/>
        <v>34363</v>
      </c>
      <c r="K17" s="99">
        <f t="shared" si="0"/>
        <v>48849</v>
      </c>
      <c r="L17" s="99">
        <f t="shared" si="1"/>
        <v>551346</v>
      </c>
      <c r="M17" s="99">
        <f t="shared" si="2"/>
        <v>-1</v>
      </c>
    </row>
    <row r="18" spans="1:13" ht="12.75">
      <c r="A18" s="80">
        <f>'%Exp'!A18</f>
        <v>64690</v>
      </c>
      <c r="B18" s="97">
        <f>'%Exp'!N18</f>
        <v>172828</v>
      </c>
      <c r="C18" s="97">
        <f>'%Exp'!O18</f>
        <v>0</v>
      </c>
      <c r="D18" s="97">
        <f>'%Exp'!P18</f>
        <v>0</v>
      </c>
      <c r="E18" s="97">
        <f t="shared" si="3"/>
        <v>172828</v>
      </c>
      <c r="F18" s="99"/>
      <c r="G18" s="99">
        <f t="shared" si="4"/>
        <v>80959</v>
      </c>
      <c r="H18" s="99">
        <f t="shared" si="4"/>
        <v>43408</v>
      </c>
      <c r="I18" s="99">
        <f t="shared" si="5"/>
        <v>22377</v>
      </c>
      <c r="J18" s="99">
        <f t="shared" si="5"/>
        <v>10772</v>
      </c>
      <c r="K18" s="99">
        <f t="shared" si="0"/>
        <v>15313</v>
      </c>
      <c r="L18" s="99">
        <f t="shared" si="1"/>
        <v>172829</v>
      </c>
      <c r="M18" s="99">
        <f t="shared" si="2"/>
        <v>1</v>
      </c>
    </row>
    <row r="19" spans="1:13" ht="12.75">
      <c r="A19" s="242">
        <v>88740</v>
      </c>
      <c r="B19" s="97">
        <f>'%Exp'!N19</f>
        <v>243518</v>
      </c>
      <c r="C19" s="97">
        <f>'%Exp'!O19</f>
        <v>0</v>
      </c>
      <c r="D19" s="97">
        <f>'%Exp'!P19</f>
        <v>0</v>
      </c>
      <c r="E19" s="97">
        <f t="shared" si="3"/>
        <v>243518</v>
      </c>
      <c r="F19" s="99"/>
      <c r="G19" s="99">
        <f t="shared" si="4"/>
        <v>114073</v>
      </c>
      <c r="H19" s="99">
        <f t="shared" si="4"/>
        <v>61162</v>
      </c>
      <c r="I19" s="99">
        <f t="shared" si="5"/>
        <v>31529</v>
      </c>
      <c r="J19" s="99">
        <f t="shared" si="5"/>
        <v>15177</v>
      </c>
      <c r="K19" s="99">
        <f t="shared" si="0"/>
        <v>21576</v>
      </c>
      <c r="L19" s="99">
        <f t="shared" si="1"/>
        <v>243517</v>
      </c>
      <c r="M19" s="99">
        <f t="shared" si="2"/>
        <v>-1</v>
      </c>
    </row>
    <row r="20" spans="1:13" ht="12.75">
      <c r="A20" s="241">
        <v>83984</v>
      </c>
      <c r="B20" s="97">
        <f>'%Exp'!N20</f>
        <v>0</v>
      </c>
      <c r="C20" s="97">
        <f>'%Exp'!O20</f>
        <v>129358</v>
      </c>
      <c r="D20" s="97">
        <f>'%Exp'!P20</f>
        <v>56243</v>
      </c>
      <c r="E20" s="97">
        <f t="shared" si="3"/>
        <v>185601</v>
      </c>
      <c r="F20" s="99"/>
      <c r="G20" s="99">
        <f t="shared" si="4"/>
        <v>83552</v>
      </c>
      <c r="H20" s="99">
        <f t="shared" si="4"/>
        <v>45806</v>
      </c>
      <c r="I20" s="99">
        <f t="shared" si="5"/>
        <v>25838</v>
      </c>
      <c r="J20" s="99">
        <f t="shared" si="5"/>
        <v>12495</v>
      </c>
      <c r="K20" s="99">
        <f t="shared" si="0"/>
        <v>17909</v>
      </c>
      <c r="L20" s="99">
        <f>SUM(G20:K20)</f>
        <v>185600</v>
      </c>
      <c r="M20" s="99">
        <f>L20-E20</f>
        <v>-1</v>
      </c>
    </row>
    <row r="21" spans="1:13" ht="12.75">
      <c r="A21" s="80">
        <f>'%Exp'!A21</f>
        <v>93110</v>
      </c>
      <c r="B21" s="97">
        <f>'%Exp'!N21</f>
        <v>183321</v>
      </c>
      <c r="C21" s="97">
        <f>'%Exp'!O21</f>
        <v>0</v>
      </c>
      <c r="D21" s="97">
        <f>'%Exp'!P21</f>
        <v>0</v>
      </c>
      <c r="E21" s="97">
        <f t="shared" si="3"/>
        <v>183321</v>
      </c>
      <c r="F21" s="99"/>
      <c r="G21" s="99">
        <f t="shared" si="4"/>
        <v>85875</v>
      </c>
      <c r="H21" s="99">
        <f t="shared" si="4"/>
        <v>46043</v>
      </c>
      <c r="I21" s="99">
        <f t="shared" si="5"/>
        <v>23735</v>
      </c>
      <c r="J21" s="99">
        <f t="shared" si="5"/>
        <v>11426</v>
      </c>
      <c r="K21" s="99">
        <f t="shared" si="0"/>
        <v>16242</v>
      </c>
      <c r="L21" s="99">
        <f t="shared" si="1"/>
        <v>183321</v>
      </c>
      <c r="M21" s="99">
        <f t="shared" si="2"/>
        <v>0</v>
      </c>
    </row>
    <row r="22" spans="1:13" ht="12.75">
      <c r="A22" s="80">
        <f>'%Exp'!A22</f>
        <v>94440</v>
      </c>
      <c r="B22" s="97">
        <f>'%Exp'!N22</f>
        <v>203152</v>
      </c>
      <c r="C22" s="97">
        <f>'%Exp'!O22</f>
        <v>0</v>
      </c>
      <c r="D22" s="97">
        <f>'%Exp'!P22</f>
        <v>0</v>
      </c>
      <c r="E22" s="97">
        <f t="shared" si="3"/>
        <v>203152</v>
      </c>
      <c r="F22" s="99"/>
      <c r="G22" s="99">
        <f t="shared" si="4"/>
        <v>95164</v>
      </c>
      <c r="H22" s="99">
        <f t="shared" si="4"/>
        <v>51024</v>
      </c>
      <c r="I22" s="99">
        <f t="shared" si="5"/>
        <v>26303</v>
      </c>
      <c r="J22" s="99">
        <f t="shared" si="5"/>
        <v>12662</v>
      </c>
      <c r="K22" s="99">
        <f t="shared" si="0"/>
        <v>17999</v>
      </c>
      <c r="L22" s="99">
        <f t="shared" si="1"/>
        <v>203152</v>
      </c>
      <c r="M22" s="272">
        <f t="shared" si="2"/>
        <v>0</v>
      </c>
    </row>
    <row r="23" spans="1:13" ht="12.75">
      <c r="A23" s="93"/>
      <c r="B23" s="101"/>
      <c r="C23" s="101"/>
      <c r="D23" s="101"/>
      <c r="E23" s="101"/>
      <c r="F23" s="99"/>
      <c r="G23" s="101"/>
      <c r="H23" s="101"/>
      <c r="I23" s="101"/>
      <c r="J23" s="101"/>
      <c r="K23" s="101"/>
      <c r="L23" s="95"/>
      <c r="M23" s="100"/>
    </row>
    <row r="24" spans="1:14" ht="12.75">
      <c r="A24" s="94" t="s">
        <v>0</v>
      </c>
      <c r="B24" s="399">
        <f>SUM(B10:B22)</f>
        <v>2794106</v>
      </c>
      <c r="C24" s="78">
        <f>SUM(C10:C22)</f>
        <v>129358</v>
      </c>
      <c r="D24" s="78">
        <f>SUM(D10:D22)</f>
        <v>56243</v>
      </c>
      <c r="E24" s="401">
        <f>SUM(E10:E22)</f>
        <v>2979707</v>
      </c>
      <c r="F24" s="99"/>
      <c r="G24" s="78">
        <f aca="true" t="shared" si="6" ref="G24:L24">SUM(G10:G22)</f>
        <v>1392417</v>
      </c>
      <c r="H24" s="78">
        <f t="shared" si="6"/>
        <v>747578</v>
      </c>
      <c r="I24" s="78">
        <f t="shared" si="6"/>
        <v>387603</v>
      </c>
      <c r="J24" s="78">
        <f t="shared" si="6"/>
        <v>186642</v>
      </c>
      <c r="K24" s="78">
        <f t="shared" si="6"/>
        <v>265465</v>
      </c>
      <c r="L24" s="401">
        <f t="shared" si="6"/>
        <v>2979705</v>
      </c>
      <c r="M24" s="99">
        <f>SUM(M10:M23)</f>
        <v>-2</v>
      </c>
      <c r="N24" s="78"/>
    </row>
    <row r="25" spans="1:13" ht="18" customHeight="1">
      <c r="A25" s="93"/>
      <c r="B25" s="78"/>
      <c r="C25" s="78"/>
      <c r="D25" s="78"/>
      <c r="E25" s="97"/>
      <c r="F25" s="99"/>
      <c r="G25" s="99"/>
      <c r="H25" s="99"/>
      <c r="I25" s="99"/>
      <c r="J25" s="99"/>
      <c r="K25" s="99"/>
      <c r="L25" s="99"/>
      <c r="M25" s="99"/>
    </row>
    <row r="26" spans="1:13" ht="18" customHeight="1">
      <c r="A26" s="93"/>
      <c r="B26" s="171" t="s">
        <v>160</v>
      </c>
      <c r="C26" s="172"/>
      <c r="D26" s="172"/>
      <c r="E26" s="166"/>
      <c r="F26" s="99"/>
      <c r="G26" s="395">
        <v>1.17</v>
      </c>
      <c r="H26" s="131">
        <f>G26</f>
        <v>1.17</v>
      </c>
      <c r="I26" s="131">
        <f>H26</f>
        <v>1.17</v>
      </c>
      <c r="J26" s="131">
        <f>I26</f>
        <v>1.17</v>
      </c>
      <c r="K26" s="131">
        <f>J26</f>
        <v>1.17</v>
      </c>
      <c r="L26" s="131">
        <f>K26</f>
        <v>1.17</v>
      </c>
      <c r="M26" s="99"/>
    </row>
    <row r="27" spans="1:13" s="110" customFormat="1" ht="26.25" customHeight="1" thickBot="1">
      <c r="A27" s="107"/>
      <c r="B27" s="107" t="s">
        <v>347</v>
      </c>
      <c r="C27" s="108"/>
      <c r="D27" s="108"/>
      <c r="E27" s="108"/>
      <c r="F27" s="109"/>
      <c r="G27" s="98">
        <f>ROUND(G24*G26,0)</f>
        <v>1629128</v>
      </c>
      <c r="H27" s="98">
        <f>ROUND(H24*H26,0)</f>
        <v>874666</v>
      </c>
      <c r="I27" s="142">
        <f>ROUND(I24*I26,0)</f>
        <v>453496</v>
      </c>
      <c r="J27" s="142">
        <f>ROUND(J24*J26,0)</f>
        <v>218371</v>
      </c>
      <c r="K27" s="142">
        <f>ROUND(K24*K26,0)</f>
        <v>310594</v>
      </c>
      <c r="L27" s="142">
        <f>SUM(G27:K27)</f>
        <v>3486255</v>
      </c>
      <c r="M27" s="182">
        <f>L24*L26</f>
        <v>3486255</v>
      </c>
    </row>
    <row r="28" spans="1:13" ht="13.5" thickTop="1">
      <c r="A28" s="93"/>
      <c r="F28" s="100"/>
      <c r="G28" s="111"/>
      <c r="H28" s="111"/>
      <c r="I28" s="98"/>
      <c r="J28" s="98"/>
      <c r="K28" s="99"/>
      <c r="L28" s="99"/>
      <c r="M28" s="100" t="s">
        <v>292</v>
      </c>
    </row>
    <row r="29" spans="1:13" ht="12.75">
      <c r="A29" s="93"/>
      <c r="C29" s="129" t="s">
        <v>161</v>
      </c>
      <c r="F29" s="100"/>
      <c r="G29" s="99"/>
      <c r="H29" s="112"/>
      <c r="I29" s="99"/>
      <c r="J29" s="112"/>
      <c r="K29" s="100"/>
      <c r="L29" s="100"/>
      <c r="M29" s="100"/>
    </row>
    <row r="30" spans="2:12" ht="12.75">
      <c r="B30" s="78"/>
      <c r="C30" s="78"/>
      <c r="D30" s="78"/>
      <c r="E30" s="128">
        <v>920</v>
      </c>
      <c r="F30" s="78"/>
      <c r="G30" s="97">
        <f>ROUND($B24*$G6*G5,0)</f>
        <v>1308865</v>
      </c>
      <c r="H30" s="97">
        <f>ROUND($B24*$G6*H5,0)-1</f>
        <v>701772</v>
      </c>
      <c r="I30" s="97">
        <f>ROUND($B24*$I6*I5,0)</f>
        <v>361766</v>
      </c>
      <c r="J30" s="166">
        <f>ROUND($B24*$I6*J5,0)+4</f>
        <v>174148</v>
      </c>
      <c r="K30" s="97">
        <f>ROUND($B24*$K6*K5,0)-2</f>
        <v>247556</v>
      </c>
      <c r="L30" s="78">
        <f>SUM(G30:K30)</f>
        <v>2794107</v>
      </c>
    </row>
    <row r="31" spans="5:12" ht="12.75">
      <c r="E31" s="128">
        <v>557</v>
      </c>
      <c r="G31" s="97">
        <f>ROUND($C24*G4,0)</f>
        <v>83552</v>
      </c>
      <c r="H31" s="97">
        <f>ROUND($C24*H4,0)</f>
        <v>45806</v>
      </c>
      <c r="I31" s="97"/>
      <c r="J31" s="97"/>
      <c r="K31" s="97"/>
      <c r="L31" s="78">
        <f>SUM(G31:K31)</f>
        <v>129358</v>
      </c>
    </row>
    <row r="32" spans="5:12" ht="12.75">
      <c r="E32" s="128">
        <v>813</v>
      </c>
      <c r="G32" s="127"/>
      <c r="H32" s="127"/>
      <c r="I32" s="127">
        <f>ROUND($D24*$I7*I8,0)</f>
        <v>25838</v>
      </c>
      <c r="J32" s="127">
        <f>ROUND($D24*$I7*J8,0)</f>
        <v>12495</v>
      </c>
      <c r="K32" s="127">
        <f>ROUND($D24*$K7*K8,0)</f>
        <v>17909</v>
      </c>
      <c r="L32" s="127">
        <f>SUM(G32:K32)</f>
        <v>56242</v>
      </c>
    </row>
    <row r="33" spans="5:12" ht="12.75">
      <c r="E33" s="128"/>
      <c r="G33" s="78">
        <f>SUM(G30:G32)</f>
        <v>1392417</v>
      </c>
      <c r="H33" s="78">
        <f>SUM(H30:H32)</f>
        <v>747578</v>
      </c>
      <c r="I33" s="78">
        <f>SUM(I30:I32)</f>
        <v>387604</v>
      </c>
      <c r="J33" s="78">
        <f>SUM(J30:J32)</f>
        <v>186643</v>
      </c>
      <c r="K33" s="78">
        <f>SUM(K30:K32)</f>
        <v>265465</v>
      </c>
      <c r="L33" s="401">
        <f>SUM(G33:K33)</f>
        <v>2979707</v>
      </c>
    </row>
    <row r="34" spans="3:5" ht="12.75">
      <c r="C34" s="129" t="s">
        <v>162</v>
      </c>
      <c r="E34" s="128"/>
    </row>
    <row r="35" spans="5:12" ht="12.75">
      <c r="E35" s="128">
        <v>920</v>
      </c>
      <c r="F35" s="78"/>
      <c r="G35" s="97">
        <f>ROUND(G30*G$26,0)</f>
        <v>1531372</v>
      </c>
      <c r="H35" s="97">
        <f>ROUND(H30*H$26,0)</f>
        <v>821073</v>
      </c>
      <c r="I35" s="97">
        <f aca="true" t="shared" si="7" ref="G35:K37">ROUND(I30*I$26,0)</f>
        <v>423266</v>
      </c>
      <c r="J35" s="97">
        <f>ROUND(J30*J$26,0)</f>
        <v>203753</v>
      </c>
      <c r="K35" s="97">
        <f t="shared" si="7"/>
        <v>289641</v>
      </c>
      <c r="L35" s="78">
        <f>SUM(G35:K35)</f>
        <v>3269105</v>
      </c>
    </row>
    <row r="36" spans="2:12" s="96" customFormat="1" ht="12.75">
      <c r="B36" s="113"/>
      <c r="C36" s="113"/>
      <c r="D36" s="113"/>
      <c r="E36" s="128">
        <v>557</v>
      </c>
      <c r="F36" s="88"/>
      <c r="G36" s="97">
        <f t="shared" si="7"/>
        <v>97756</v>
      </c>
      <c r="H36" s="97">
        <f t="shared" si="7"/>
        <v>53593</v>
      </c>
      <c r="I36" s="97">
        <f t="shared" si="7"/>
        <v>0</v>
      </c>
      <c r="J36" s="97">
        <f t="shared" si="7"/>
        <v>0</v>
      </c>
      <c r="K36" s="97">
        <f t="shared" si="7"/>
        <v>0</v>
      </c>
      <c r="L36" s="78">
        <f>SUM(G36:K36)</f>
        <v>151349</v>
      </c>
    </row>
    <row r="37" spans="5:12" ht="12.75">
      <c r="E37" s="128">
        <v>813</v>
      </c>
      <c r="G37" s="127">
        <f t="shared" si="7"/>
        <v>0</v>
      </c>
      <c r="H37" s="127">
        <f t="shared" si="7"/>
        <v>0</v>
      </c>
      <c r="I37" s="127">
        <f t="shared" si="7"/>
        <v>30230</v>
      </c>
      <c r="J37" s="127">
        <f t="shared" si="7"/>
        <v>14619</v>
      </c>
      <c r="K37" s="127">
        <f t="shared" si="7"/>
        <v>20954</v>
      </c>
      <c r="L37" s="127">
        <f>SUM(G37:K37)</f>
        <v>65803</v>
      </c>
    </row>
    <row r="38" spans="7:12" ht="12.75">
      <c r="G38" s="78">
        <f>SUM(G35:G37)</f>
        <v>1629128</v>
      </c>
      <c r="H38" s="78">
        <f>SUM(H35:H37)</f>
        <v>874666</v>
      </c>
      <c r="I38" s="78">
        <f>SUM(I35:I37)</f>
        <v>453496</v>
      </c>
      <c r="J38" s="78">
        <f>SUM(J35:J37)</f>
        <v>218372</v>
      </c>
      <c r="K38" s="172">
        <f>SUM(K35:K37)</f>
        <v>310595</v>
      </c>
      <c r="L38" s="78">
        <f>SUM(G38:K38)</f>
        <v>3486257</v>
      </c>
    </row>
  </sheetData>
  <mergeCells count="7">
    <mergeCell ref="G3:H3"/>
    <mergeCell ref="I3:L3"/>
    <mergeCell ref="K7:L7"/>
    <mergeCell ref="I7:J7"/>
    <mergeCell ref="K6:L6"/>
    <mergeCell ref="G6:H6"/>
    <mergeCell ref="I6:J6"/>
  </mergeCells>
  <printOptions/>
  <pageMargins left="0.51" right="0.58" top="1" bottom="1" header="0.5" footer="0.5"/>
  <pageSetup fitToHeight="1" fitToWidth="1" horizontalDpi="300" verticalDpi="300" orientation="portrait" scale="82" r:id="rId3"/>
  <headerFooter alignWithMargins="0">
    <oddFooter>&amp;C&amp;"Arial Narrow,Regular"&amp;8&amp;f&amp;R&amp;"Arial Narrow,Regular"&amp;8km Rates 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workbookViewId="0" topLeftCell="A1">
      <selection activeCell="E20" sqref="E20"/>
    </sheetView>
  </sheetViews>
  <sheetFormatPr defaultColWidth="9.33203125" defaultRowHeight="12.75"/>
  <cols>
    <col min="1" max="1" width="9.66015625" style="74" bestFit="1" customWidth="1"/>
    <col min="2" max="2" width="10.33203125" style="74" customWidth="1"/>
    <col min="3" max="4" width="10.16015625" style="74" customWidth="1"/>
    <col min="5" max="5" width="10" style="74" customWidth="1"/>
    <col min="6" max="6" width="11.5" style="74" customWidth="1"/>
    <col min="7" max="7" width="3" style="74" customWidth="1"/>
    <col min="8" max="8" width="11" style="74" customWidth="1"/>
    <col min="9" max="9" width="8.16015625" style="74" customWidth="1"/>
    <col min="10" max="12" width="7.16015625" style="74" customWidth="1"/>
    <col min="13" max="13" width="7.83203125" style="74" customWidth="1"/>
    <col min="14" max="14" width="9.83203125" style="74" customWidth="1"/>
    <col min="15" max="15" width="8.5" style="74" customWidth="1"/>
    <col min="16" max="17" width="8.16015625" style="74" customWidth="1"/>
    <col min="18" max="19" width="9.83203125" style="74" customWidth="1"/>
    <col min="20" max="20" width="2.5" style="74" customWidth="1"/>
    <col min="21" max="21" width="10.33203125" style="74" customWidth="1"/>
    <col min="22" max="22" width="3.16015625" style="74" customWidth="1"/>
    <col min="23" max="25" width="10.83203125" style="74" bestFit="1" customWidth="1"/>
    <col min="26" max="26" width="2" style="74" customWidth="1"/>
    <col min="27" max="28" width="9.33203125" style="74" customWidth="1"/>
    <col min="29" max="29" width="12" style="74" customWidth="1"/>
    <col min="30" max="16384" width="9.33203125" style="74" customWidth="1"/>
  </cols>
  <sheetData>
    <row r="1" ht="18.75">
      <c r="A1" s="73" t="str">
        <f>'Pro Forma Spread'!A1</f>
        <v>Avista Utilities</v>
      </c>
    </row>
    <row r="2" ht="15.75">
      <c r="A2" s="158" t="s">
        <v>414</v>
      </c>
    </row>
    <row r="3" ht="15.75">
      <c r="A3" s="75" t="str">
        <f>Summary!A3</f>
        <v>Twelve Months Ended September 30, 2008</v>
      </c>
    </row>
    <row r="4" ht="12.75">
      <c r="A4" s="76"/>
    </row>
    <row r="5" spans="1:7" ht="15.75">
      <c r="A5" s="136" t="s">
        <v>342</v>
      </c>
      <c r="B5" s="77"/>
      <c r="C5" s="77"/>
      <c r="D5" s="77"/>
      <c r="E5" s="77"/>
      <c r="F5" s="143"/>
      <c r="G5" s="143"/>
    </row>
    <row r="6" spans="1:25" ht="12.75">
      <c r="A6" s="78"/>
      <c r="B6" s="78"/>
      <c r="C6" s="78"/>
      <c r="D6" s="78"/>
      <c r="E6" s="78"/>
      <c r="F6" s="308" t="s">
        <v>45</v>
      </c>
      <c r="G6" s="79"/>
      <c r="W6" s="25"/>
      <c r="X6" s="368">
        <v>0.038</v>
      </c>
      <c r="Y6" s="368">
        <v>0.038</v>
      </c>
    </row>
    <row r="7" spans="1:25" s="103" customFormat="1" ht="12.75">
      <c r="A7" s="130"/>
      <c r="B7" s="214">
        <v>2008</v>
      </c>
      <c r="C7" s="115" t="s">
        <v>164</v>
      </c>
      <c r="E7" s="115">
        <f>B7</f>
        <v>2008</v>
      </c>
      <c r="F7" s="310" t="s">
        <v>419</v>
      </c>
      <c r="G7" s="183"/>
      <c r="H7" s="137" t="s">
        <v>420</v>
      </c>
      <c r="I7" s="443" t="s">
        <v>354</v>
      </c>
      <c r="J7" s="443"/>
      <c r="K7" s="443"/>
      <c r="L7" s="443"/>
      <c r="M7" s="443"/>
      <c r="N7" s="443" t="s">
        <v>355</v>
      </c>
      <c r="O7" s="443"/>
      <c r="P7" s="443"/>
      <c r="Q7" s="443"/>
      <c r="R7" s="443"/>
      <c r="S7" s="290"/>
      <c r="W7" s="215">
        <v>2008</v>
      </c>
      <c r="X7" s="215">
        <v>2009</v>
      </c>
      <c r="Y7" s="289">
        <v>2010</v>
      </c>
    </row>
    <row r="8" spans="1:25" s="103" customFormat="1" ht="12.75">
      <c r="A8" s="135" t="s">
        <v>140</v>
      </c>
      <c r="B8" s="135" t="s">
        <v>141</v>
      </c>
      <c r="C8" s="135" t="s">
        <v>286</v>
      </c>
      <c r="D8" s="134">
        <f>B7</f>
        <v>2008</v>
      </c>
      <c r="E8" s="135" t="s">
        <v>139</v>
      </c>
      <c r="F8" s="138" t="s">
        <v>106</v>
      </c>
      <c r="G8" s="138"/>
      <c r="H8" s="138" t="s">
        <v>142</v>
      </c>
      <c r="I8" s="291">
        <v>920</v>
      </c>
      <c r="J8" s="291">
        <v>557</v>
      </c>
      <c r="K8" s="291">
        <v>813</v>
      </c>
      <c r="L8" s="291" t="s">
        <v>177</v>
      </c>
      <c r="M8" s="291">
        <v>417</v>
      </c>
      <c r="N8" s="291">
        <v>920</v>
      </c>
      <c r="O8" s="291">
        <v>557</v>
      </c>
      <c r="P8" s="291">
        <v>813</v>
      </c>
      <c r="Q8" s="291" t="s">
        <v>177</v>
      </c>
      <c r="R8" s="291">
        <v>417</v>
      </c>
      <c r="S8" s="253" t="s">
        <v>0</v>
      </c>
      <c r="T8" s="292"/>
      <c r="U8" s="253" t="s">
        <v>147</v>
      </c>
      <c r="W8" s="138" t="s">
        <v>106</v>
      </c>
      <c r="X8" s="138" t="s">
        <v>106</v>
      </c>
      <c r="Y8" s="138" t="s">
        <v>106</v>
      </c>
    </row>
    <row r="9" spans="1:32" s="25" customFormat="1" ht="12.75">
      <c r="A9" s="241">
        <v>188</v>
      </c>
      <c r="B9" s="235">
        <v>235384</v>
      </c>
      <c r="C9" s="235">
        <f>18153.88+6307.72</f>
        <v>24462</v>
      </c>
      <c r="D9" s="83">
        <f>B9-C9</f>
        <v>210922</v>
      </c>
      <c r="E9" s="85">
        <f>ROUND((B9-C9)/B9,4)</f>
        <v>0.8961</v>
      </c>
      <c r="F9" s="83">
        <f aca="true" t="shared" si="0" ref="F9:F22">Y9</f>
        <v>258587</v>
      </c>
      <c r="G9" s="83"/>
      <c r="H9" s="86">
        <f>ROUND(E9*F9,0)</f>
        <v>231720</v>
      </c>
      <c r="I9" s="208">
        <v>0.9</v>
      </c>
      <c r="J9" s="208"/>
      <c r="K9" s="208"/>
      <c r="L9" s="208"/>
      <c r="M9" s="208">
        <f aca="true" t="shared" si="1" ref="M9:M15">100%-I9</f>
        <v>0.1</v>
      </c>
      <c r="N9" s="74">
        <f>ROUND($H9*I9,0)</f>
        <v>208548</v>
      </c>
      <c r="O9" s="74">
        <f aca="true" t="shared" si="2" ref="O9:O22">ROUND($H9*J9,0)</f>
        <v>0</v>
      </c>
      <c r="P9" s="74">
        <f aca="true" t="shared" si="3" ref="P9:Q22">ROUND($H9*K9,0)</f>
        <v>0</v>
      </c>
      <c r="Q9" s="74">
        <f t="shared" si="3"/>
        <v>0</v>
      </c>
      <c r="R9" s="74">
        <f aca="true" t="shared" si="4" ref="R9:R22">ROUND($H9*M9,0)</f>
        <v>23172</v>
      </c>
      <c r="S9" s="74">
        <f>SUM(N9:R9)</f>
        <v>231720</v>
      </c>
      <c r="U9" s="25">
        <f aca="true" t="shared" si="5" ref="U9:U22">H9-D9</f>
        <v>20798</v>
      </c>
      <c r="W9" s="254">
        <f>'Exec Report'!D6</f>
        <v>240000</v>
      </c>
      <c r="X9" s="254">
        <f>ROUND((1+$X$6)*W9,0)</f>
        <v>249120</v>
      </c>
      <c r="Y9" s="254">
        <f>ROUND((1+$Y$6)*X9,0)</f>
        <v>258587</v>
      </c>
      <c r="AA9" s="241"/>
      <c r="AC9" s="262"/>
      <c r="AD9" s="263"/>
      <c r="AE9" s="206"/>
      <c r="AF9" s="206"/>
    </row>
    <row r="10" spans="1:32" ht="12.75">
      <c r="A10" s="241">
        <v>365</v>
      </c>
      <c r="B10" s="235">
        <f>254744.32-14743.92</f>
        <v>240000</v>
      </c>
      <c r="C10" s="235">
        <f>13846.2+6461.56</f>
        <v>20308</v>
      </c>
      <c r="D10" s="83">
        <f aca="true" t="shared" si="6" ref="D10:D16">B10-C10</f>
        <v>219692</v>
      </c>
      <c r="E10" s="85">
        <f aca="true" t="shared" si="7" ref="E10:E16">ROUND((B10-C10)/B10,4)</f>
        <v>0.9154</v>
      </c>
      <c r="F10" s="83">
        <f t="shared" si="0"/>
        <v>240000</v>
      </c>
      <c r="G10" s="83"/>
      <c r="H10" s="86">
        <f aca="true" t="shared" si="8" ref="H10:H22">ROUND(E10*F10,0)</f>
        <v>219696</v>
      </c>
      <c r="I10" s="208">
        <v>1</v>
      </c>
      <c r="J10" s="208"/>
      <c r="K10" s="208"/>
      <c r="L10" s="208"/>
      <c r="M10" s="208">
        <f t="shared" si="1"/>
        <v>0</v>
      </c>
      <c r="N10" s="74">
        <f aca="true" t="shared" si="9" ref="N10:N22">ROUND($H10*I10,0)</f>
        <v>219696</v>
      </c>
      <c r="O10" s="74">
        <f t="shared" si="2"/>
        <v>0</v>
      </c>
      <c r="P10" s="74">
        <f t="shared" si="3"/>
        <v>0</v>
      </c>
      <c r="Q10" s="74">
        <f t="shared" si="3"/>
        <v>0</v>
      </c>
      <c r="R10" s="74">
        <f t="shared" si="4"/>
        <v>0</v>
      </c>
      <c r="S10" s="74">
        <f aca="true" t="shared" si="10" ref="S10:S22">SUM(N10:R10)</f>
        <v>219696</v>
      </c>
      <c r="U10" s="25">
        <f t="shared" si="5"/>
        <v>4</v>
      </c>
      <c r="V10" s="25"/>
      <c r="W10" s="254">
        <f>'Exec Report'!D10</f>
        <v>240000</v>
      </c>
      <c r="X10" s="254">
        <f>W10</f>
        <v>240000</v>
      </c>
      <c r="Y10" s="254">
        <f>X10</f>
        <v>240000</v>
      </c>
      <c r="AA10" s="241"/>
      <c r="AC10" s="262"/>
      <c r="AD10" s="263"/>
      <c r="AE10" s="264"/>
      <c r="AF10" s="264"/>
    </row>
    <row r="11" spans="1:32" ht="12.75">
      <c r="A11" s="427">
        <v>1863</v>
      </c>
      <c r="B11" s="235">
        <v>358077</v>
      </c>
      <c r="C11" s="235">
        <f>55346.15+9596.14</f>
        <v>64942</v>
      </c>
      <c r="D11" s="81">
        <f t="shared" si="6"/>
        <v>293135</v>
      </c>
      <c r="E11" s="82">
        <f t="shared" si="7"/>
        <v>0.8186</v>
      </c>
      <c r="F11" s="83"/>
      <c r="G11" s="83"/>
      <c r="H11" s="86">
        <f t="shared" si="8"/>
        <v>0</v>
      </c>
      <c r="I11" s="208">
        <v>0</v>
      </c>
      <c r="J11" s="208"/>
      <c r="K11" s="208"/>
      <c r="L11" s="208"/>
      <c r="M11" s="208">
        <v>0</v>
      </c>
      <c r="N11" s="74">
        <f>ROUND($H11*I11,0)</f>
        <v>0</v>
      </c>
      <c r="O11" s="74">
        <f t="shared" si="2"/>
        <v>0</v>
      </c>
      <c r="P11" s="74">
        <f t="shared" si="3"/>
        <v>0</v>
      </c>
      <c r="Q11" s="74">
        <f t="shared" si="3"/>
        <v>0</v>
      </c>
      <c r="R11" s="74">
        <f t="shared" si="4"/>
        <v>0</v>
      </c>
      <c r="S11" s="74">
        <f t="shared" si="10"/>
        <v>0</v>
      </c>
      <c r="U11" s="25">
        <f t="shared" si="5"/>
        <v>-293135</v>
      </c>
      <c r="V11" s="25"/>
      <c r="W11" s="254"/>
      <c r="X11" s="254">
        <f aca="true" t="shared" si="11" ref="X11:X22">ROUND((1+$X$6)*W11,0)</f>
        <v>0</v>
      </c>
      <c r="Y11" s="254">
        <f aca="true" t="shared" si="12" ref="Y11:Y22">ROUND((1+$Y$6)*X11,0)</f>
        <v>0</v>
      </c>
      <c r="AA11" s="241"/>
      <c r="AC11" s="262"/>
      <c r="AD11" s="263"/>
      <c r="AE11" s="264"/>
      <c r="AF11" s="264"/>
    </row>
    <row r="12" spans="1:32" ht="12.75">
      <c r="A12" s="427">
        <v>3512</v>
      </c>
      <c r="B12" s="235">
        <v>0</v>
      </c>
      <c r="C12" s="235">
        <v>0</v>
      </c>
      <c r="D12" s="239">
        <v>0</v>
      </c>
      <c r="E12" s="425">
        <v>0.87</v>
      </c>
      <c r="F12" s="83">
        <f t="shared" si="0"/>
        <v>339395</v>
      </c>
      <c r="G12" s="83"/>
      <c r="H12" s="86">
        <f t="shared" si="8"/>
        <v>295274</v>
      </c>
      <c r="I12" s="208">
        <v>0.9</v>
      </c>
      <c r="J12" s="208"/>
      <c r="K12" s="208"/>
      <c r="L12" s="208"/>
      <c r="M12" s="208">
        <v>0.1</v>
      </c>
      <c r="N12" s="74">
        <f>ROUND($H12*I12,0)</f>
        <v>265747</v>
      </c>
      <c r="O12" s="74">
        <f aca="true" t="shared" si="13" ref="O12:R13">ROUND($H12*J12,0)</f>
        <v>0</v>
      </c>
      <c r="P12" s="74">
        <f t="shared" si="13"/>
        <v>0</v>
      </c>
      <c r="Q12" s="74">
        <f t="shared" si="13"/>
        <v>0</v>
      </c>
      <c r="R12" s="74">
        <f t="shared" si="13"/>
        <v>29527</v>
      </c>
      <c r="S12" s="74">
        <f>SUM(N12:R12)</f>
        <v>295274</v>
      </c>
      <c r="U12" s="25">
        <f t="shared" si="5"/>
        <v>295274</v>
      </c>
      <c r="V12" s="25"/>
      <c r="W12" s="254">
        <v>0</v>
      </c>
      <c r="X12" s="254">
        <f>ROUND((1+$X$6)*315000,0)</f>
        <v>326970</v>
      </c>
      <c r="Y12" s="254">
        <f t="shared" si="12"/>
        <v>339395</v>
      </c>
      <c r="AA12" s="241"/>
      <c r="AC12" s="262"/>
      <c r="AD12" s="263"/>
      <c r="AE12" s="264"/>
      <c r="AF12" s="264"/>
    </row>
    <row r="13" spans="1:32" ht="12.75">
      <c r="A13" s="241">
        <v>2565</v>
      </c>
      <c r="B13" s="235">
        <v>270381</v>
      </c>
      <c r="C13" s="235">
        <f>7403.83+7249.87+264.42+793.27</f>
        <v>15711</v>
      </c>
      <c r="D13" s="81">
        <f t="shared" si="6"/>
        <v>254670</v>
      </c>
      <c r="E13" s="82">
        <f t="shared" si="7"/>
        <v>0.9419</v>
      </c>
      <c r="F13" s="83">
        <f>Y13</f>
        <v>296297</v>
      </c>
      <c r="G13" s="83"/>
      <c r="H13" s="86">
        <f>ROUND(E13*F13,0)</f>
        <v>279082</v>
      </c>
      <c r="I13" s="208">
        <v>0.9</v>
      </c>
      <c r="J13" s="208"/>
      <c r="K13" s="208"/>
      <c r="L13" s="208"/>
      <c r="M13" s="208">
        <f t="shared" si="1"/>
        <v>0.1</v>
      </c>
      <c r="N13" s="74">
        <f>ROUND($H13*I13,0)</f>
        <v>251174</v>
      </c>
      <c r="O13" s="74">
        <f t="shared" si="13"/>
        <v>0</v>
      </c>
      <c r="P13" s="74">
        <f t="shared" si="13"/>
        <v>0</v>
      </c>
      <c r="Q13" s="74">
        <f t="shared" si="13"/>
        <v>0</v>
      </c>
      <c r="R13" s="74">
        <f t="shared" si="13"/>
        <v>27908</v>
      </c>
      <c r="S13" s="74">
        <f>SUM(N13:R13)</f>
        <v>279082</v>
      </c>
      <c r="U13" s="25">
        <f t="shared" si="5"/>
        <v>24412</v>
      </c>
      <c r="V13" s="25"/>
      <c r="W13" s="254">
        <f>'Exec Report'!D5</f>
        <v>275000</v>
      </c>
      <c r="X13" s="254">
        <f t="shared" si="11"/>
        <v>285450</v>
      </c>
      <c r="Y13" s="254">
        <f t="shared" si="12"/>
        <v>296297</v>
      </c>
      <c r="AA13" s="241"/>
      <c r="AC13" s="262"/>
      <c r="AD13" s="263"/>
      <c r="AE13" s="264"/>
      <c r="AF13" s="264"/>
    </row>
    <row r="14" spans="1:32" s="87" customFormat="1" ht="12.75">
      <c r="A14" s="241">
        <v>11290</v>
      </c>
      <c r="B14" s="235">
        <v>202691</v>
      </c>
      <c r="C14" s="235">
        <f>27345.85+1576.96+5442.22</f>
        <v>34365</v>
      </c>
      <c r="D14" s="83">
        <f t="shared" si="6"/>
        <v>168326</v>
      </c>
      <c r="E14" s="85">
        <f t="shared" si="7"/>
        <v>0.8305</v>
      </c>
      <c r="F14" s="83">
        <f t="shared" si="0"/>
        <v>220876</v>
      </c>
      <c r="G14" s="83"/>
      <c r="H14" s="86">
        <f t="shared" si="8"/>
        <v>183438</v>
      </c>
      <c r="I14" s="208">
        <v>0.9</v>
      </c>
      <c r="J14" s="208"/>
      <c r="K14" s="208"/>
      <c r="L14" s="208"/>
      <c r="M14" s="208">
        <f t="shared" si="1"/>
        <v>0.1</v>
      </c>
      <c r="N14" s="74">
        <f t="shared" si="9"/>
        <v>165094</v>
      </c>
      <c r="O14" s="74">
        <f t="shared" si="2"/>
        <v>0</v>
      </c>
      <c r="P14" s="74">
        <f t="shared" si="3"/>
        <v>0</v>
      </c>
      <c r="Q14" s="74">
        <f t="shared" si="3"/>
        <v>0</v>
      </c>
      <c r="R14" s="74">
        <f t="shared" si="4"/>
        <v>18344</v>
      </c>
      <c r="S14" s="74">
        <f t="shared" si="10"/>
        <v>183438</v>
      </c>
      <c r="U14" s="25">
        <f t="shared" si="5"/>
        <v>15112</v>
      </c>
      <c r="V14" s="25"/>
      <c r="W14" s="254">
        <f>'Exec Report'!D7</f>
        <v>205000</v>
      </c>
      <c r="X14" s="254">
        <f t="shared" si="11"/>
        <v>212790</v>
      </c>
      <c r="Y14" s="254">
        <f t="shared" si="12"/>
        <v>220876</v>
      </c>
      <c r="AA14" s="241"/>
      <c r="AC14" s="262"/>
      <c r="AD14" s="263"/>
      <c r="AE14" s="265"/>
      <c r="AF14" s="265"/>
    </row>
    <row r="15" spans="1:32" s="87" customFormat="1" ht="12.75">
      <c r="A15" s="241">
        <v>45464</v>
      </c>
      <c r="B15" s="235">
        <v>190031</v>
      </c>
      <c r="C15" s="235">
        <f>13647.25+5084.36+2250</f>
        <v>20982</v>
      </c>
      <c r="D15" s="83">
        <f t="shared" si="6"/>
        <v>169049</v>
      </c>
      <c r="E15" s="85">
        <f t="shared" si="7"/>
        <v>0.8896</v>
      </c>
      <c r="F15" s="83">
        <f t="shared" si="0"/>
        <v>210102</v>
      </c>
      <c r="G15" s="83"/>
      <c r="H15" s="86">
        <f t="shared" si="8"/>
        <v>186907</v>
      </c>
      <c r="I15" s="208">
        <v>0.99</v>
      </c>
      <c r="J15" s="208"/>
      <c r="K15" s="208"/>
      <c r="L15" s="208"/>
      <c r="M15" s="208">
        <f t="shared" si="1"/>
        <v>0.01</v>
      </c>
      <c r="N15" s="74">
        <f t="shared" si="9"/>
        <v>185038</v>
      </c>
      <c r="O15" s="74">
        <f aca="true" t="shared" si="14" ref="O15:R16">ROUND($H15*J15,0)</f>
        <v>0</v>
      </c>
      <c r="P15" s="74">
        <f t="shared" si="14"/>
        <v>0</v>
      </c>
      <c r="Q15" s="74">
        <f t="shared" si="14"/>
        <v>0</v>
      </c>
      <c r="R15" s="74">
        <f t="shared" si="14"/>
        <v>1869</v>
      </c>
      <c r="S15" s="74">
        <f>SUM(N15:R15)</f>
        <v>186907</v>
      </c>
      <c r="U15" s="25">
        <f t="shared" si="5"/>
        <v>17858</v>
      </c>
      <c r="V15" s="25"/>
      <c r="W15" s="254">
        <f>'Exec Report'!D8</f>
        <v>195000</v>
      </c>
      <c r="X15" s="254">
        <f t="shared" si="11"/>
        <v>202410</v>
      </c>
      <c r="Y15" s="254">
        <f t="shared" si="12"/>
        <v>210102</v>
      </c>
      <c r="AA15" s="241"/>
      <c r="AC15" s="262"/>
      <c r="AD15" s="263"/>
      <c r="AE15" s="265"/>
      <c r="AF15" s="265"/>
    </row>
    <row r="16" spans="1:32" s="25" customFormat="1" ht="12.75">
      <c r="A16" s="241">
        <v>46832</v>
      </c>
      <c r="B16" s="235">
        <v>243460</v>
      </c>
      <c r="C16" s="235">
        <f>19730.82+6480.79</f>
        <v>26212</v>
      </c>
      <c r="D16" s="83">
        <f t="shared" si="6"/>
        <v>217248</v>
      </c>
      <c r="E16" s="85">
        <f t="shared" si="7"/>
        <v>0.8923</v>
      </c>
      <c r="F16" s="83">
        <f t="shared" si="0"/>
        <v>274748</v>
      </c>
      <c r="G16" s="196"/>
      <c r="H16" s="86">
        <f>ROUND(E16*F16,0)</f>
        <v>245158</v>
      </c>
      <c r="I16" s="208">
        <v>0.59</v>
      </c>
      <c r="J16" s="208"/>
      <c r="K16" s="208"/>
      <c r="L16" s="208">
        <v>0.4</v>
      </c>
      <c r="M16" s="208">
        <f>100%-I16-J16-K16-L16</f>
        <v>0.01</v>
      </c>
      <c r="N16" s="25">
        <f>ROUND($H16*I16,0)</f>
        <v>144643</v>
      </c>
      <c r="O16" s="25">
        <f t="shared" si="14"/>
        <v>0</v>
      </c>
      <c r="P16" s="25">
        <f t="shared" si="14"/>
        <v>0</v>
      </c>
      <c r="Q16" s="25">
        <f t="shared" si="14"/>
        <v>98063</v>
      </c>
      <c r="R16" s="25">
        <f t="shared" si="14"/>
        <v>2452</v>
      </c>
      <c r="S16" s="25">
        <f>SUM(N16:R16)</f>
        <v>245158</v>
      </c>
      <c r="U16" s="25">
        <f t="shared" si="5"/>
        <v>27910</v>
      </c>
      <c r="W16" s="254">
        <f>'Exec Report'!D9</f>
        <v>255000</v>
      </c>
      <c r="X16" s="254">
        <f t="shared" si="11"/>
        <v>264690</v>
      </c>
      <c r="Y16" s="254">
        <f t="shared" si="12"/>
        <v>274748</v>
      </c>
      <c r="AA16" s="241"/>
      <c r="AC16" s="262"/>
      <c r="AD16" s="263"/>
      <c r="AE16" s="206"/>
      <c r="AF16" s="206"/>
    </row>
    <row r="17" spans="1:32" s="87" customFormat="1" ht="12.75">
      <c r="A17" s="241">
        <v>61582</v>
      </c>
      <c r="B17" s="235">
        <v>583231</v>
      </c>
      <c r="C17" s="235">
        <f>42384.66+14500</f>
        <v>56885</v>
      </c>
      <c r="D17" s="83">
        <f>B17-C17</f>
        <v>526346</v>
      </c>
      <c r="E17" s="85">
        <f>ROUND((B17-C17)/B17,4)</f>
        <v>0.9025</v>
      </c>
      <c r="F17" s="254">
        <f t="shared" si="0"/>
        <v>678790</v>
      </c>
      <c r="G17" s="196"/>
      <c r="H17" s="255">
        <f t="shared" si="8"/>
        <v>612608</v>
      </c>
      <c r="I17" s="208">
        <v>0.9</v>
      </c>
      <c r="J17" s="208"/>
      <c r="K17" s="208"/>
      <c r="L17" s="208"/>
      <c r="M17" s="208">
        <f>100%-I17</f>
        <v>0.1</v>
      </c>
      <c r="N17" s="74">
        <f t="shared" si="9"/>
        <v>551347</v>
      </c>
      <c r="O17" s="74">
        <f t="shared" si="2"/>
        <v>0</v>
      </c>
      <c r="P17" s="74">
        <f t="shared" si="3"/>
        <v>0</v>
      </c>
      <c r="Q17" s="74">
        <f t="shared" si="3"/>
        <v>0</v>
      </c>
      <c r="R17" s="74">
        <f t="shared" si="4"/>
        <v>61261</v>
      </c>
      <c r="S17" s="74">
        <f t="shared" si="10"/>
        <v>612608</v>
      </c>
      <c r="T17" s="88"/>
      <c r="U17" s="25">
        <f t="shared" si="5"/>
        <v>86262</v>
      </c>
      <c r="V17" s="25"/>
      <c r="W17" s="254">
        <f>'Exec Report'!D3</f>
        <v>630000</v>
      </c>
      <c r="X17" s="254">
        <f t="shared" si="11"/>
        <v>653940</v>
      </c>
      <c r="Y17" s="254">
        <f t="shared" si="12"/>
        <v>678790</v>
      </c>
      <c r="Z17" s="25"/>
      <c r="AA17" s="241"/>
      <c r="AC17" s="262"/>
      <c r="AD17" s="263"/>
      <c r="AE17" s="265"/>
      <c r="AF17" s="265"/>
    </row>
    <row r="18" spans="1:32" s="87" customFormat="1" ht="12.75">
      <c r="A18" s="241">
        <v>64690</v>
      </c>
      <c r="B18" s="235">
        <v>190382</v>
      </c>
      <c r="C18" s="235">
        <f>27095.84+5096</f>
        <v>32192</v>
      </c>
      <c r="D18" s="83">
        <f>B18-C18</f>
        <v>158190</v>
      </c>
      <c r="E18" s="85">
        <f>ROUND((B18-C18)/B18,4)</f>
        <v>0.8309</v>
      </c>
      <c r="F18" s="83">
        <f t="shared" si="0"/>
        <v>210102</v>
      </c>
      <c r="G18" s="83"/>
      <c r="H18" s="86">
        <f t="shared" si="8"/>
        <v>174574</v>
      </c>
      <c r="I18" s="208">
        <v>0.99</v>
      </c>
      <c r="J18" s="208"/>
      <c r="K18" s="208"/>
      <c r="L18" s="208"/>
      <c r="M18" s="208">
        <f>100%-I18</f>
        <v>0.01</v>
      </c>
      <c r="N18" s="74">
        <f t="shared" si="9"/>
        <v>172828</v>
      </c>
      <c r="O18" s="74">
        <f t="shared" si="2"/>
        <v>0</v>
      </c>
      <c r="P18" s="74">
        <f t="shared" si="3"/>
        <v>0</v>
      </c>
      <c r="Q18" s="74">
        <f t="shared" si="3"/>
        <v>0</v>
      </c>
      <c r="R18" s="74">
        <f t="shared" si="4"/>
        <v>1746</v>
      </c>
      <c r="S18" s="74">
        <f t="shared" si="10"/>
        <v>174574</v>
      </c>
      <c r="T18" s="88"/>
      <c r="U18" s="25">
        <f t="shared" si="5"/>
        <v>16384</v>
      </c>
      <c r="V18" s="25"/>
      <c r="W18" s="254">
        <f>'Exec Report'!D11</f>
        <v>195000</v>
      </c>
      <c r="X18" s="254">
        <f t="shared" si="11"/>
        <v>202410</v>
      </c>
      <c r="Y18" s="254">
        <f t="shared" si="12"/>
        <v>210102</v>
      </c>
      <c r="AA18" s="241"/>
      <c r="AC18" s="262"/>
      <c r="AD18" s="263"/>
      <c r="AE18" s="265"/>
      <c r="AF18" s="265"/>
    </row>
    <row r="19" spans="1:32" ht="12.75">
      <c r="A19" s="241">
        <v>88740</v>
      </c>
      <c r="B19" s="235">
        <v>265000</v>
      </c>
      <c r="C19" s="235">
        <f>29557.67+7134.61</f>
        <v>36692</v>
      </c>
      <c r="D19" s="83">
        <f>B19-C19</f>
        <v>228308</v>
      </c>
      <c r="E19" s="85">
        <f>ROUND((B19-C19)/B19,4)</f>
        <v>0.8615</v>
      </c>
      <c r="F19" s="254">
        <f t="shared" si="0"/>
        <v>285523</v>
      </c>
      <c r="G19" s="83"/>
      <c r="H19" s="255">
        <f t="shared" si="8"/>
        <v>245978</v>
      </c>
      <c r="I19" s="208">
        <v>0.99</v>
      </c>
      <c r="J19" s="208"/>
      <c r="K19" s="208"/>
      <c r="L19" s="208"/>
      <c r="M19" s="208">
        <f>100%-I19-J19-K19-L19</f>
        <v>0.01</v>
      </c>
      <c r="N19" s="74">
        <f t="shared" si="9"/>
        <v>243518</v>
      </c>
      <c r="O19" s="74">
        <f t="shared" si="2"/>
        <v>0</v>
      </c>
      <c r="P19" s="74">
        <f t="shared" si="3"/>
        <v>0</v>
      </c>
      <c r="Q19" s="74">
        <f t="shared" si="3"/>
        <v>0</v>
      </c>
      <c r="R19" s="74">
        <f t="shared" si="4"/>
        <v>2460</v>
      </c>
      <c r="S19" s="74">
        <f t="shared" si="10"/>
        <v>245978</v>
      </c>
      <c r="U19" s="25">
        <f t="shared" si="5"/>
        <v>17670</v>
      </c>
      <c r="V19" s="25"/>
      <c r="W19" s="254">
        <f>'Exec Report'!D13</f>
        <v>265000</v>
      </c>
      <c r="X19" s="254">
        <f t="shared" si="11"/>
        <v>275070</v>
      </c>
      <c r="Y19" s="254">
        <f t="shared" si="12"/>
        <v>285523</v>
      </c>
      <c r="AA19" s="241"/>
      <c r="AC19" s="262"/>
      <c r="AD19" s="263"/>
      <c r="AE19" s="264"/>
      <c r="AF19" s="264"/>
    </row>
    <row r="20" spans="1:32" ht="12.75">
      <c r="A20" s="397">
        <v>83984</v>
      </c>
      <c r="B20" s="235">
        <v>0</v>
      </c>
      <c r="C20" s="235">
        <v>0</v>
      </c>
      <c r="D20" s="254">
        <v>0</v>
      </c>
      <c r="E20" s="426">
        <v>0.87</v>
      </c>
      <c r="F20" s="254">
        <f t="shared" si="0"/>
        <v>215489</v>
      </c>
      <c r="G20" s="83"/>
      <c r="H20" s="255">
        <f t="shared" si="8"/>
        <v>187475</v>
      </c>
      <c r="I20" s="208">
        <v>0</v>
      </c>
      <c r="J20" s="208">
        <v>0.69</v>
      </c>
      <c r="K20" s="208">
        <v>0.3</v>
      </c>
      <c r="L20" s="208"/>
      <c r="M20" s="208">
        <v>0.01</v>
      </c>
      <c r="N20" s="74">
        <f>ROUND($H20*I20,0)</f>
        <v>0</v>
      </c>
      <c r="O20" s="74">
        <f>ROUND($H20*J20,0)</f>
        <v>129358</v>
      </c>
      <c r="P20" s="74">
        <f>ROUND($H20*K20,0)</f>
        <v>56243</v>
      </c>
      <c r="Q20" s="74">
        <f>ROUND($H20*L20,0)</f>
        <v>0</v>
      </c>
      <c r="R20" s="74">
        <f>ROUND($H20*M20,0)</f>
        <v>1875</v>
      </c>
      <c r="S20" s="74">
        <f>SUM(N20:R20)</f>
        <v>187476</v>
      </c>
      <c r="U20" s="25">
        <f t="shared" si="5"/>
        <v>187475</v>
      </c>
      <c r="V20" s="25"/>
      <c r="W20" s="254">
        <v>200000</v>
      </c>
      <c r="X20" s="254">
        <f t="shared" si="11"/>
        <v>207600</v>
      </c>
      <c r="Y20" s="254">
        <f t="shared" si="12"/>
        <v>215489</v>
      </c>
      <c r="AA20" s="241"/>
      <c r="AC20" s="262"/>
      <c r="AD20" s="263"/>
      <c r="AE20" s="264"/>
      <c r="AF20" s="264"/>
    </row>
    <row r="21" spans="1:32" ht="12.75">
      <c r="A21" s="241">
        <v>93110</v>
      </c>
      <c r="B21" s="235">
        <v>204423</v>
      </c>
      <c r="C21" s="235">
        <f>19269.18+5403.84</f>
        <v>24673</v>
      </c>
      <c r="D21" s="83">
        <f>B21-C21</f>
        <v>179750</v>
      </c>
      <c r="E21" s="85">
        <f>ROUND((B21-C21)/B21,4)</f>
        <v>0.8793</v>
      </c>
      <c r="F21" s="83">
        <f t="shared" si="0"/>
        <v>231650</v>
      </c>
      <c r="G21" s="83"/>
      <c r="H21" s="86">
        <f t="shared" si="8"/>
        <v>203690</v>
      </c>
      <c r="I21" s="208">
        <v>0.9</v>
      </c>
      <c r="J21" s="208"/>
      <c r="K21" s="208"/>
      <c r="L21" s="208"/>
      <c r="M21" s="208">
        <f>100%-I21</f>
        <v>0.1</v>
      </c>
      <c r="N21" s="74">
        <f t="shared" si="9"/>
        <v>183321</v>
      </c>
      <c r="O21" s="74">
        <f>ROUND($H21*J21,0)</f>
        <v>0</v>
      </c>
      <c r="P21" s="74">
        <f>ROUND($H21*K21,0)</f>
        <v>0</v>
      </c>
      <c r="Q21" s="74">
        <f>ROUND($H21*L21,0)</f>
        <v>0</v>
      </c>
      <c r="R21" s="74">
        <f t="shared" si="4"/>
        <v>20369</v>
      </c>
      <c r="S21" s="74">
        <f t="shared" si="10"/>
        <v>203690</v>
      </c>
      <c r="U21" s="25">
        <f t="shared" si="5"/>
        <v>23940</v>
      </c>
      <c r="V21" s="25"/>
      <c r="W21" s="254">
        <f>'Exec Report'!D14</f>
        <v>215000</v>
      </c>
      <c r="X21" s="254">
        <f t="shared" si="11"/>
        <v>223170</v>
      </c>
      <c r="Y21" s="254">
        <f t="shared" si="12"/>
        <v>231650</v>
      </c>
      <c r="AA21" s="241"/>
      <c r="AC21" s="262"/>
      <c r="AD21" s="263"/>
      <c r="AE21" s="264"/>
      <c r="AF21" s="264"/>
    </row>
    <row r="22" spans="1:32" ht="12.75">
      <c r="A22" s="242">
        <v>94440</v>
      </c>
      <c r="B22" s="345">
        <f>219473.45-4040.48</f>
        <v>215433</v>
      </c>
      <c r="C22" s="345">
        <f>23159.5+5770.85</f>
        <v>28930</v>
      </c>
      <c r="D22" s="237">
        <f>B22-C22</f>
        <v>186503</v>
      </c>
      <c r="E22" s="82">
        <f>ROUND((B22-C22)/B22,4)</f>
        <v>0.8657</v>
      </c>
      <c r="F22" s="153">
        <f t="shared" si="0"/>
        <v>237038</v>
      </c>
      <c r="G22" s="153"/>
      <c r="H22" s="148">
        <f t="shared" si="8"/>
        <v>205204</v>
      </c>
      <c r="I22" s="208">
        <v>0.99</v>
      </c>
      <c r="J22" s="208"/>
      <c r="K22" s="208"/>
      <c r="L22" s="208"/>
      <c r="M22" s="208">
        <f>100%-I22</f>
        <v>0.01</v>
      </c>
      <c r="N22" s="119">
        <f t="shared" si="9"/>
        <v>203152</v>
      </c>
      <c r="O22" s="119">
        <f t="shared" si="2"/>
        <v>0</v>
      </c>
      <c r="P22" s="119">
        <f t="shared" si="3"/>
        <v>0</v>
      </c>
      <c r="Q22" s="119">
        <f t="shared" si="3"/>
        <v>0</v>
      </c>
      <c r="R22" s="119">
        <f t="shared" si="4"/>
        <v>2052</v>
      </c>
      <c r="S22" s="119">
        <f t="shared" si="10"/>
        <v>205204</v>
      </c>
      <c r="U22" s="398">
        <f t="shared" si="5"/>
        <v>18701</v>
      </c>
      <c r="V22" s="25"/>
      <c r="W22" s="267">
        <f>'Exec Report'!D15</f>
        <v>220000</v>
      </c>
      <c r="X22" s="254">
        <f t="shared" si="11"/>
        <v>228360</v>
      </c>
      <c r="Y22" s="254">
        <f t="shared" si="12"/>
        <v>237038</v>
      </c>
      <c r="AA22" s="241"/>
      <c r="AC22" s="262"/>
      <c r="AD22" s="263"/>
      <c r="AE22" s="264"/>
      <c r="AF22" s="264"/>
    </row>
    <row r="23" spans="1:32" ht="15" customHeight="1" thickBot="1">
      <c r="A23" s="89"/>
      <c r="B23" s="238">
        <f>SUM(B9:B22)</f>
        <v>3198493</v>
      </c>
      <c r="C23" s="239">
        <f>SUM(C9:C22)</f>
        <v>386354</v>
      </c>
      <c r="D23" s="90">
        <f>SUM(D9:D22)</f>
        <v>2812139</v>
      </c>
      <c r="E23" s="79"/>
      <c r="F23" s="79">
        <f>SUM(F9:F22)</f>
        <v>3698597</v>
      </c>
      <c r="G23" s="79"/>
      <c r="H23" s="79">
        <f>SUM(H9:H22)</f>
        <v>3270804</v>
      </c>
      <c r="N23" s="400">
        <f aca="true" t="shared" si="15" ref="N23:S23">SUM(N9:N22)</f>
        <v>2794106</v>
      </c>
      <c r="O23" s="74">
        <f t="shared" si="15"/>
        <v>129358</v>
      </c>
      <c r="P23" s="74">
        <f t="shared" si="15"/>
        <v>56243</v>
      </c>
      <c r="Q23" s="74">
        <f t="shared" si="15"/>
        <v>98063</v>
      </c>
      <c r="R23" s="74">
        <f t="shared" si="15"/>
        <v>193035</v>
      </c>
      <c r="S23" s="74">
        <f t="shared" si="15"/>
        <v>3270805</v>
      </c>
      <c r="U23" s="278">
        <f>SUM(U9:U22)</f>
        <v>458665</v>
      </c>
      <c r="W23" s="278">
        <f>SUM(W9:W22)</f>
        <v>3135000</v>
      </c>
      <c r="X23" s="293">
        <f>SUM(X9:X22)</f>
        <v>3571980</v>
      </c>
      <c r="Y23" s="266">
        <f>SUM(Y9:Y22)</f>
        <v>3698597</v>
      </c>
      <c r="AC23" s="262"/>
      <c r="AD23" s="263"/>
      <c r="AE23" s="264"/>
      <c r="AF23" s="264"/>
    </row>
    <row r="24" spans="1:26" ht="13.5" thickTop="1">
      <c r="A24" s="78" t="s">
        <v>285</v>
      </c>
      <c r="B24" s="235">
        <f>14743.92+4040.48</f>
        <v>18784</v>
      </c>
      <c r="C24" s="239"/>
      <c r="D24" s="245"/>
      <c r="E24" s="79"/>
      <c r="F24" s="91"/>
      <c r="G24" s="91"/>
      <c r="H24" s="91"/>
      <c r="N24" s="139"/>
      <c r="O24" s="139"/>
      <c r="P24" s="139"/>
      <c r="Q24" s="139"/>
      <c r="R24" s="139"/>
      <c r="S24" s="139"/>
      <c r="U24" s="261"/>
      <c r="V24" s="261"/>
      <c r="W24" s="261"/>
      <c r="X24" s="261"/>
      <c r="Y24" s="261"/>
      <c r="Z24" s="195"/>
    </row>
    <row r="25" spans="1:25" ht="12.75">
      <c r="A25" s="74" t="s">
        <v>356</v>
      </c>
      <c r="B25" s="240">
        <v>209000</v>
      </c>
      <c r="C25" s="240">
        <f>137500+8250</f>
        <v>145750</v>
      </c>
      <c r="D25" s="251">
        <f>B25-C25</f>
        <v>63250</v>
      </c>
      <c r="S25" s="195"/>
      <c r="U25" s="97"/>
      <c r="W25" s="97"/>
      <c r="X25" s="97"/>
      <c r="Y25" s="97"/>
    </row>
    <row r="26" spans="1:25" ht="6" customHeight="1">
      <c r="A26" s="78"/>
      <c r="B26" s="166"/>
      <c r="C26" s="97"/>
      <c r="E26" s="246"/>
      <c r="U26" s="97"/>
      <c r="W26" s="97"/>
      <c r="X26" s="97"/>
      <c r="Y26" s="97"/>
    </row>
    <row r="27" spans="1:25" ht="13.5" thickBot="1">
      <c r="A27" s="78" t="s">
        <v>0</v>
      </c>
      <c r="B27" s="250">
        <f>B23+B24+B25</f>
        <v>3426277</v>
      </c>
      <c r="C27" s="243">
        <f>C23+C25</f>
        <v>532104</v>
      </c>
      <c r="D27" s="347">
        <f>SUM(D23:D25)</f>
        <v>2875389</v>
      </c>
      <c r="U27" s="97"/>
      <c r="W27" s="97"/>
      <c r="X27" s="97"/>
      <c r="Y27" s="97"/>
    </row>
    <row r="28" spans="1:25" ht="13.5" thickTop="1">
      <c r="A28" s="78"/>
      <c r="B28" s="166"/>
      <c r="C28" s="78"/>
      <c r="D28" s="346">
        <v>1.17</v>
      </c>
      <c r="H28" s="192"/>
      <c r="I28" s="192"/>
      <c r="J28" s="192"/>
      <c r="K28" s="192"/>
      <c r="L28" s="192"/>
      <c r="M28" s="192"/>
      <c r="N28" s="192"/>
      <c r="U28" s="97"/>
      <c r="W28" s="97"/>
      <c r="X28" s="97"/>
      <c r="Y28" s="97"/>
    </row>
    <row r="29" spans="1:25" ht="13.5" customHeight="1" thickBot="1">
      <c r="A29" s="78"/>
      <c r="B29" s="166"/>
      <c r="C29" s="78"/>
      <c r="D29" s="247">
        <f>D27*D28</f>
        <v>3364205</v>
      </c>
      <c r="E29" s="78" t="s">
        <v>291</v>
      </c>
      <c r="U29" s="97"/>
      <c r="W29" s="97"/>
      <c r="X29" s="97"/>
      <c r="Y29" s="97"/>
    </row>
    <row r="30" spans="1:25" ht="7.5" customHeight="1" thickTop="1">
      <c r="A30" s="78"/>
      <c r="B30" s="166"/>
      <c r="C30" s="78"/>
      <c r="D30" s="78"/>
      <c r="E30" s="78"/>
      <c r="U30" s="97"/>
      <c r="W30" s="97"/>
      <c r="X30" s="97"/>
      <c r="Y30" s="97"/>
    </row>
    <row r="31" spans="1:25" ht="10.5" customHeight="1">
      <c r="A31" s="78"/>
      <c r="B31" s="249"/>
      <c r="C31" s="78"/>
      <c r="D31" s="78"/>
      <c r="E31" s="78"/>
      <c r="U31" s="97"/>
      <c r="W31" s="97"/>
      <c r="X31" s="97"/>
      <c r="Y31" s="97"/>
    </row>
    <row r="32" spans="1:10" ht="12.75">
      <c r="A32" s="188" t="s">
        <v>287</v>
      </c>
      <c r="B32" s="188" t="s">
        <v>284</v>
      </c>
      <c r="C32" s="232" t="s">
        <v>471</v>
      </c>
      <c r="E32" s="188">
        <v>557</v>
      </c>
      <c r="F32" s="188">
        <v>813</v>
      </c>
      <c r="G32" s="244"/>
      <c r="H32" s="188">
        <v>107</v>
      </c>
      <c r="I32" s="188" t="s">
        <v>139</v>
      </c>
      <c r="J32" s="188" t="s">
        <v>139</v>
      </c>
    </row>
    <row r="33" spans="1:21" ht="12.75">
      <c r="A33" s="189">
        <v>188</v>
      </c>
      <c r="B33" s="236">
        <v>30071</v>
      </c>
      <c r="C33" s="190">
        <f>B33/D9</f>
        <v>0.14</v>
      </c>
      <c r="U33" s="154"/>
    </row>
    <row r="34" spans="1:25" ht="12.75">
      <c r="A34" s="189">
        <v>365</v>
      </c>
      <c r="B34" s="236">
        <v>0</v>
      </c>
      <c r="C34" s="190">
        <f>B34/D10</f>
        <v>0</v>
      </c>
      <c r="Y34" s="154"/>
    </row>
    <row r="35" spans="1:3" ht="12.75">
      <c r="A35" s="191">
        <v>1863</v>
      </c>
      <c r="B35" s="236">
        <v>29313</v>
      </c>
      <c r="C35" s="190">
        <f>B35/D11</f>
        <v>0.1</v>
      </c>
    </row>
    <row r="36" spans="1:3" ht="12.75">
      <c r="A36" s="189">
        <v>2565</v>
      </c>
      <c r="B36" s="236">
        <v>61119</v>
      </c>
      <c r="C36" s="190">
        <f aca="true" t="shared" si="16" ref="C36:C42">B36/D13</f>
        <v>0.24</v>
      </c>
    </row>
    <row r="37" spans="1:3" ht="12.75">
      <c r="A37" s="189">
        <v>11290</v>
      </c>
      <c r="B37" s="236">
        <v>44447</v>
      </c>
      <c r="C37" s="190">
        <f t="shared" si="16"/>
        <v>0.26</v>
      </c>
    </row>
    <row r="38" spans="1:3" ht="12.75">
      <c r="A38" s="189">
        <v>45464</v>
      </c>
      <c r="B38" s="236">
        <v>0</v>
      </c>
      <c r="C38" s="190">
        <f t="shared" si="16"/>
        <v>0</v>
      </c>
    </row>
    <row r="39" spans="1:9" ht="12.75">
      <c r="A39" s="189">
        <v>46832</v>
      </c>
      <c r="B39" s="236">
        <v>2134</v>
      </c>
      <c r="C39" s="190">
        <f t="shared" si="16"/>
        <v>0.01</v>
      </c>
      <c r="H39" s="236">
        <f>43449.29+43449.29</f>
        <v>86899</v>
      </c>
      <c r="I39" s="190">
        <f>H39/D16</f>
        <v>0.4</v>
      </c>
    </row>
    <row r="40" spans="1:3" ht="12.75">
      <c r="A40" s="189">
        <v>61582</v>
      </c>
      <c r="B40" s="236">
        <f>43853.73+2092.31</f>
        <v>45946</v>
      </c>
      <c r="C40" s="190">
        <f t="shared" si="16"/>
        <v>0.09</v>
      </c>
    </row>
    <row r="41" spans="1:3" ht="12.75">
      <c r="A41" s="189">
        <v>64690</v>
      </c>
      <c r="B41" s="236">
        <v>1582</v>
      </c>
      <c r="C41" s="190">
        <f t="shared" si="16"/>
        <v>0.01</v>
      </c>
    </row>
    <row r="42" spans="1:10" ht="12.75">
      <c r="A42" s="189">
        <v>88740</v>
      </c>
      <c r="B42" s="236">
        <v>2283</v>
      </c>
      <c r="C42" s="190">
        <f t="shared" si="16"/>
        <v>0.01</v>
      </c>
      <c r="E42" s="236">
        <v>157532</v>
      </c>
      <c r="F42" s="236">
        <v>68492</v>
      </c>
      <c r="G42" s="192"/>
      <c r="I42" s="190">
        <f>E42/D19</f>
        <v>0.69</v>
      </c>
      <c r="J42" s="190">
        <f>F42/D19</f>
        <v>0.3</v>
      </c>
    </row>
    <row r="43" spans="1:10" ht="12.75">
      <c r="A43" s="189">
        <v>93110</v>
      </c>
      <c r="B43" s="236">
        <v>44937</v>
      </c>
      <c r="C43" s="190">
        <f>B43/D21</f>
        <v>0.25</v>
      </c>
      <c r="E43" s="192"/>
      <c r="F43" s="192"/>
      <c r="G43" s="192"/>
      <c r="H43" s="192"/>
      <c r="I43" s="193"/>
      <c r="J43" s="193"/>
    </row>
    <row r="44" spans="1:3" ht="12.75">
      <c r="A44" s="191">
        <v>94440</v>
      </c>
      <c r="B44" s="348">
        <v>3278</v>
      </c>
      <c r="C44" s="190">
        <f>B44/D22</f>
        <v>0.02</v>
      </c>
    </row>
    <row r="45" spans="1:3" ht="13.5" thickBot="1">
      <c r="A45" s="192"/>
      <c r="B45" s="248">
        <f>SUM(B33:B44)</f>
        <v>265110</v>
      </c>
      <c r="C45" s="192"/>
    </row>
    <row r="46" ht="13.5" thickTop="1"/>
    <row r="47" spans="2:3" ht="12.75">
      <c r="B47" s="74">
        <f>B23+B45</f>
        <v>3463603</v>
      </c>
      <c r="C47" s="195">
        <f>B45/B47</f>
        <v>0.0765</v>
      </c>
    </row>
  </sheetData>
  <mergeCells count="2">
    <mergeCell ref="I7:M7"/>
    <mergeCell ref="N7:R7"/>
  </mergeCells>
  <printOptions/>
  <pageMargins left="0.41" right="0.6" top="1" bottom="1" header="0.5" footer="0.5"/>
  <pageSetup fitToHeight="1" fitToWidth="1" horizontalDpi="600" verticalDpi="600" orientation="landscape" scale="84" r:id="rId3"/>
  <headerFooter alignWithMargins="0">
    <oddFooter>&amp;C&amp;F&amp;A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D4" sqref="D4"/>
    </sheetView>
  </sheetViews>
  <sheetFormatPr defaultColWidth="9.33203125" defaultRowHeight="12.75"/>
  <cols>
    <col min="1" max="1" width="9" style="318" customWidth="1"/>
    <col min="2" max="2" width="31.33203125" style="325" customWidth="1"/>
    <col min="3" max="3" width="39.5" style="325" customWidth="1"/>
    <col min="4" max="4" width="13" style="325" customWidth="1"/>
    <col min="5" max="5" width="14.16015625" style="325" customWidth="1"/>
    <col min="6" max="6" width="12.16015625" style="325" customWidth="1"/>
    <col min="7" max="7" width="14" style="325" customWidth="1"/>
    <col min="8" max="8" width="13" style="325" customWidth="1"/>
    <col min="9" max="9" width="12.16015625" style="325" customWidth="1"/>
    <col min="10" max="11" width="13" style="325" customWidth="1"/>
    <col min="12" max="12" width="12.16015625" style="325" customWidth="1"/>
    <col min="13" max="14" width="13" style="325" customWidth="1"/>
    <col min="15" max="16384" width="13.33203125" style="325" customWidth="1"/>
  </cols>
  <sheetData>
    <row r="1" spans="1:14" s="318" customFormat="1" ht="126" customHeight="1">
      <c r="A1" s="314" t="s">
        <v>362</v>
      </c>
      <c r="B1" s="314" t="s">
        <v>363</v>
      </c>
      <c r="C1" s="314" t="s">
        <v>431</v>
      </c>
      <c r="D1" s="315" t="s">
        <v>432</v>
      </c>
      <c r="E1" s="316" t="s">
        <v>433</v>
      </c>
      <c r="F1" s="316" t="s">
        <v>434</v>
      </c>
      <c r="G1" s="317" t="s">
        <v>435</v>
      </c>
      <c r="H1" s="317" t="s">
        <v>436</v>
      </c>
      <c r="I1" s="316" t="s">
        <v>437</v>
      </c>
      <c r="J1" s="316" t="s">
        <v>438</v>
      </c>
      <c r="K1" s="316" t="s">
        <v>439</v>
      </c>
      <c r="L1" s="316" t="s">
        <v>440</v>
      </c>
      <c r="M1" s="316" t="s">
        <v>441</v>
      </c>
      <c r="N1" s="316" t="s">
        <v>439</v>
      </c>
    </row>
    <row r="2" spans="1:14" ht="12.75">
      <c r="A2" s="319" t="s">
        <v>366</v>
      </c>
      <c r="B2" s="320" t="s">
        <v>442</v>
      </c>
      <c r="C2" s="320" t="s">
        <v>443</v>
      </c>
      <c r="D2" s="324">
        <v>0</v>
      </c>
      <c r="E2" s="322">
        <v>98456</v>
      </c>
      <c r="F2" s="323">
        <v>41860</v>
      </c>
      <c r="G2" s="258">
        <v>882409</v>
      </c>
      <c r="H2" s="258">
        <v>71580.6</v>
      </c>
      <c r="I2" s="323">
        <v>0</v>
      </c>
      <c r="J2" s="258">
        <v>0</v>
      </c>
      <c r="K2" s="258">
        <v>4998</v>
      </c>
      <c r="L2" s="323">
        <v>0</v>
      </c>
      <c r="M2" s="258">
        <v>0</v>
      </c>
      <c r="N2" s="258">
        <v>6128.5</v>
      </c>
    </row>
    <row r="3" spans="1:14" ht="12.75">
      <c r="A3" s="319" t="s">
        <v>373</v>
      </c>
      <c r="B3" s="320" t="s">
        <v>444</v>
      </c>
      <c r="C3" s="320" t="s">
        <v>445</v>
      </c>
      <c r="D3" s="324">
        <v>630000</v>
      </c>
      <c r="E3" s="322">
        <v>43146</v>
      </c>
      <c r="F3" s="257">
        <v>10075</v>
      </c>
      <c r="G3" s="259">
        <v>212381</v>
      </c>
      <c r="H3" s="258">
        <v>17228.25</v>
      </c>
      <c r="I3" s="323">
        <v>1333</v>
      </c>
      <c r="J3" s="258">
        <v>28712.82</v>
      </c>
      <c r="K3" s="258">
        <v>1586.27</v>
      </c>
      <c r="L3" s="323">
        <v>1100</v>
      </c>
      <c r="M3" s="258">
        <v>23529</v>
      </c>
      <c r="N3" s="258">
        <v>1963.5</v>
      </c>
    </row>
    <row r="4" spans="1:14" ht="12.75">
      <c r="A4" s="326" t="s">
        <v>370</v>
      </c>
      <c r="B4" s="320" t="s">
        <v>446</v>
      </c>
      <c r="C4" s="256" t="s">
        <v>371</v>
      </c>
      <c r="D4" s="324">
        <v>365000</v>
      </c>
      <c r="E4" s="322">
        <v>32130</v>
      </c>
      <c r="F4" s="257">
        <v>10075</v>
      </c>
      <c r="G4" s="259">
        <v>212381</v>
      </c>
      <c r="H4" s="258">
        <v>17228.25</v>
      </c>
      <c r="I4" s="323">
        <v>1166.55</v>
      </c>
      <c r="J4" s="258">
        <v>25127.49</v>
      </c>
      <c r="K4" s="258">
        <v>1388.135</v>
      </c>
      <c r="L4" s="323">
        <v>967</v>
      </c>
      <c r="M4" s="258">
        <v>20684.13</v>
      </c>
      <c r="N4" s="258">
        <v>1725.5</v>
      </c>
    </row>
    <row r="5" spans="1:14" ht="12.75">
      <c r="A5" s="326">
        <v>2565</v>
      </c>
      <c r="B5" s="320" t="s">
        <v>447</v>
      </c>
      <c r="C5" s="320" t="s">
        <v>448</v>
      </c>
      <c r="D5" s="324">
        <v>275000</v>
      </c>
      <c r="E5" s="322">
        <v>24326</v>
      </c>
      <c r="F5" s="257">
        <v>10075</v>
      </c>
      <c r="G5" s="259">
        <v>212381</v>
      </c>
      <c r="H5" s="258">
        <v>17228.25</v>
      </c>
      <c r="I5" s="323">
        <v>999.9</v>
      </c>
      <c r="J5" s="258">
        <v>21537.85</v>
      </c>
      <c r="K5" s="258">
        <v>1190</v>
      </c>
      <c r="L5" s="323">
        <v>834</v>
      </c>
      <c r="M5" s="258">
        <v>17839.26</v>
      </c>
      <c r="N5" s="258">
        <v>1487.5</v>
      </c>
    </row>
    <row r="6" spans="1:14" ht="12.75">
      <c r="A6" s="319" t="s">
        <v>367</v>
      </c>
      <c r="B6" s="327" t="s">
        <v>357</v>
      </c>
      <c r="C6" s="320" t="s">
        <v>449</v>
      </c>
      <c r="D6" s="321">
        <v>240000</v>
      </c>
      <c r="E6" s="322">
        <v>21114</v>
      </c>
      <c r="F6" s="257">
        <v>3445</v>
      </c>
      <c r="G6" s="259">
        <v>72620.6</v>
      </c>
      <c r="H6" s="258">
        <v>5890.95</v>
      </c>
      <c r="I6" s="323">
        <v>999.9</v>
      </c>
      <c r="J6" s="258">
        <v>21537.85</v>
      </c>
      <c r="K6" s="258">
        <v>1190</v>
      </c>
      <c r="L6" s="323">
        <v>834</v>
      </c>
      <c r="M6" s="258">
        <v>17839.26</v>
      </c>
      <c r="N6" s="258">
        <v>1487.5</v>
      </c>
    </row>
    <row r="7" spans="1:14" ht="12.75">
      <c r="A7" s="319" t="s">
        <v>364</v>
      </c>
      <c r="B7" s="320" t="s">
        <v>450</v>
      </c>
      <c r="C7" s="320" t="s">
        <v>365</v>
      </c>
      <c r="D7" s="321">
        <v>205000</v>
      </c>
      <c r="E7" s="322">
        <v>12240</v>
      </c>
      <c r="F7" s="257">
        <v>3445</v>
      </c>
      <c r="G7" s="259">
        <v>72620.6</v>
      </c>
      <c r="H7" s="258">
        <v>5890.95</v>
      </c>
      <c r="I7" s="323">
        <v>333</v>
      </c>
      <c r="J7" s="258">
        <v>7172.82</v>
      </c>
      <c r="K7" s="258">
        <v>396.27</v>
      </c>
      <c r="L7" s="323">
        <v>267</v>
      </c>
      <c r="M7" s="258">
        <v>5711.13</v>
      </c>
      <c r="N7" s="258">
        <v>476</v>
      </c>
    </row>
    <row r="8" spans="1:14" ht="12.75">
      <c r="A8" s="319">
        <v>45464</v>
      </c>
      <c r="B8" s="320" t="s">
        <v>451</v>
      </c>
      <c r="C8" s="256" t="s">
        <v>368</v>
      </c>
      <c r="D8" s="321">
        <v>195000</v>
      </c>
      <c r="E8" s="322">
        <v>11275</v>
      </c>
      <c r="F8" s="323">
        <v>780</v>
      </c>
      <c r="G8" s="258">
        <v>16442.4</v>
      </c>
      <c r="H8" s="258">
        <v>1333.8</v>
      </c>
      <c r="I8" s="323">
        <v>80</v>
      </c>
      <c r="J8" s="258">
        <v>1723.03</v>
      </c>
      <c r="K8" s="258">
        <v>95.2</v>
      </c>
      <c r="L8" s="323">
        <v>267</v>
      </c>
      <c r="M8" s="258">
        <v>5711.13</v>
      </c>
      <c r="N8" s="258">
        <v>476</v>
      </c>
    </row>
    <row r="9" spans="1:14" ht="12.75">
      <c r="A9" s="319">
        <v>46832</v>
      </c>
      <c r="B9" s="320" t="s">
        <v>358</v>
      </c>
      <c r="C9" s="256" t="s">
        <v>369</v>
      </c>
      <c r="D9" s="321">
        <v>255000</v>
      </c>
      <c r="E9" s="322">
        <v>14076</v>
      </c>
      <c r="F9" s="323">
        <v>3445</v>
      </c>
      <c r="G9" s="258">
        <v>72620.6</v>
      </c>
      <c r="H9" s="258">
        <v>5890.95</v>
      </c>
      <c r="I9" s="323">
        <v>333</v>
      </c>
      <c r="J9" s="258">
        <v>7172.82</v>
      </c>
      <c r="K9" s="258">
        <v>396.27</v>
      </c>
      <c r="L9" s="323">
        <v>267</v>
      </c>
      <c r="M9" s="258">
        <v>5711.13</v>
      </c>
      <c r="N9" s="258">
        <v>476</v>
      </c>
    </row>
    <row r="10" spans="1:14" ht="12.75">
      <c r="A10" s="319" t="s">
        <v>372</v>
      </c>
      <c r="B10" s="327" t="s">
        <v>359</v>
      </c>
      <c r="C10" s="320" t="s">
        <v>452</v>
      </c>
      <c r="D10" s="324">
        <v>240000</v>
      </c>
      <c r="E10" s="322">
        <v>14688</v>
      </c>
      <c r="F10" s="323">
        <v>3445</v>
      </c>
      <c r="G10" s="258">
        <v>72620.6</v>
      </c>
      <c r="H10" s="258">
        <v>5890.95</v>
      </c>
      <c r="I10" s="323">
        <v>333</v>
      </c>
      <c r="J10" s="258">
        <v>7172.82</v>
      </c>
      <c r="K10" s="258">
        <v>396.27</v>
      </c>
      <c r="L10" s="323">
        <v>267</v>
      </c>
      <c r="M10" s="258">
        <v>5711.13</v>
      </c>
      <c r="N10" s="258">
        <v>476</v>
      </c>
    </row>
    <row r="11" spans="1:14" ht="12.75">
      <c r="A11" s="319" t="s">
        <v>374</v>
      </c>
      <c r="B11" s="327" t="s">
        <v>360</v>
      </c>
      <c r="C11" s="256" t="s">
        <v>375</v>
      </c>
      <c r="D11" s="321">
        <v>195000</v>
      </c>
      <c r="E11" s="322">
        <v>11322</v>
      </c>
      <c r="F11" s="323">
        <v>3445</v>
      </c>
      <c r="G11" s="258">
        <v>72620.6</v>
      </c>
      <c r="H11" s="258">
        <v>5890.95</v>
      </c>
      <c r="I11" s="323">
        <v>333</v>
      </c>
      <c r="J11" s="258">
        <v>7172.82</v>
      </c>
      <c r="K11" s="258">
        <v>396.27</v>
      </c>
      <c r="L11" s="323">
        <v>267</v>
      </c>
      <c r="M11" s="258">
        <v>5711.13</v>
      </c>
      <c r="N11" s="258">
        <v>476</v>
      </c>
    </row>
    <row r="12" spans="1:14" ht="12.75">
      <c r="A12" s="319" t="s">
        <v>453</v>
      </c>
      <c r="B12" s="320" t="s">
        <v>454</v>
      </c>
      <c r="C12" s="320" t="s">
        <v>455</v>
      </c>
      <c r="D12" s="324">
        <v>0</v>
      </c>
      <c r="E12" s="322">
        <v>8925</v>
      </c>
      <c r="F12" s="323">
        <v>2967</v>
      </c>
      <c r="G12" s="258">
        <v>62544.36</v>
      </c>
      <c r="H12" s="258">
        <v>5073.57</v>
      </c>
      <c r="I12" s="323">
        <v>195</v>
      </c>
      <c r="J12" s="258">
        <v>3864.9</v>
      </c>
      <c r="K12" s="258">
        <v>296.37</v>
      </c>
      <c r="L12" s="323">
        <v>156</v>
      </c>
      <c r="M12" s="258">
        <v>3091.92</v>
      </c>
      <c r="N12" s="258">
        <v>356</v>
      </c>
    </row>
    <row r="13" spans="1:14" ht="12.75">
      <c r="A13" s="319"/>
      <c r="B13" s="328" t="s">
        <v>456</v>
      </c>
      <c r="C13" s="328" t="s">
        <v>376</v>
      </c>
      <c r="D13" s="324">
        <v>265000</v>
      </c>
      <c r="E13" s="322">
        <v>16218</v>
      </c>
      <c r="F13" s="323">
        <v>0</v>
      </c>
      <c r="G13" s="258">
        <v>0</v>
      </c>
      <c r="H13" s="258">
        <v>0</v>
      </c>
      <c r="I13" s="323">
        <v>0</v>
      </c>
      <c r="J13" s="258">
        <v>0</v>
      </c>
      <c r="K13" s="258">
        <v>0</v>
      </c>
      <c r="L13" s="323">
        <v>267</v>
      </c>
      <c r="M13" s="258">
        <v>5711.13</v>
      </c>
      <c r="N13" s="258">
        <v>476</v>
      </c>
    </row>
    <row r="14" spans="1:14" ht="12.75">
      <c r="A14" s="319">
        <v>93110</v>
      </c>
      <c r="B14" s="320" t="s">
        <v>457</v>
      </c>
      <c r="C14" s="320" t="s">
        <v>458</v>
      </c>
      <c r="D14" s="321">
        <v>215000</v>
      </c>
      <c r="E14" s="322">
        <v>11628</v>
      </c>
      <c r="F14" s="323">
        <v>0</v>
      </c>
      <c r="G14" s="258">
        <v>0</v>
      </c>
      <c r="H14" s="258">
        <v>0</v>
      </c>
      <c r="I14" s="323">
        <v>333</v>
      </c>
      <c r="J14" s="258">
        <v>7172.82</v>
      </c>
      <c r="K14" s="258">
        <v>396.27</v>
      </c>
      <c r="L14" s="329">
        <v>267</v>
      </c>
      <c r="M14" s="258">
        <v>5711.13</v>
      </c>
      <c r="N14" s="258">
        <v>476</v>
      </c>
    </row>
    <row r="15" spans="1:14" ht="13.5" thickBot="1">
      <c r="A15" s="319" t="s">
        <v>377</v>
      </c>
      <c r="B15" s="327" t="s">
        <v>361</v>
      </c>
      <c r="C15" s="320" t="s">
        <v>378</v>
      </c>
      <c r="D15" s="330">
        <v>220000</v>
      </c>
      <c r="E15" s="331">
        <v>12858</v>
      </c>
      <c r="F15" s="332">
        <v>3445</v>
      </c>
      <c r="G15" s="333">
        <v>72620.6</v>
      </c>
      <c r="H15" s="333">
        <v>5890.95</v>
      </c>
      <c r="I15" s="332">
        <v>333</v>
      </c>
      <c r="J15" s="333">
        <v>7172.82</v>
      </c>
      <c r="K15" s="333">
        <v>396.27</v>
      </c>
      <c r="L15" s="332">
        <v>267</v>
      </c>
      <c r="M15" s="333">
        <v>5711.13</v>
      </c>
      <c r="N15" s="333">
        <v>476</v>
      </c>
    </row>
    <row r="16" spans="4:14" ht="13.5" thickTop="1">
      <c r="D16" s="334">
        <f aca="true" t="shared" si="0" ref="D16:K16">SUM(D2:D15)</f>
        <v>3300000</v>
      </c>
      <c r="E16" s="335">
        <f t="shared" si="0"/>
        <v>332402</v>
      </c>
      <c r="F16" s="336">
        <f t="shared" si="0"/>
        <v>96502</v>
      </c>
      <c r="G16" s="335">
        <f t="shared" si="0"/>
        <v>2034262.36</v>
      </c>
      <c r="H16" s="335">
        <f t="shared" si="0"/>
        <v>165018.42</v>
      </c>
      <c r="I16" s="336">
        <f t="shared" si="0"/>
        <v>6772</v>
      </c>
      <c r="J16" s="335">
        <f t="shared" si="0"/>
        <v>145540.86</v>
      </c>
      <c r="K16" s="335">
        <f t="shared" si="0"/>
        <v>13121.6</v>
      </c>
      <c r="L16" s="336">
        <f>SUM(L2:L15)</f>
        <v>6027</v>
      </c>
      <c r="M16" s="335">
        <f>SUM(M2:M15)</f>
        <v>128672.61</v>
      </c>
      <c r="N16" s="335">
        <f>SUM(N2:N15)</f>
        <v>16956.5</v>
      </c>
    </row>
    <row r="17" spans="1:14" s="260" customFormat="1" ht="12.75">
      <c r="A17" s="260" t="s">
        <v>459</v>
      </c>
      <c r="E17" s="338"/>
      <c r="F17" s="338"/>
      <c r="G17" s="339"/>
      <c r="H17" s="339"/>
      <c r="I17" s="338"/>
      <c r="J17" s="339"/>
      <c r="K17" s="339"/>
      <c r="L17" s="338"/>
      <c r="M17" s="339"/>
      <c r="N17" s="339"/>
    </row>
    <row r="18" spans="1:14" s="260" customFormat="1" ht="12.75">
      <c r="A18" s="260" t="s">
        <v>460</v>
      </c>
      <c r="G18" s="337"/>
      <c r="H18" s="337"/>
      <c r="J18" s="337"/>
      <c r="K18" s="337"/>
      <c r="M18" s="337"/>
      <c r="N18" s="337"/>
    </row>
    <row r="19" spans="1:4" ht="12.75">
      <c r="A19" s="260" t="s">
        <v>461</v>
      </c>
      <c r="D19" s="340"/>
    </row>
    <row r="20" ht="12.75">
      <c r="A20" s="260" t="s">
        <v>462</v>
      </c>
    </row>
    <row r="21" ht="12.75">
      <c r="A21" s="260" t="s">
        <v>463</v>
      </c>
    </row>
    <row r="22" ht="12.75">
      <c r="A22" s="260" t="s">
        <v>464</v>
      </c>
    </row>
    <row r="23" ht="12.75">
      <c r="A23" s="260" t="s">
        <v>465</v>
      </c>
    </row>
    <row r="24" ht="12.75">
      <c r="A24" s="260" t="s">
        <v>466</v>
      </c>
    </row>
    <row r="25" ht="12.75">
      <c r="A25" s="260" t="s">
        <v>467</v>
      </c>
    </row>
    <row r="26" spans="1:4" ht="12.75">
      <c r="A26" s="260" t="s">
        <v>468</v>
      </c>
      <c r="D26" s="340"/>
    </row>
    <row r="27" spans="1:4" ht="12.75">
      <c r="A27" s="260" t="s">
        <v>469</v>
      </c>
      <c r="D27" s="340"/>
    </row>
    <row r="28" ht="12.75">
      <c r="A28" s="341" t="s">
        <v>470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J22" sqref="J22"/>
    </sheetView>
  </sheetViews>
  <sheetFormatPr defaultColWidth="9.33203125" defaultRowHeight="12.75"/>
  <cols>
    <col min="1" max="1" width="10.66015625" style="0" customWidth="1"/>
    <col min="2" max="3" width="5" style="0" customWidth="1"/>
    <col min="4" max="4" width="12.16015625" style="0" bestFit="1" customWidth="1"/>
    <col min="5" max="5" width="2.16015625" style="0" customWidth="1"/>
    <col min="6" max="6" width="11.83203125" style="0" bestFit="1" customWidth="1"/>
    <col min="7" max="7" width="10.66015625" style="0" bestFit="1" customWidth="1"/>
    <col min="8" max="8" width="11.83203125" style="0" bestFit="1" customWidth="1"/>
    <col min="9" max="9" width="10.66015625" style="0" bestFit="1" customWidth="1"/>
    <col min="10" max="10" width="12.33203125" style="0" customWidth="1"/>
    <col min="11" max="11" width="10.16015625" style="0" customWidth="1"/>
    <col min="12" max="12" width="10.33203125" style="0" customWidth="1"/>
    <col min="15" max="15" width="10.5" style="0" customWidth="1"/>
  </cols>
  <sheetData>
    <row r="1" ht="18.75">
      <c r="A1" s="73" t="str">
        <f>'Pro Forma Spread'!A1</f>
        <v>Avista Utilities</v>
      </c>
    </row>
    <row r="2" ht="15.75">
      <c r="A2" s="158" t="s">
        <v>472</v>
      </c>
    </row>
    <row r="3" ht="15.75">
      <c r="A3" s="75" t="str">
        <f>Summary!A3</f>
        <v>Twelve Months Ended September 30, 2008</v>
      </c>
    </row>
    <row r="7" spans="6:11" ht="12.75">
      <c r="F7" s="429" t="s">
        <v>148</v>
      </c>
      <c r="G7" s="430"/>
      <c r="H7" s="431" t="s">
        <v>379</v>
      </c>
      <c r="I7" s="432"/>
      <c r="J7" s="431"/>
      <c r="K7" s="430"/>
    </row>
    <row r="8" spans="4:15" ht="12.75">
      <c r="D8" s="125" t="s">
        <v>143</v>
      </c>
      <c r="F8" s="369">
        <v>0.6459</v>
      </c>
      <c r="G8" s="370">
        <v>0.3541</v>
      </c>
      <c r="H8" s="351"/>
      <c r="I8" s="352"/>
      <c r="J8" s="352"/>
      <c r="K8" s="372"/>
      <c r="O8" s="117">
        <f>G8+F8</f>
        <v>1</v>
      </c>
    </row>
    <row r="9" spans="4:15" ht="12.75">
      <c r="D9" s="125" t="s">
        <v>178</v>
      </c>
      <c r="F9" s="371">
        <v>0.66821</v>
      </c>
      <c r="G9" s="355">
        <v>0.33179</v>
      </c>
      <c r="H9" s="373"/>
      <c r="I9" s="374"/>
      <c r="J9" s="374"/>
      <c r="K9" s="375"/>
      <c r="O9" s="117">
        <f>G9+F9</f>
        <v>1</v>
      </c>
    </row>
    <row r="10" spans="4:15" ht="12.75">
      <c r="D10" s="125" t="s">
        <v>152</v>
      </c>
      <c r="F10" s="354">
        <v>0.65097</v>
      </c>
      <c r="G10" s="355">
        <v>0.34903</v>
      </c>
      <c r="H10" s="354">
        <v>0.67505</v>
      </c>
      <c r="I10" s="356">
        <v>0.32495</v>
      </c>
      <c r="J10" s="357">
        <v>1</v>
      </c>
      <c r="K10" s="375"/>
      <c r="O10" s="117">
        <f>SUM(F10:J10)</f>
        <v>3</v>
      </c>
    </row>
    <row r="11" spans="4:15" ht="12.75">
      <c r="D11" s="125" t="s">
        <v>153</v>
      </c>
      <c r="F11" s="439">
        <v>0.7196</v>
      </c>
      <c r="G11" s="440"/>
      <c r="H11" s="441">
        <v>0.1918</v>
      </c>
      <c r="I11" s="442"/>
      <c r="J11" s="445">
        <v>0.0886</v>
      </c>
      <c r="K11" s="446"/>
      <c r="O11" s="117">
        <f>J11+H11+F11</f>
        <v>1</v>
      </c>
    </row>
    <row r="12" spans="4:15" ht="12.75">
      <c r="D12" s="125" t="s">
        <v>158</v>
      </c>
      <c r="F12" s="376"/>
      <c r="G12" s="377"/>
      <c r="H12" s="435">
        <v>0.68157</v>
      </c>
      <c r="I12" s="436"/>
      <c r="J12" s="447">
        <v>0.31843</v>
      </c>
      <c r="K12" s="448"/>
      <c r="O12" s="117">
        <f>J12+H12+F12</f>
        <v>1</v>
      </c>
    </row>
    <row r="13" spans="4:15" ht="12.75">
      <c r="D13" s="125" t="s">
        <v>159</v>
      </c>
      <c r="F13" s="378"/>
      <c r="G13" s="379"/>
      <c r="H13" s="363">
        <v>0.67404</v>
      </c>
      <c r="I13" s="364">
        <v>0.32596</v>
      </c>
      <c r="J13" s="365">
        <v>1</v>
      </c>
      <c r="K13" s="380"/>
      <c r="O13" s="117">
        <f>SUM(H13:J13)</f>
        <v>2</v>
      </c>
    </row>
    <row r="14" spans="4:11" ht="20.25" customHeight="1">
      <c r="D14" s="233" t="s">
        <v>289</v>
      </c>
      <c r="F14" s="449" t="s">
        <v>148</v>
      </c>
      <c r="G14" s="449"/>
      <c r="H14" s="450" t="s">
        <v>393</v>
      </c>
      <c r="I14" s="450"/>
      <c r="J14" s="275" t="s">
        <v>394</v>
      </c>
      <c r="K14" t="s">
        <v>149</v>
      </c>
    </row>
    <row r="15" spans="1:12" ht="15.75">
      <c r="A15" s="121" t="s">
        <v>283</v>
      </c>
      <c r="B15" s="118" t="s">
        <v>154</v>
      </c>
      <c r="C15" s="118" t="s">
        <v>155</v>
      </c>
      <c r="D15" s="234" t="s">
        <v>290</v>
      </c>
      <c r="E15" s="118"/>
      <c r="F15" s="141" t="s">
        <v>125</v>
      </c>
      <c r="G15" s="421" t="s">
        <v>126</v>
      </c>
      <c r="H15" s="141" t="s">
        <v>125</v>
      </c>
      <c r="I15" s="421" t="s">
        <v>126</v>
      </c>
      <c r="J15" s="147" t="s">
        <v>35</v>
      </c>
      <c r="K15" s="118" t="s">
        <v>150</v>
      </c>
      <c r="L15" s="118" t="s">
        <v>151</v>
      </c>
    </row>
    <row r="16" spans="1:15" ht="12.75">
      <c r="A16" s="165">
        <v>557000</v>
      </c>
      <c r="B16" s="120">
        <v>98</v>
      </c>
      <c r="C16" s="120">
        <v>1</v>
      </c>
      <c r="D16" s="281">
        <f>(116796.36+192.25)*1.17</f>
        <v>136877</v>
      </c>
      <c r="F16" s="25">
        <f>ROUND(D16*F8,0)</f>
        <v>88409</v>
      </c>
      <c r="G16" s="25">
        <f>D16-F16</f>
        <v>48468</v>
      </c>
      <c r="H16" s="3"/>
      <c r="I16" s="3"/>
      <c r="J16" s="45"/>
      <c r="O16" s="74">
        <f aca="true" t="shared" si="0" ref="O16:O21">SUM(F16:L16)</f>
        <v>136877</v>
      </c>
    </row>
    <row r="17" spans="1:15" ht="12.75">
      <c r="A17" s="120">
        <v>920000</v>
      </c>
      <c r="B17" s="120">
        <v>99</v>
      </c>
      <c r="C17" s="120" t="s">
        <v>156</v>
      </c>
      <c r="D17" s="281">
        <f>(2373057.04+1038.49)*1.17</f>
        <v>2777692</v>
      </c>
      <c r="F17" s="25">
        <f>ROUND($D17*$F$11*F$10,0)-1</f>
        <v>1301176</v>
      </c>
      <c r="G17" s="25">
        <f>ROUND($D17*$F$11*G$10,0)-1</f>
        <v>697650</v>
      </c>
      <c r="H17" s="25">
        <f>ROUND($D17*$H$11*H$10,0)</f>
        <v>359641</v>
      </c>
      <c r="I17" s="25">
        <f>ROUND($D17*$H$11*I$10,0)</f>
        <v>173121</v>
      </c>
      <c r="J17" s="192">
        <f>ROUND($D17*$J$11*J$10,0)</f>
        <v>246104</v>
      </c>
      <c r="O17" s="74">
        <f t="shared" si="0"/>
        <v>2777692</v>
      </c>
    </row>
    <row r="18" spans="1:15" ht="12.75">
      <c r="A18" s="120">
        <v>930200</v>
      </c>
      <c r="B18" s="120">
        <v>99</v>
      </c>
      <c r="C18" s="120" t="s">
        <v>156</v>
      </c>
      <c r="D18" s="281">
        <v>0</v>
      </c>
      <c r="F18" s="25">
        <f>ROUND($D18*$F$11*F$10,0)</f>
        <v>0</v>
      </c>
      <c r="G18" s="25">
        <f>ROUND($D18*$F$11*G$10,0)</f>
        <v>0</v>
      </c>
      <c r="H18" s="25">
        <f>ROUND($D18*$H$11*H$10,0)</f>
        <v>0</v>
      </c>
      <c r="I18" s="25">
        <f>ROUND($D18*$H$11*I$10,0)</f>
        <v>0</v>
      </c>
      <c r="J18" s="192">
        <f>ROUND($D18*$J$11*J$10,0)</f>
        <v>0</v>
      </c>
      <c r="O18" s="74">
        <f t="shared" si="0"/>
        <v>0</v>
      </c>
    </row>
    <row r="19" spans="1:15" s="3" customFormat="1" ht="12.75">
      <c r="A19" s="4">
        <v>813000</v>
      </c>
      <c r="B19" s="4">
        <v>99</v>
      </c>
      <c r="C19" s="4" t="s">
        <v>168</v>
      </c>
      <c r="D19" s="281">
        <f>50781*1.17</f>
        <v>59414</v>
      </c>
      <c r="H19" s="25">
        <f>ROUND($D19*$H12*H$13,0)</f>
        <v>27295</v>
      </c>
      <c r="I19" s="25">
        <f>ROUND($D19*$H12*I$13,0)</f>
        <v>13200</v>
      </c>
      <c r="J19" s="203">
        <f>ROUND($D19*$J12*J$13,0)</f>
        <v>18919</v>
      </c>
      <c r="O19" s="25">
        <f t="shared" si="0"/>
        <v>59414</v>
      </c>
    </row>
    <row r="20" spans="1:15" s="3" customFormat="1" ht="12.75">
      <c r="A20" s="4" t="s">
        <v>288</v>
      </c>
      <c r="B20" s="4">
        <v>0</v>
      </c>
      <c r="C20" s="4" t="s">
        <v>157</v>
      </c>
      <c r="D20" s="281">
        <f>(39558.88+39062.98)*1.17</f>
        <v>91988</v>
      </c>
      <c r="H20" s="25"/>
      <c r="I20" s="25"/>
      <c r="J20" s="203"/>
      <c r="K20" s="25">
        <f>D20</f>
        <v>91988</v>
      </c>
      <c r="O20" s="25">
        <f t="shared" si="0"/>
        <v>91988</v>
      </c>
    </row>
    <row r="21" spans="1:15" ht="12.75">
      <c r="A21" s="173">
        <v>417120</v>
      </c>
      <c r="B21" s="120">
        <v>99</v>
      </c>
      <c r="C21" s="120" t="s">
        <v>157</v>
      </c>
      <c r="D21" s="282">
        <f>389703*1.17</f>
        <v>455953</v>
      </c>
      <c r="F21" s="144"/>
      <c r="G21" s="144"/>
      <c r="H21" s="144"/>
      <c r="I21" s="144"/>
      <c r="J21" s="277"/>
      <c r="K21" s="118"/>
      <c r="L21" s="119">
        <f>D21</f>
        <v>455953</v>
      </c>
      <c r="O21" s="119">
        <f t="shared" si="0"/>
        <v>455953</v>
      </c>
    </row>
    <row r="22" spans="4:15" ht="13.5" thickBot="1">
      <c r="D22" s="283">
        <f>SUM(D16:D21)</f>
        <v>3521924</v>
      </c>
      <c r="E22" s="123"/>
      <c r="F22" s="124">
        <f aca="true" t="shared" si="1" ref="F22:L22">SUM(F16:F21)</f>
        <v>1389585</v>
      </c>
      <c r="G22" s="124">
        <f t="shared" si="1"/>
        <v>746118</v>
      </c>
      <c r="H22" s="124">
        <f t="shared" si="1"/>
        <v>386936</v>
      </c>
      <c r="I22" s="124">
        <f t="shared" si="1"/>
        <v>186321</v>
      </c>
      <c r="J22" s="428">
        <f t="shared" si="1"/>
        <v>265023</v>
      </c>
      <c r="K22" s="123">
        <f t="shared" si="1"/>
        <v>91988</v>
      </c>
      <c r="L22" s="123">
        <f t="shared" si="1"/>
        <v>455953</v>
      </c>
      <c r="O22" s="174">
        <f>SUM(O16:O21)</f>
        <v>3521924</v>
      </c>
    </row>
    <row r="23" ht="13.5" thickTop="1">
      <c r="O23" s="175">
        <f>ROUND(L22/D22,4)</f>
        <v>0.1295</v>
      </c>
    </row>
    <row r="24" spans="2:12" ht="12.75">
      <c r="B24" s="444" t="s">
        <v>292</v>
      </c>
      <c r="C24" s="444"/>
      <c r="D24" s="74">
        <f>'%Exp'!D27</f>
        <v>2875389</v>
      </c>
      <c r="F24" s="116"/>
      <c r="G24" s="122"/>
      <c r="H24" s="116"/>
      <c r="I24" s="122"/>
      <c r="J24" s="116"/>
      <c r="K24" s="116"/>
      <c r="L24" s="116"/>
    </row>
    <row r="25" spans="3:4" ht="12.75">
      <c r="C25" s="279" t="s">
        <v>386</v>
      </c>
      <c r="D25" s="396">
        <v>0.17</v>
      </c>
    </row>
    <row r="26" spans="3:4" ht="13.5" thickBot="1">
      <c r="C26" s="279" t="s">
        <v>387</v>
      </c>
      <c r="D26" s="280">
        <f>D24*1.17</f>
        <v>3364205</v>
      </c>
    </row>
    <row r="27" spans="4:7" ht="13.5" thickTop="1">
      <c r="D27" s="150"/>
      <c r="G27" s="74"/>
    </row>
  </sheetData>
  <mergeCells count="10">
    <mergeCell ref="F7:G7"/>
    <mergeCell ref="H7:K7"/>
    <mergeCell ref="B24:C24"/>
    <mergeCell ref="J11:K11"/>
    <mergeCell ref="H12:I12"/>
    <mergeCell ref="J12:K12"/>
    <mergeCell ref="F14:G14"/>
    <mergeCell ref="H14:I14"/>
    <mergeCell ref="F11:G11"/>
    <mergeCell ref="H11:I11"/>
  </mergeCells>
  <printOptions/>
  <pageMargins left="0.44" right="0.58" top="1" bottom="1" header="0.5" footer="0.5"/>
  <pageSetup fitToHeight="1" fitToWidth="1" horizontalDpi="600" verticalDpi="600" orientation="portrait" scale="94" r:id="rId3"/>
  <headerFooter alignWithMargins="0">
    <oddFooter>&amp;C&amp;F&amp;A&amp;Rtm &amp;D&amp;T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G7" sqref="G7"/>
    </sheetView>
  </sheetViews>
  <sheetFormatPr defaultColWidth="9.33203125" defaultRowHeight="12.75"/>
  <cols>
    <col min="1" max="1" width="9.33203125" style="9" customWidth="1"/>
    <col min="2" max="2" width="13.33203125" style="9" customWidth="1"/>
    <col min="3" max="3" width="7.83203125" style="9" customWidth="1"/>
    <col min="4" max="4" width="16.83203125" style="9" customWidth="1"/>
    <col min="5" max="5" width="12.16015625" style="9" customWidth="1"/>
    <col min="6" max="6" width="5.16015625" style="9" customWidth="1"/>
    <col min="7" max="7" width="16.16015625" style="9" customWidth="1"/>
    <col min="8" max="8" width="15" style="9" customWidth="1"/>
    <col min="9" max="9" width="15.5" style="9" customWidth="1"/>
    <col min="10" max="10" width="11.33203125" style="9" customWidth="1"/>
    <col min="11" max="11" width="12.66015625" style="9" customWidth="1"/>
    <col min="12" max="16384" width="9.33203125" style="9" customWidth="1"/>
  </cols>
  <sheetData>
    <row r="1" ht="15.75">
      <c r="C1" s="24" t="str">
        <f>Summary!A1</f>
        <v>AVISTA UTILITIES</v>
      </c>
    </row>
    <row r="2" ht="12.75">
      <c r="C2" s="10" t="str">
        <f>'%Exp'!A3</f>
        <v>Twelve Months Ended September 30, 2008</v>
      </c>
    </row>
    <row r="3" ht="12.75">
      <c r="B3" s="155"/>
    </row>
    <row r="4" ht="12.75"/>
    <row r="5" spans="1:9" ht="12.75">
      <c r="A5" s="217" t="s">
        <v>492</v>
      </c>
      <c r="C5" s="11"/>
      <c r="D5" s="11"/>
      <c r="E5" s="11"/>
      <c r="F5" s="11"/>
      <c r="G5" s="387" t="s">
        <v>37</v>
      </c>
      <c r="H5" s="387" t="s">
        <v>479</v>
      </c>
      <c r="I5" s="423"/>
    </row>
    <row r="6" spans="2:10" ht="12.75">
      <c r="B6" s="217" t="s">
        <v>473</v>
      </c>
      <c r="C6" s="11"/>
      <c r="D6" s="11"/>
      <c r="E6" s="11"/>
      <c r="F6" s="11"/>
      <c r="G6" s="384">
        <v>22200000</v>
      </c>
      <c r="H6" s="384">
        <f>16300000+1600000</f>
        <v>17900000</v>
      </c>
      <c r="I6" s="384"/>
      <c r="J6" s="406"/>
    </row>
    <row r="7" spans="2:10" ht="12.75">
      <c r="B7" s="217" t="s">
        <v>474</v>
      </c>
      <c r="C7" s="11"/>
      <c r="D7" s="11"/>
      <c r="E7" s="11"/>
      <c r="F7" s="11"/>
      <c r="G7" s="304">
        <v>-12119588</v>
      </c>
      <c r="H7" s="422">
        <f>-(1177030.16+13171675.1)</f>
        <v>-14348705</v>
      </c>
      <c r="I7" s="417"/>
      <c r="J7" s="406"/>
    </row>
    <row r="8" spans="2:10" ht="12.75">
      <c r="B8" s="9" t="s">
        <v>28</v>
      </c>
      <c r="C8" s="11"/>
      <c r="D8" s="11"/>
      <c r="E8" s="11"/>
      <c r="F8" s="11"/>
      <c r="G8" s="180">
        <f>SUM(G6:G7)</f>
        <v>10080412</v>
      </c>
      <c r="H8" s="180">
        <f>SUM(H6:H7)</f>
        <v>3551295</v>
      </c>
      <c r="I8" s="170"/>
      <c r="J8" s="406"/>
    </row>
    <row r="9" spans="2:10" ht="12.75">
      <c r="B9" s="9" t="s">
        <v>174</v>
      </c>
      <c r="C9" s="11"/>
      <c r="D9" s="11"/>
      <c r="E9" s="11"/>
      <c r="F9" s="11"/>
      <c r="G9" s="299">
        <f>Loadings!C17</f>
        <v>0.9958</v>
      </c>
      <c r="H9" s="299">
        <f>G9</f>
        <v>0.9958</v>
      </c>
      <c r="I9" s="406"/>
      <c r="J9" s="406"/>
    </row>
    <row r="10" spans="2:8" ht="12.75">
      <c r="B10" s="9" t="s">
        <v>175</v>
      </c>
      <c r="G10" s="305">
        <f>G8*G9</f>
        <v>10038074</v>
      </c>
      <c r="H10" s="305">
        <f>H8*H9</f>
        <v>3536380</v>
      </c>
    </row>
    <row r="11" s="46" customFormat="1" ht="12.75"/>
    <row r="12" s="46" customFormat="1" ht="12.75">
      <c r="I12" s="385"/>
    </row>
    <row r="13" spans="1:9" s="46" customFormat="1" ht="12.75">
      <c r="A13" s="218" t="s">
        <v>421</v>
      </c>
      <c r="B13" s="167"/>
      <c r="C13" s="167"/>
      <c r="D13" s="71">
        <f>'ElLabor$'!N127</f>
        <v>32545807.86</v>
      </c>
      <c r="E13" s="72"/>
      <c r="I13" s="385"/>
    </row>
    <row r="14" spans="1:9" s="46" customFormat="1" ht="12.75">
      <c r="A14" s="217" t="s">
        <v>422</v>
      </c>
      <c r="B14" s="9"/>
      <c r="C14" s="9"/>
      <c r="D14" s="383">
        <f>132978689.25-21543431.91</f>
        <v>111435257.34</v>
      </c>
      <c r="E14" s="9"/>
      <c r="G14" s="169"/>
      <c r="H14" s="170"/>
      <c r="I14" s="169"/>
    </row>
    <row r="15" spans="1:8" ht="13.5" thickBot="1">
      <c r="A15" s="9" t="s">
        <v>29</v>
      </c>
      <c r="E15" s="13">
        <f>D13/D14</f>
        <v>0.29206</v>
      </c>
      <c r="G15" s="47">
        <f>G10*E15</f>
        <v>2931720</v>
      </c>
      <c r="H15" s="47">
        <f>H10*E15</f>
        <v>1032835</v>
      </c>
    </row>
    <row r="16" ht="13.5" thickTop="1"/>
    <row r="17" spans="1:5" s="46" customFormat="1" ht="12.75">
      <c r="A17" s="217" t="s">
        <v>423</v>
      </c>
      <c r="B17" s="40"/>
      <c r="C17" s="40"/>
      <c r="D17" s="12">
        <f>'ElLabor$'!Q127</f>
        <v>16703612.86</v>
      </c>
      <c r="E17" s="41"/>
    </row>
    <row r="18" spans="1:5" s="46" customFormat="1" ht="12.75">
      <c r="A18" s="217" t="s">
        <v>422</v>
      </c>
      <c r="B18" s="9"/>
      <c r="C18" s="9"/>
      <c r="D18" s="274">
        <f>$D$14</f>
        <v>111435257.34</v>
      </c>
      <c r="E18" s="9"/>
    </row>
    <row r="19" spans="1:8" ht="13.5" thickBot="1">
      <c r="A19" s="9" t="s">
        <v>29</v>
      </c>
      <c r="E19" s="13">
        <f>D17/D18</f>
        <v>0.1499</v>
      </c>
      <c r="G19" s="47">
        <f>G10*E19</f>
        <v>1504707</v>
      </c>
      <c r="H19" s="47">
        <f>H10*E19</f>
        <v>530103</v>
      </c>
    </row>
    <row r="20" ht="13.5" thickTop="1"/>
    <row r="21" spans="1:5" s="46" customFormat="1" ht="12.75">
      <c r="A21" s="217" t="s">
        <v>424</v>
      </c>
      <c r="B21" s="40"/>
      <c r="C21" s="40"/>
      <c r="D21" s="12">
        <f>'GasLabor$'!L78</f>
        <v>8596429.87</v>
      </c>
      <c r="E21" s="41"/>
    </row>
    <row r="22" spans="1:5" s="46" customFormat="1" ht="12.75">
      <c r="A22" s="217" t="s">
        <v>422</v>
      </c>
      <c r="B22" s="9"/>
      <c r="C22" s="9"/>
      <c r="D22" s="274">
        <f>$D$14</f>
        <v>111435257.34</v>
      </c>
      <c r="E22" s="9"/>
    </row>
    <row r="23" spans="1:8" ht="13.5" thickBot="1">
      <c r="A23" s="9" t="s">
        <v>29</v>
      </c>
      <c r="E23" s="13">
        <f>D21/D22</f>
        <v>0.07714</v>
      </c>
      <c r="G23" s="47">
        <f>G10*E23</f>
        <v>774337</v>
      </c>
      <c r="H23" s="47">
        <f>H10*E23</f>
        <v>272796</v>
      </c>
    </row>
    <row r="24" ht="13.5" thickTop="1"/>
    <row r="25" spans="1:5" s="46" customFormat="1" ht="12.75">
      <c r="A25" s="217" t="s">
        <v>425</v>
      </c>
      <c r="B25" s="40"/>
      <c r="C25" s="40"/>
      <c r="D25" s="12">
        <f>'GasLabor$'!O78</f>
        <v>4290509.85</v>
      </c>
      <c r="E25" s="41"/>
    </row>
    <row r="26" spans="1:5" s="46" customFormat="1" ht="12.75">
      <c r="A26" s="217" t="s">
        <v>422</v>
      </c>
      <c r="B26" s="9"/>
      <c r="C26" s="9"/>
      <c r="D26" s="274">
        <f>$D$14</f>
        <v>111435257.34</v>
      </c>
      <c r="E26" s="9"/>
    </row>
    <row r="27" spans="1:8" ht="13.5" thickBot="1">
      <c r="A27" s="9" t="s">
        <v>29</v>
      </c>
      <c r="E27" s="13">
        <f>D25/D26</f>
        <v>0.0385</v>
      </c>
      <c r="G27" s="47">
        <f>G10*E27</f>
        <v>386466</v>
      </c>
      <c r="H27" s="47">
        <f>H10*E27</f>
        <v>136151</v>
      </c>
    </row>
    <row r="28" s="46" customFormat="1" ht="13.5" thickTop="1"/>
    <row r="29" spans="1:7" ht="12.75">
      <c r="A29" s="217" t="s">
        <v>426</v>
      </c>
      <c r="B29" s="40"/>
      <c r="C29" s="40"/>
      <c r="D29" s="12">
        <f>'GasLabor$South'!G78</f>
        <v>5706228.79</v>
      </c>
      <c r="E29" s="41"/>
      <c r="F29" s="46"/>
      <c r="G29" s="46"/>
    </row>
    <row r="30" spans="1:7" ht="12.75">
      <c r="A30" s="217" t="s">
        <v>422</v>
      </c>
      <c r="D30" s="274">
        <f>$D$14</f>
        <v>111435257.34</v>
      </c>
      <c r="F30" s="46"/>
      <c r="G30" s="46"/>
    </row>
    <row r="31" spans="1:8" ht="13.5" thickBot="1">
      <c r="A31" s="9" t="s">
        <v>29</v>
      </c>
      <c r="E31" s="13">
        <f>D29/D30</f>
        <v>0.05121</v>
      </c>
      <c r="G31" s="47">
        <f>E31*G10</f>
        <v>514050</v>
      </c>
      <c r="H31" s="47">
        <f>H10*E31</f>
        <v>181098</v>
      </c>
    </row>
    <row r="32" ht="13.5" thickTop="1"/>
    <row r="33" spans="5:8" ht="12.75">
      <c r="E33" s="424" t="s">
        <v>491</v>
      </c>
      <c r="G33" s="305">
        <f>G15+G19+G23+G27+G31</f>
        <v>6111280</v>
      </c>
      <c r="H33" s="305">
        <f>H15+H19+H23+H27+H31</f>
        <v>2152983</v>
      </c>
    </row>
    <row r="34" spans="7:8" ht="12.75">
      <c r="G34" s="386">
        <f>G33/G10</f>
        <v>0.60881</v>
      </c>
      <c r="H34" s="386">
        <f>H33/H10</f>
        <v>0.60881</v>
      </c>
    </row>
  </sheetData>
  <printOptions/>
  <pageMargins left="0.75" right="0.75" top="0.79" bottom="3.98" header="0.5" footer="3.46"/>
  <pageSetup horizontalDpi="600" verticalDpi="600" orientation="portrait" scale="74" r:id="rId4"/>
  <headerFooter alignWithMargins="0">
    <oddFooter>&amp;C&amp;F&amp;A&amp;R
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28" sqref="C28"/>
    </sheetView>
  </sheetViews>
  <sheetFormatPr defaultColWidth="9.33203125" defaultRowHeight="12.75"/>
  <cols>
    <col min="1" max="1" width="28.66015625" style="0" bestFit="1" customWidth="1"/>
    <col min="2" max="2" width="16.66015625" style="0" bestFit="1" customWidth="1"/>
    <col min="3" max="3" width="11.5" style="0" customWidth="1"/>
    <col min="4" max="4" width="12" style="0" customWidth="1"/>
    <col min="5" max="5" width="11.66015625" style="0" customWidth="1"/>
  </cols>
  <sheetData>
    <row r="1" ht="12.75">
      <c r="A1" t="s">
        <v>475</v>
      </c>
    </row>
    <row r="3" spans="1:5" ht="12.75">
      <c r="A3" s="301" t="s">
        <v>476</v>
      </c>
      <c r="B3" s="301" t="s">
        <v>396</v>
      </c>
      <c r="C3" s="121" t="s">
        <v>397</v>
      </c>
      <c r="D3" s="121" t="s">
        <v>398</v>
      </c>
      <c r="E3" s="121" t="s">
        <v>0</v>
      </c>
    </row>
    <row r="4" spans="1:2" ht="12.75">
      <c r="A4" s="45"/>
      <c r="B4" s="45"/>
    </row>
    <row r="5" spans="1:2" ht="14.25">
      <c r="A5" s="300" t="s">
        <v>477</v>
      </c>
      <c r="B5" s="381" t="s">
        <v>478</v>
      </c>
    </row>
    <row r="6" spans="1:2" ht="14.25">
      <c r="A6" s="301" t="s">
        <v>399</v>
      </c>
      <c r="B6" s="382">
        <v>35821876.35</v>
      </c>
    </row>
    <row r="7" spans="1:2" ht="14.25">
      <c r="A7" s="301" t="s">
        <v>400</v>
      </c>
      <c r="B7" s="382">
        <v>8304777.92</v>
      </c>
    </row>
    <row r="8" spans="1:2" ht="14.25">
      <c r="A8" s="301" t="s">
        <v>401</v>
      </c>
      <c r="B8" s="382">
        <v>14205811.33</v>
      </c>
    </row>
    <row r="9" spans="1:2" ht="12.75">
      <c r="A9" s="45"/>
      <c r="B9" s="45"/>
    </row>
    <row r="10" spans="1:2" ht="12.75">
      <c r="A10" s="301" t="s">
        <v>476</v>
      </c>
      <c r="B10" s="301" t="s">
        <v>402</v>
      </c>
    </row>
    <row r="11" spans="1:2" ht="12.75">
      <c r="A11" s="45"/>
      <c r="B11" s="45"/>
    </row>
    <row r="12" spans="1:2" ht="14.25">
      <c r="A12" s="300" t="s">
        <v>477</v>
      </c>
      <c r="B12" s="381" t="s">
        <v>478</v>
      </c>
    </row>
    <row r="13" spans="1:2" ht="14.25">
      <c r="A13" s="301" t="s">
        <v>399</v>
      </c>
      <c r="B13" s="382">
        <v>150339.62</v>
      </c>
    </row>
    <row r="14" spans="1:2" ht="14.25">
      <c r="A14" s="301" t="s">
        <v>400</v>
      </c>
      <c r="B14" s="382">
        <v>19167.43</v>
      </c>
    </row>
    <row r="15" spans="1:2" ht="14.25">
      <c r="A15" s="301" t="s">
        <v>401</v>
      </c>
      <c r="B15" s="382">
        <v>31741.57</v>
      </c>
    </row>
    <row r="17" spans="2:5" ht="12.75">
      <c r="B17" s="302" t="s">
        <v>403</v>
      </c>
      <c r="C17" s="303">
        <f>(B6-B13)/B6</f>
        <v>0.9958</v>
      </c>
      <c r="D17" s="303">
        <f>B13/B6</f>
        <v>0.0042</v>
      </c>
      <c r="E17" s="303">
        <f>SUM(C17:D17)</f>
        <v>1</v>
      </c>
    </row>
    <row r="18" spans="2:5" ht="12.75">
      <c r="B18" s="279" t="s">
        <v>404</v>
      </c>
      <c r="C18" s="195">
        <f>(B7-B14)/B7</f>
        <v>0.9977</v>
      </c>
      <c r="D18" s="195">
        <f>B14/B7</f>
        <v>0.0023</v>
      </c>
      <c r="E18" s="195">
        <f>SUM(C18:D18)</f>
        <v>1</v>
      </c>
    </row>
    <row r="19" spans="2:5" ht="12.75">
      <c r="B19" s="279" t="s">
        <v>405</v>
      </c>
      <c r="C19" s="195">
        <f>(B8-B15)/B8</f>
        <v>0.9978</v>
      </c>
      <c r="D19" s="195">
        <f>B15/B8</f>
        <v>0.0022</v>
      </c>
      <c r="E19" s="195">
        <f>SUM(C19:D19)</f>
        <v>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64">
      <selection activeCell="A84" sqref="A84"/>
    </sheetView>
  </sheetViews>
  <sheetFormatPr defaultColWidth="9.33203125" defaultRowHeight="12.75"/>
  <cols>
    <col min="1" max="1" width="10.83203125" style="45" bestFit="1" customWidth="1"/>
    <col min="2" max="2" width="12" style="45" bestFit="1" customWidth="1"/>
    <col min="3" max="3" width="15" style="45" bestFit="1" customWidth="1"/>
    <col min="4" max="4" width="14.83203125" style="45" bestFit="1" customWidth="1"/>
    <col min="5" max="6" width="13.66015625" style="45" bestFit="1" customWidth="1"/>
    <col min="7" max="7" width="15" style="45" bestFit="1" customWidth="1"/>
    <col min="8" max="8" width="15" style="45" customWidth="1"/>
    <col min="9" max="9" width="10.5" style="45" bestFit="1" customWidth="1"/>
    <col min="10" max="11" width="9.5" style="45" bestFit="1" customWidth="1"/>
    <col min="12" max="16384" width="9.33203125" style="45" customWidth="1"/>
  </cols>
  <sheetData>
    <row r="1" spans="1:7" ht="12.75">
      <c r="A1" s="219"/>
      <c r="B1" s="311"/>
      <c r="C1" s="221" t="s">
        <v>187</v>
      </c>
      <c r="D1" s="222"/>
      <c r="E1" s="222"/>
      <c r="F1" s="222"/>
      <c r="G1" s="312"/>
    </row>
    <row r="2" spans="1:7" ht="12.75">
      <c r="A2" s="220"/>
      <c r="B2" s="184" t="s">
        <v>186</v>
      </c>
      <c r="C2" s="184" t="s">
        <v>256</v>
      </c>
      <c r="D2" s="184" t="s">
        <v>217</v>
      </c>
      <c r="E2" s="184" t="s">
        <v>126</v>
      </c>
      <c r="F2" s="184" t="s">
        <v>125</v>
      </c>
      <c r="G2" s="184" t="s">
        <v>262</v>
      </c>
    </row>
    <row r="3" spans="1:7" ht="12.75">
      <c r="A3" s="184" t="s">
        <v>427</v>
      </c>
      <c r="B3" s="313"/>
      <c r="C3" s="313"/>
      <c r="D3" s="313"/>
      <c r="E3" s="313"/>
      <c r="F3" s="313"/>
      <c r="G3" s="313"/>
    </row>
    <row r="4" spans="1:7" ht="12.75">
      <c r="A4" s="184" t="s">
        <v>216</v>
      </c>
      <c r="B4" s="313"/>
      <c r="C4" s="185" t="s">
        <v>350</v>
      </c>
      <c r="D4" s="185">
        <v>154451.09</v>
      </c>
      <c r="E4" s="185" t="s">
        <v>350</v>
      </c>
      <c r="F4" s="185" t="s">
        <v>350</v>
      </c>
      <c r="G4" s="186">
        <v>154451.09</v>
      </c>
    </row>
    <row r="5" spans="1:7" ht="12.75">
      <c r="A5" s="184" t="s">
        <v>218</v>
      </c>
      <c r="B5" s="313"/>
      <c r="C5" s="185" t="s">
        <v>350</v>
      </c>
      <c r="D5" s="185">
        <v>662195.19</v>
      </c>
      <c r="E5" s="185" t="s">
        <v>350</v>
      </c>
      <c r="F5" s="185" t="s">
        <v>350</v>
      </c>
      <c r="G5" s="186">
        <v>662195.19</v>
      </c>
    </row>
    <row r="6" spans="1:7" ht="12.75">
      <c r="A6" s="184" t="s">
        <v>219</v>
      </c>
      <c r="B6" s="313"/>
      <c r="C6" s="185" t="s">
        <v>350</v>
      </c>
      <c r="D6" s="185">
        <v>383797.29</v>
      </c>
      <c r="E6" s="185" t="s">
        <v>350</v>
      </c>
      <c r="F6" s="185" t="s">
        <v>350</v>
      </c>
      <c r="G6" s="186">
        <v>383797.29</v>
      </c>
    </row>
    <row r="7" spans="1:7" ht="12.75">
      <c r="A7" s="184" t="s">
        <v>220</v>
      </c>
      <c r="B7" s="313"/>
      <c r="C7" s="185" t="s">
        <v>350</v>
      </c>
      <c r="D7" s="185">
        <v>429458.85</v>
      </c>
      <c r="E7" s="185" t="s">
        <v>350</v>
      </c>
      <c r="F7" s="185" t="s">
        <v>350</v>
      </c>
      <c r="G7" s="186">
        <v>429458.85</v>
      </c>
    </row>
    <row r="8" spans="1:7" ht="12.75">
      <c r="A8" s="184" t="s">
        <v>221</v>
      </c>
      <c r="B8" s="313"/>
      <c r="C8" s="185" t="s">
        <v>350</v>
      </c>
      <c r="D8" s="185">
        <v>126835.16</v>
      </c>
      <c r="E8" s="185" t="s">
        <v>350</v>
      </c>
      <c r="F8" s="185" t="s">
        <v>350</v>
      </c>
      <c r="G8" s="186">
        <v>126835.16</v>
      </c>
    </row>
    <row r="9" spans="1:7" ht="12.75">
      <c r="A9" s="184" t="s">
        <v>222</v>
      </c>
      <c r="B9" s="313"/>
      <c r="C9" s="185" t="s">
        <v>350</v>
      </c>
      <c r="D9" s="185">
        <v>66470.12</v>
      </c>
      <c r="E9" s="185" t="s">
        <v>350</v>
      </c>
      <c r="F9" s="185" t="s">
        <v>350</v>
      </c>
      <c r="G9" s="186">
        <v>66470.12</v>
      </c>
    </row>
    <row r="10" spans="1:7" ht="12.75">
      <c r="A10" s="184" t="s">
        <v>223</v>
      </c>
      <c r="B10" s="313"/>
      <c r="C10" s="185" t="s">
        <v>350</v>
      </c>
      <c r="D10" s="185">
        <v>3589.65</v>
      </c>
      <c r="E10" s="185" t="s">
        <v>350</v>
      </c>
      <c r="F10" s="185" t="s">
        <v>350</v>
      </c>
      <c r="G10" s="186">
        <v>3589.65</v>
      </c>
    </row>
    <row r="11" spans="1:7" ht="12.75">
      <c r="A11" s="184" t="s">
        <v>224</v>
      </c>
      <c r="B11" s="313"/>
      <c r="C11" s="185" t="s">
        <v>350</v>
      </c>
      <c r="D11" s="185">
        <v>364689.39</v>
      </c>
      <c r="E11" s="185" t="s">
        <v>350</v>
      </c>
      <c r="F11" s="185" t="s">
        <v>350</v>
      </c>
      <c r="G11" s="186">
        <v>364689.39</v>
      </c>
    </row>
    <row r="12" spans="1:7" ht="12.75">
      <c r="A12" s="184" t="s">
        <v>225</v>
      </c>
      <c r="B12" s="313"/>
      <c r="C12" s="185" t="s">
        <v>350</v>
      </c>
      <c r="D12" s="185">
        <v>91859.29</v>
      </c>
      <c r="E12" s="185" t="s">
        <v>350</v>
      </c>
      <c r="F12" s="185" t="s">
        <v>350</v>
      </c>
      <c r="G12" s="186">
        <v>91859.29</v>
      </c>
    </row>
    <row r="13" spans="1:7" ht="12.75">
      <c r="A13" s="184" t="s">
        <v>226</v>
      </c>
      <c r="B13" s="313"/>
      <c r="C13" s="185" t="s">
        <v>350</v>
      </c>
      <c r="D13" s="185">
        <v>66325.71</v>
      </c>
      <c r="E13" s="185" t="s">
        <v>350</v>
      </c>
      <c r="F13" s="185" t="s">
        <v>350</v>
      </c>
      <c r="G13" s="186">
        <v>66325.71</v>
      </c>
    </row>
    <row r="14" spans="1:7" ht="12.75">
      <c r="A14" s="184" t="s">
        <v>227</v>
      </c>
      <c r="B14" s="313"/>
      <c r="C14" s="185" t="s">
        <v>350</v>
      </c>
      <c r="D14" s="185">
        <v>971873.55</v>
      </c>
      <c r="E14" s="185" t="s">
        <v>350</v>
      </c>
      <c r="F14" s="185" t="s">
        <v>350</v>
      </c>
      <c r="G14" s="186">
        <v>971873.55</v>
      </c>
    </row>
    <row r="15" spans="1:7" ht="12.75">
      <c r="A15" s="184" t="s">
        <v>336</v>
      </c>
      <c r="B15" s="313"/>
      <c r="C15" s="185" t="s">
        <v>350</v>
      </c>
      <c r="D15" s="185">
        <v>7688.44</v>
      </c>
      <c r="E15" s="185" t="s">
        <v>350</v>
      </c>
      <c r="F15" s="185" t="s">
        <v>350</v>
      </c>
      <c r="G15" s="186">
        <v>7688.44</v>
      </c>
    </row>
    <row r="16" spans="1:7" ht="12.75">
      <c r="A16" s="184" t="s">
        <v>228</v>
      </c>
      <c r="B16" s="313"/>
      <c r="C16" s="185" t="s">
        <v>350</v>
      </c>
      <c r="D16" s="185">
        <v>311063.1</v>
      </c>
      <c r="E16" s="185" t="s">
        <v>350</v>
      </c>
      <c r="F16" s="185" t="s">
        <v>350</v>
      </c>
      <c r="G16" s="186">
        <v>311063.1</v>
      </c>
    </row>
    <row r="17" spans="1:7" ht="12.75">
      <c r="A17" s="184" t="s">
        <v>229</v>
      </c>
      <c r="B17" s="313"/>
      <c r="C17" s="185" t="s">
        <v>350</v>
      </c>
      <c r="D17" s="185">
        <v>3165414.91</v>
      </c>
      <c r="E17" s="185" t="s">
        <v>350</v>
      </c>
      <c r="F17" s="185" t="s">
        <v>350</v>
      </c>
      <c r="G17" s="186">
        <v>3165414.91</v>
      </c>
    </row>
    <row r="18" spans="1:7" ht="12.75">
      <c r="A18" s="184" t="s">
        <v>230</v>
      </c>
      <c r="B18" s="313"/>
      <c r="C18" s="185" t="s">
        <v>350</v>
      </c>
      <c r="D18" s="185">
        <v>297844.34</v>
      </c>
      <c r="E18" s="185" t="s">
        <v>350</v>
      </c>
      <c r="F18" s="185" t="s">
        <v>350</v>
      </c>
      <c r="G18" s="186">
        <v>297844.34</v>
      </c>
    </row>
    <row r="19" spans="1:7" ht="12.75">
      <c r="A19" s="184" t="s">
        <v>231</v>
      </c>
      <c r="B19" s="313"/>
      <c r="C19" s="185" t="s">
        <v>350</v>
      </c>
      <c r="D19" s="185">
        <v>142136.24</v>
      </c>
      <c r="E19" s="185" t="s">
        <v>350</v>
      </c>
      <c r="F19" s="185" t="s">
        <v>350</v>
      </c>
      <c r="G19" s="186">
        <v>142136.24</v>
      </c>
    </row>
    <row r="20" spans="1:7" ht="12.75">
      <c r="A20" s="184" t="s">
        <v>232</v>
      </c>
      <c r="B20" s="313"/>
      <c r="C20" s="185" t="s">
        <v>350</v>
      </c>
      <c r="D20" s="185">
        <v>141169.41</v>
      </c>
      <c r="E20" s="185" t="s">
        <v>350</v>
      </c>
      <c r="F20" s="185" t="s">
        <v>350</v>
      </c>
      <c r="G20" s="186">
        <v>141169.41</v>
      </c>
    </row>
    <row r="21" spans="1:7" ht="12.75">
      <c r="A21" s="184" t="s">
        <v>233</v>
      </c>
      <c r="B21" s="313"/>
      <c r="C21" s="185" t="s">
        <v>350</v>
      </c>
      <c r="D21" s="185">
        <v>393427.12</v>
      </c>
      <c r="E21" s="185" t="s">
        <v>350</v>
      </c>
      <c r="F21" s="185" t="s">
        <v>350</v>
      </c>
      <c r="G21" s="186">
        <v>393427.12</v>
      </c>
    </row>
    <row r="22" spans="1:7" ht="12.75">
      <c r="A22" s="184" t="s">
        <v>234</v>
      </c>
      <c r="B22" s="313"/>
      <c r="C22" s="185" t="s">
        <v>350</v>
      </c>
      <c r="D22" s="185">
        <v>1122453.19</v>
      </c>
      <c r="E22" s="185" t="s">
        <v>350</v>
      </c>
      <c r="F22" s="185" t="s">
        <v>350</v>
      </c>
      <c r="G22" s="186">
        <v>1122453.19</v>
      </c>
    </row>
    <row r="23" spans="1:7" ht="12.75">
      <c r="A23" s="184" t="s">
        <v>235</v>
      </c>
      <c r="B23" s="313"/>
      <c r="C23" s="185" t="s">
        <v>350</v>
      </c>
      <c r="D23" s="185">
        <v>123817.52</v>
      </c>
      <c r="E23" s="185" t="s">
        <v>350</v>
      </c>
      <c r="F23" s="185" t="s">
        <v>350</v>
      </c>
      <c r="G23" s="186">
        <v>123817.52</v>
      </c>
    </row>
    <row r="24" spans="1:7" ht="12.75">
      <c r="A24" s="184" t="s">
        <v>236</v>
      </c>
      <c r="B24" s="313"/>
      <c r="C24" s="185" t="s">
        <v>350</v>
      </c>
      <c r="D24" s="185">
        <v>194618.08</v>
      </c>
      <c r="E24" s="185" t="s">
        <v>350</v>
      </c>
      <c r="F24" s="185" t="s">
        <v>350</v>
      </c>
      <c r="G24" s="186">
        <v>194618.08</v>
      </c>
    </row>
    <row r="25" spans="1:7" ht="12.75">
      <c r="A25" s="184" t="s">
        <v>237</v>
      </c>
      <c r="B25" s="313"/>
      <c r="C25" s="185" t="s">
        <v>350</v>
      </c>
      <c r="D25" s="185">
        <v>195425.92</v>
      </c>
      <c r="E25" s="185" t="s">
        <v>350</v>
      </c>
      <c r="F25" s="185" t="s">
        <v>350</v>
      </c>
      <c r="G25" s="186">
        <v>195425.92</v>
      </c>
    </row>
    <row r="26" spans="1:7" ht="12.75">
      <c r="A26" s="184" t="s">
        <v>238</v>
      </c>
      <c r="B26" s="313"/>
      <c r="C26" s="185" t="s">
        <v>350</v>
      </c>
      <c r="D26" s="185">
        <v>116313.49</v>
      </c>
      <c r="E26" s="185" t="s">
        <v>350</v>
      </c>
      <c r="F26" s="185" t="s">
        <v>350</v>
      </c>
      <c r="G26" s="186">
        <v>116313.49</v>
      </c>
    </row>
    <row r="27" spans="1:7" ht="12.75">
      <c r="A27" s="184" t="s">
        <v>239</v>
      </c>
      <c r="B27" s="313"/>
      <c r="C27" s="185" t="s">
        <v>350</v>
      </c>
      <c r="D27" s="185">
        <v>90165.61</v>
      </c>
      <c r="E27" s="185" t="s">
        <v>350</v>
      </c>
      <c r="F27" s="185" t="s">
        <v>350</v>
      </c>
      <c r="G27" s="186">
        <v>90165.61</v>
      </c>
    </row>
    <row r="28" spans="1:7" ht="12.75">
      <c r="A28" s="184" t="s">
        <v>240</v>
      </c>
      <c r="B28" s="313"/>
      <c r="C28" s="185" t="s">
        <v>350</v>
      </c>
      <c r="D28" s="185">
        <v>1782.35</v>
      </c>
      <c r="E28" s="185" t="s">
        <v>350</v>
      </c>
      <c r="F28" s="185" t="s">
        <v>350</v>
      </c>
      <c r="G28" s="186">
        <v>1782.35</v>
      </c>
    </row>
    <row r="29" spans="1:7" ht="12.75">
      <c r="A29" s="184" t="s">
        <v>241</v>
      </c>
      <c r="B29" s="313"/>
      <c r="C29" s="185" t="s">
        <v>350</v>
      </c>
      <c r="D29" s="185">
        <v>160200.38</v>
      </c>
      <c r="E29" s="185" t="s">
        <v>350</v>
      </c>
      <c r="F29" s="185" t="s">
        <v>350</v>
      </c>
      <c r="G29" s="186">
        <v>160200.38</v>
      </c>
    </row>
    <row r="30" spans="1:7" ht="12.75">
      <c r="A30" s="184" t="s">
        <v>242</v>
      </c>
      <c r="B30" s="313"/>
      <c r="C30" s="185" t="s">
        <v>350</v>
      </c>
      <c r="D30" s="185">
        <v>67365.83</v>
      </c>
      <c r="E30" s="185" t="s">
        <v>350</v>
      </c>
      <c r="F30" s="185" t="s">
        <v>350</v>
      </c>
      <c r="G30" s="186">
        <v>67365.83</v>
      </c>
    </row>
    <row r="31" spans="1:9" ht="12.75">
      <c r="A31" s="184" t="s">
        <v>243</v>
      </c>
      <c r="B31" s="313"/>
      <c r="C31" s="185" t="s">
        <v>350</v>
      </c>
      <c r="D31" s="185">
        <v>248134.71</v>
      </c>
      <c r="E31" s="185" t="s">
        <v>350</v>
      </c>
      <c r="F31" s="185" t="s">
        <v>350</v>
      </c>
      <c r="G31" s="186">
        <v>248134.71</v>
      </c>
      <c r="H31" s="408" t="s">
        <v>488</v>
      </c>
      <c r="I31" s="409"/>
    </row>
    <row r="32" spans="1:9" ht="12.75">
      <c r="A32" s="402" t="s">
        <v>244</v>
      </c>
      <c r="B32" s="403"/>
      <c r="C32" s="404" t="s">
        <v>350</v>
      </c>
      <c r="D32" s="404">
        <f>2953722.28-H32</f>
        <v>2842175.5</v>
      </c>
      <c r="E32" s="404" t="s">
        <v>350</v>
      </c>
      <c r="F32" s="404" t="s">
        <v>350</v>
      </c>
      <c r="G32" s="405">
        <f>2953722.28-H32</f>
        <v>2842175.5</v>
      </c>
      <c r="H32" s="407">
        <v>111546.78</v>
      </c>
      <c r="I32" s="409"/>
    </row>
    <row r="33" spans="1:7" ht="12.75">
      <c r="A33" s="184" t="s">
        <v>245</v>
      </c>
      <c r="B33" s="313"/>
      <c r="C33" s="185" t="s">
        <v>350</v>
      </c>
      <c r="D33" s="185">
        <v>1122147.29</v>
      </c>
      <c r="E33" s="185" t="s">
        <v>350</v>
      </c>
      <c r="F33" s="185" t="s">
        <v>350</v>
      </c>
      <c r="G33" s="186">
        <v>1122147.29</v>
      </c>
    </row>
    <row r="34" spans="1:7" ht="12.75">
      <c r="A34" s="184" t="s">
        <v>246</v>
      </c>
      <c r="B34" s="313"/>
      <c r="C34" s="185" t="s">
        <v>350</v>
      </c>
      <c r="D34" s="185">
        <v>1253584.49</v>
      </c>
      <c r="E34" s="185" t="s">
        <v>350</v>
      </c>
      <c r="F34" s="185" t="s">
        <v>350</v>
      </c>
      <c r="G34" s="186">
        <v>1253584.49</v>
      </c>
    </row>
    <row r="35" spans="1:7" ht="12.75">
      <c r="A35" s="184" t="s">
        <v>247</v>
      </c>
      <c r="B35" s="313"/>
      <c r="C35" s="185" t="s">
        <v>350</v>
      </c>
      <c r="D35" s="185">
        <v>95545.53</v>
      </c>
      <c r="E35" s="185" t="s">
        <v>350</v>
      </c>
      <c r="F35" s="185" t="s">
        <v>350</v>
      </c>
      <c r="G35" s="186">
        <v>95545.53</v>
      </c>
    </row>
    <row r="36" spans="1:7" ht="12.75">
      <c r="A36" s="184" t="s">
        <v>248</v>
      </c>
      <c r="B36" s="313"/>
      <c r="C36" s="185" t="s">
        <v>350</v>
      </c>
      <c r="D36" s="185">
        <v>96413.56</v>
      </c>
      <c r="E36" s="185" t="s">
        <v>350</v>
      </c>
      <c r="F36" s="185" t="s">
        <v>350</v>
      </c>
      <c r="G36" s="186">
        <v>96413.56</v>
      </c>
    </row>
    <row r="37" spans="1:7" ht="12.75">
      <c r="A37" s="184" t="s">
        <v>249</v>
      </c>
      <c r="B37" s="313"/>
      <c r="C37" s="185" t="s">
        <v>350</v>
      </c>
      <c r="D37" s="185">
        <v>267852.9</v>
      </c>
      <c r="E37" s="185" t="s">
        <v>350</v>
      </c>
      <c r="F37" s="185" t="s">
        <v>350</v>
      </c>
      <c r="G37" s="186">
        <v>267852.9</v>
      </c>
    </row>
    <row r="38" spans="1:7" ht="12.75">
      <c r="A38" s="184" t="s">
        <v>430</v>
      </c>
      <c r="B38" s="313"/>
      <c r="C38" s="185" t="s">
        <v>350</v>
      </c>
      <c r="D38" s="185">
        <v>531.03</v>
      </c>
      <c r="E38" s="185" t="s">
        <v>350</v>
      </c>
      <c r="F38" s="185" t="s">
        <v>350</v>
      </c>
      <c r="G38" s="186">
        <v>531.03</v>
      </c>
    </row>
    <row r="39" spans="1:7" ht="12.75">
      <c r="A39" s="184" t="s">
        <v>250</v>
      </c>
      <c r="B39" s="313"/>
      <c r="C39" s="185" t="s">
        <v>350</v>
      </c>
      <c r="D39" s="185">
        <v>253369.81</v>
      </c>
      <c r="E39" s="185" t="s">
        <v>350</v>
      </c>
      <c r="F39" s="185" t="s">
        <v>350</v>
      </c>
      <c r="G39" s="186">
        <v>253369.81</v>
      </c>
    </row>
    <row r="40" spans="1:7" ht="12.75">
      <c r="A40" s="184" t="s">
        <v>251</v>
      </c>
      <c r="B40" s="313"/>
      <c r="C40" s="185" t="s">
        <v>350</v>
      </c>
      <c r="D40" s="185">
        <v>115104.06</v>
      </c>
      <c r="E40" s="185" t="s">
        <v>350</v>
      </c>
      <c r="F40" s="185" t="s">
        <v>350</v>
      </c>
      <c r="G40" s="186">
        <v>115104.06</v>
      </c>
    </row>
    <row r="41" spans="1:7" ht="12.75">
      <c r="A41" s="184" t="s">
        <v>252</v>
      </c>
      <c r="B41" s="313"/>
      <c r="C41" s="185" t="s">
        <v>350</v>
      </c>
      <c r="D41" s="185">
        <v>466612.7</v>
      </c>
      <c r="E41" s="185" t="s">
        <v>350</v>
      </c>
      <c r="F41" s="185" t="s">
        <v>350</v>
      </c>
      <c r="G41" s="186">
        <v>466612.7</v>
      </c>
    </row>
    <row r="42" spans="1:7" ht="12.75">
      <c r="A42" s="184" t="s">
        <v>253</v>
      </c>
      <c r="B42" s="313"/>
      <c r="C42" s="185" t="s">
        <v>350</v>
      </c>
      <c r="D42" s="185">
        <v>46556.29</v>
      </c>
      <c r="E42" s="185" t="s">
        <v>350</v>
      </c>
      <c r="F42" s="185" t="s">
        <v>350</v>
      </c>
      <c r="G42" s="186">
        <v>46556.29</v>
      </c>
    </row>
    <row r="43" spans="1:7" ht="12.75">
      <c r="A43" s="184" t="s">
        <v>254</v>
      </c>
      <c r="B43" s="313"/>
      <c r="C43" s="185" t="s">
        <v>350</v>
      </c>
      <c r="D43" s="185">
        <v>4080.88</v>
      </c>
      <c r="E43" s="185" t="s">
        <v>350</v>
      </c>
      <c r="F43" s="185" t="s">
        <v>350</v>
      </c>
      <c r="G43" s="186">
        <v>4080.88</v>
      </c>
    </row>
    <row r="44" spans="1:7" ht="12.75">
      <c r="A44" s="184" t="s">
        <v>255</v>
      </c>
      <c r="B44" s="313"/>
      <c r="C44" s="185" t="s">
        <v>350</v>
      </c>
      <c r="D44" s="185">
        <v>18409.72</v>
      </c>
      <c r="E44" s="185" t="s">
        <v>350</v>
      </c>
      <c r="F44" s="185" t="s">
        <v>350</v>
      </c>
      <c r="G44" s="186">
        <v>18409.72</v>
      </c>
    </row>
    <row r="45" spans="1:7" ht="12.75">
      <c r="A45" s="184" t="s">
        <v>188</v>
      </c>
      <c r="B45" s="313"/>
      <c r="C45" s="185" t="s">
        <v>350</v>
      </c>
      <c r="D45" s="185">
        <v>720569.54</v>
      </c>
      <c r="E45" s="185">
        <v>60171.17</v>
      </c>
      <c r="F45" s="185">
        <v>116573.75</v>
      </c>
      <c r="G45" s="186">
        <v>897314.46</v>
      </c>
    </row>
    <row r="46" spans="1:7" ht="12.75">
      <c r="A46" s="184" t="s">
        <v>189</v>
      </c>
      <c r="B46" s="313"/>
      <c r="C46" s="185" t="s">
        <v>350</v>
      </c>
      <c r="D46" s="185">
        <v>1485.56</v>
      </c>
      <c r="E46" s="185">
        <v>127872.91</v>
      </c>
      <c r="F46" s="185">
        <v>185856.25</v>
      </c>
      <c r="G46" s="186">
        <v>315214.72</v>
      </c>
    </row>
    <row r="47" spans="1:7" ht="12.75">
      <c r="A47" s="184" t="s">
        <v>190</v>
      </c>
      <c r="B47" s="313"/>
      <c r="C47" s="185" t="s">
        <v>350</v>
      </c>
      <c r="D47" s="185">
        <v>765160.55</v>
      </c>
      <c r="E47" s="185">
        <v>374988.13</v>
      </c>
      <c r="F47" s="185">
        <v>584280</v>
      </c>
      <c r="G47" s="186">
        <v>1724428.68</v>
      </c>
    </row>
    <row r="48" spans="1:7" ht="12.75">
      <c r="A48" s="184" t="s">
        <v>191</v>
      </c>
      <c r="B48" s="313"/>
      <c r="C48" s="185" t="s">
        <v>350</v>
      </c>
      <c r="D48" s="185" t="s">
        <v>350</v>
      </c>
      <c r="E48" s="185">
        <v>242795.88</v>
      </c>
      <c r="F48" s="185">
        <v>532971.72</v>
      </c>
      <c r="G48" s="186">
        <v>775767.6</v>
      </c>
    </row>
    <row r="49" spans="1:7" ht="12.75">
      <c r="A49" s="184" t="s">
        <v>192</v>
      </c>
      <c r="B49" s="313"/>
      <c r="C49" s="185" t="s">
        <v>350</v>
      </c>
      <c r="D49" s="185" t="s">
        <v>350</v>
      </c>
      <c r="E49" s="185">
        <v>74932.95</v>
      </c>
      <c r="F49" s="185">
        <v>18562.34</v>
      </c>
      <c r="G49" s="186">
        <v>93495.29</v>
      </c>
    </row>
    <row r="50" spans="1:7" ht="12.75">
      <c r="A50" s="184" t="s">
        <v>193</v>
      </c>
      <c r="B50" s="313"/>
      <c r="C50" s="185" t="s">
        <v>350</v>
      </c>
      <c r="D50" s="185" t="s">
        <v>350</v>
      </c>
      <c r="E50" s="185">
        <v>76221.41</v>
      </c>
      <c r="F50" s="185">
        <v>851636.95</v>
      </c>
      <c r="G50" s="186">
        <v>927858.36</v>
      </c>
    </row>
    <row r="51" spans="1:7" ht="12.75">
      <c r="A51" s="184" t="s">
        <v>194</v>
      </c>
      <c r="B51" s="313"/>
      <c r="C51" s="185" t="s">
        <v>350</v>
      </c>
      <c r="D51" s="185" t="s">
        <v>350</v>
      </c>
      <c r="E51" s="185">
        <v>289127.27</v>
      </c>
      <c r="F51" s="185">
        <v>230974.07</v>
      </c>
      <c r="G51" s="186">
        <v>520101.34</v>
      </c>
    </row>
    <row r="52" spans="1:7" ht="12.75">
      <c r="A52" s="184" t="s">
        <v>195</v>
      </c>
      <c r="B52" s="313"/>
      <c r="C52" s="185" t="s">
        <v>350</v>
      </c>
      <c r="D52" s="185">
        <v>1287492.87</v>
      </c>
      <c r="E52" s="185">
        <v>525409.36</v>
      </c>
      <c r="F52" s="185">
        <v>1084078.16</v>
      </c>
      <c r="G52" s="186">
        <v>2896980.39</v>
      </c>
    </row>
    <row r="53" spans="1:7" ht="12.75">
      <c r="A53" s="184" t="s">
        <v>196</v>
      </c>
      <c r="B53" s="313"/>
      <c r="C53" s="185" t="s">
        <v>350</v>
      </c>
      <c r="D53" s="185" t="s">
        <v>350</v>
      </c>
      <c r="E53" s="185">
        <v>128.78</v>
      </c>
      <c r="F53" s="185">
        <v>945.32</v>
      </c>
      <c r="G53" s="186">
        <v>1074.1</v>
      </c>
    </row>
    <row r="54" spans="1:7" ht="12.75">
      <c r="A54" s="184" t="s">
        <v>197</v>
      </c>
      <c r="B54" s="313"/>
      <c r="C54" s="185" t="s">
        <v>350</v>
      </c>
      <c r="D54" s="185">
        <v>173128.23</v>
      </c>
      <c r="E54" s="185">
        <v>116042.51</v>
      </c>
      <c r="F54" s="185">
        <v>225439.16</v>
      </c>
      <c r="G54" s="186">
        <v>514609.9</v>
      </c>
    </row>
    <row r="55" spans="1:7" ht="12.75">
      <c r="A55" s="184" t="s">
        <v>198</v>
      </c>
      <c r="B55" s="313"/>
      <c r="C55" s="185" t="s">
        <v>350</v>
      </c>
      <c r="D55" s="185">
        <v>408.55</v>
      </c>
      <c r="E55" s="185">
        <v>17678.43</v>
      </c>
      <c r="F55" s="185">
        <v>48516.18</v>
      </c>
      <c r="G55" s="186">
        <v>66603.16</v>
      </c>
    </row>
    <row r="56" spans="1:7" ht="12.75">
      <c r="A56" s="184" t="s">
        <v>199</v>
      </c>
      <c r="B56" s="313"/>
      <c r="C56" s="185" t="s">
        <v>350</v>
      </c>
      <c r="D56" s="185">
        <v>140.59</v>
      </c>
      <c r="E56" s="185">
        <v>78485.83</v>
      </c>
      <c r="F56" s="185">
        <v>303641.84</v>
      </c>
      <c r="G56" s="186">
        <v>382268.26</v>
      </c>
    </row>
    <row r="57" spans="1:7" ht="12.75">
      <c r="A57" s="184" t="s">
        <v>200</v>
      </c>
      <c r="B57" s="313"/>
      <c r="C57" s="185" t="s">
        <v>350</v>
      </c>
      <c r="D57" s="185" t="s">
        <v>350</v>
      </c>
      <c r="E57" s="185">
        <v>907064.14</v>
      </c>
      <c r="F57" s="185">
        <v>1289402.1</v>
      </c>
      <c r="G57" s="186">
        <v>2196466.24</v>
      </c>
    </row>
    <row r="58" spans="1:7" ht="12.75">
      <c r="A58" s="184" t="s">
        <v>201</v>
      </c>
      <c r="B58" s="313"/>
      <c r="C58" s="185" t="s">
        <v>350</v>
      </c>
      <c r="D58" s="185" t="s">
        <v>350</v>
      </c>
      <c r="E58" s="185">
        <v>183201.5</v>
      </c>
      <c r="F58" s="185">
        <v>441822.93</v>
      </c>
      <c r="G58" s="186">
        <v>625024.43</v>
      </c>
    </row>
    <row r="59" spans="1:7" ht="12.75">
      <c r="A59" s="184" t="s">
        <v>202</v>
      </c>
      <c r="B59" s="313"/>
      <c r="C59" s="185" t="s">
        <v>350</v>
      </c>
      <c r="D59" s="185">
        <v>101632.37</v>
      </c>
      <c r="E59" s="185">
        <v>33500.53</v>
      </c>
      <c r="F59" s="185">
        <v>241314.45</v>
      </c>
      <c r="G59" s="186">
        <v>376447.35</v>
      </c>
    </row>
    <row r="60" spans="1:7" ht="12.75">
      <c r="A60" s="184" t="s">
        <v>203</v>
      </c>
      <c r="B60" s="313"/>
      <c r="C60" s="185" t="s">
        <v>350</v>
      </c>
      <c r="D60" s="185" t="s">
        <v>350</v>
      </c>
      <c r="E60" s="185">
        <v>60447.52</v>
      </c>
      <c r="F60" s="185">
        <v>187014.82</v>
      </c>
      <c r="G60" s="186">
        <v>247462.34</v>
      </c>
    </row>
    <row r="61" spans="1:7" ht="12.75">
      <c r="A61" s="184" t="s">
        <v>204</v>
      </c>
      <c r="B61" s="313"/>
      <c r="C61" s="185" t="s">
        <v>350</v>
      </c>
      <c r="D61" s="185" t="s">
        <v>350</v>
      </c>
      <c r="E61" s="185">
        <v>33080.87</v>
      </c>
      <c r="F61" s="185">
        <v>55772.76</v>
      </c>
      <c r="G61" s="186">
        <v>88853.63</v>
      </c>
    </row>
    <row r="62" spans="1:7" ht="12.75">
      <c r="A62" s="184" t="s">
        <v>205</v>
      </c>
      <c r="B62" s="313"/>
      <c r="C62" s="185" t="s">
        <v>350</v>
      </c>
      <c r="D62" s="185" t="s">
        <v>350</v>
      </c>
      <c r="E62" s="185">
        <v>87751.49</v>
      </c>
      <c r="F62" s="185">
        <v>167046.61</v>
      </c>
      <c r="G62" s="186">
        <v>254798.1</v>
      </c>
    </row>
    <row r="63" spans="1:7" ht="12.75">
      <c r="A63" s="184" t="s">
        <v>257</v>
      </c>
      <c r="B63" s="313"/>
      <c r="C63" s="185">
        <v>334756.72</v>
      </c>
      <c r="D63" s="185" t="s">
        <v>350</v>
      </c>
      <c r="E63" s="185" t="s">
        <v>350</v>
      </c>
      <c r="F63" s="185" t="s">
        <v>350</v>
      </c>
      <c r="G63" s="186">
        <v>334756.72</v>
      </c>
    </row>
    <row r="64" spans="1:7" ht="12.75">
      <c r="A64" s="184" t="s">
        <v>206</v>
      </c>
      <c r="B64" s="313"/>
      <c r="C64" s="185" t="s">
        <v>350</v>
      </c>
      <c r="D64" s="185" t="s">
        <v>350</v>
      </c>
      <c r="E64" s="185">
        <v>178354.52</v>
      </c>
      <c r="F64" s="185">
        <v>1246381.21</v>
      </c>
      <c r="G64" s="186">
        <v>1424735.73</v>
      </c>
    </row>
    <row r="65" spans="1:7" ht="12.75">
      <c r="A65" s="184" t="s">
        <v>207</v>
      </c>
      <c r="B65" s="313"/>
      <c r="C65" s="185">
        <v>2366284.42</v>
      </c>
      <c r="D65" s="185" t="s">
        <v>350</v>
      </c>
      <c r="E65" s="185">
        <v>245077.22</v>
      </c>
      <c r="F65" s="185">
        <v>559859.47</v>
      </c>
      <c r="G65" s="186">
        <v>3171221.11</v>
      </c>
    </row>
    <row r="66" spans="1:7" ht="12.75">
      <c r="A66" s="184" t="s">
        <v>258</v>
      </c>
      <c r="B66" s="313"/>
      <c r="C66" s="185">
        <v>89654.22</v>
      </c>
      <c r="D66" s="185" t="s">
        <v>350</v>
      </c>
      <c r="E66" s="185" t="s">
        <v>350</v>
      </c>
      <c r="F66" s="185" t="s">
        <v>350</v>
      </c>
      <c r="G66" s="186">
        <v>89654.22</v>
      </c>
    </row>
    <row r="67" spans="1:7" ht="12.75">
      <c r="A67" s="184" t="s">
        <v>208</v>
      </c>
      <c r="B67" s="313"/>
      <c r="C67" s="185" t="s">
        <v>350</v>
      </c>
      <c r="D67" s="185">
        <v>300972.23</v>
      </c>
      <c r="E67" s="185" t="s">
        <v>350</v>
      </c>
      <c r="F67" s="185" t="s">
        <v>350</v>
      </c>
      <c r="G67" s="186">
        <v>300972.23</v>
      </c>
    </row>
    <row r="68" spans="1:7" ht="12.75">
      <c r="A68" s="184" t="s">
        <v>429</v>
      </c>
      <c r="B68" s="313"/>
      <c r="C68" s="185">
        <v>16076.35</v>
      </c>
      <c r="D68" s="185" t="s">
        <v>350</v>
      </c>
      <c r="E68" s="185" t="s">
        <v>350</v>
      </c>
      <c r="F68" s="185" t="s">
        <v>350</v>
      </c>
      <c r="G68" s="186">
        <v>16076.35</v>
      </c>
    </row>
    <row r="69" spans="1:7" ht="12.75">
      <c r="A69" s="184" t="s">
        <v>259</v>
      </c>
      <c r="B69" s="313"/>
      <c r="C69" s="185" t="s">
        <v>350</v>
      </c>
      <c r="D69" s="185">
        <v>131.65</v>
      </c>
      <c r="E69" s="185" t="s">
        <v>350</v>
      </c>
      <c r="F69" s="185" t="s">
        <v>350</v>
      </c>
      <c r="G69" s="186">
        <v>131.65</v>
      </c>
    </row>
    <row r="70" spans="1:11" ht="12.75">
      <c r="A70" s="184" t="s">
        <v>209</v>
      </c>
      <c r="B70" s="313"/>
      <c r="C70" s="185" t="s">
        <v>350</v>
      </c>
      <c r="D70" s="185">
        <v>272520.32</v>
      </c>
      <c r="E70" s="185">
        <v>10032.7</v>
      </c>
      <c r="F70" s="185" t="s">
        <v>350</v>
      </c>
      <c r="G70" s="186">
        <v>282553.02</v>
      </c>
      <c r="I70" s="276" t="s">
        <v>485</v>
      </c>
      <c r="J70" s="276" t="s">
        <v>486</v>
      </c>
      <c r="K70" s="276" t="s">
        <v>487</v>
      </c>
    </row>
    <row r="71" spans="1:11" ht="12.75">
      <c r="A71" s="184" t="s">
        <v>210</v>
      </c>
      <c r="B71" s="313"/>
      <c r="C71" s="185" t="s">
        <v>350</v>
      </c>
      <c r="D71" s="185" t="s">
        <v>350</v>
      </c>
      <c r="E71" s="185" t="s">
        <v>350</v>
      </c>
      <c r="F71" s="185">
        <v>145826.82</v>
      </c>
      <c r="G71" s="186">
        <v>145826.82</v>
      </c>
      <c r="H71" s="408" t="s">
        <v>488</v>
      </c>
      <c r="I71" s="411">
        <v>0.7196</v>
      </c>
      <c r="J71" s="410">
        <v>0.1918</v>
      </c>
      <c r="K71" s="411">
        <v>0.0886</v>
      </c>
    </row>
    <row r="72" spans="1:11" ht="12.75">
      <c r="A72" s="402" t="s">
        <v>211</v>
      </c>
      <c r="B72" s="403"/>
      <c r="C72" s="404">
        <v>9804194.97</v>
      </c>
      <c r="D72" s="404">
        <f>1031836.62-I72</f>
        <v>1003052.82</v>
      </c>
      <c r="E72" s="404">
        <v>51238.98</v>
      </c>
      <c r="F72" s="404">
        <v>115171.37</v>
      </c>
      <c r="G72" s="405">
        <f>SUM(C72:F72)</f>
        <v>10973658.14</v>
      </c>
      <c r="H72" s="408">
        <v>39999.72</v>
      </c>
      <c r="I72" s="416">
        <f>H72*I71</f>
        <v>28783.8</v>
      </c>
      <c r="J72" s="412">
        <f>H72*J71</f>
        <v>7671.95</v>
      </c>
      <c r="K72" s="412">
        <f>H72*K71-0.01</f>
        <v>3543.97</v>
      </c>
    </row>
    <row r="73" spans="1:9" ht="12.75">
      <c r="A73" s="184" t="s">
        <v>212</v>
      </c>
      <c r="B73" s="313"/>
      <c r="C73" s="185">
        <v>19029.5</v>
      </c>
      <c r="D73" s="185">
        <v>12312.1</v>
      </c>
      <c r="E73" s="185" t="s">
        <v>350</v>
      </c>
      <c r="F73" s="185" t="s">
        <v>350</v>
      </c>
      <c r="G73" s="186">
        <v>31341.6</v>
      </c>
      <c r="H73" s="408"/>
      <c r="I73" s="409"/>
    </row>
    <row r="74" spans="1:7" ht="12.75">
      <c r="A74" s="184" t="s">
        <v>348</v>
      </c>
      <c r="B74" s="313"/>
      <c r="C74" s="185">
        <v>2040.74</v>
      </c>
      <c r="D74" s="185">
        <v>618.89</v>
      </c>
      <c r="E74" s="185" t="s">
        <v>350</v>
      </c>
      <c r="F74" s="185" t="s">
        <v>350</v>
      </c>
      <c r="G74" s="186">
        <v>2659.63</v>
      </c>
    </row>
    <row r="75" spans="1:7" ht="12.75">
      <c r="A75" s="184" t="s">
        <v>260</v>
      </c>
      <c r="B75" s="313"/>
      <c r="C75" s="185" t="s">
        <v>350</v>
      </c>
      <c r="D75" s="185">
        <v>183446.73</v>
      </c>
      <c r="E75" s="185" t="s">
        <v>350</v>
      </c>
      <c r="F75" s="185">
        <v>884.57</v>
      </c>
      <c r="G75" s="186">
        <v>184331.3</v>
      </c>
    </row>
    <row r="76" spans="1:7" ht="12.75">
      <c r="A76" s="184" t="s">
        <v>261</v>
      </c>
      <c r="B76" s="313"/>
      <c r="C76" s="185">
        <v>64135.04</v>
      </c>
      <c r="D76" s="185">
        <v>149669.91</v>
      </c>
      <c r="E76" s="185" t="s">
        <v>350</v>
      </c>
      <c r="F76" s="185">
        <v>251.86</v>
      </c>
      <c r="G76" s="186">
        <v>214056.81</v>
      </c>
    </row>
    <row r="77" spans="1:7" ht="12.75">
      <c r="A77" s="184" t="s">
        <v>213</v>
      </c>
      <c r="B77" s="313"/>
      <c r="C77" s="185">
        <v>466643.23</v>
      </c>
      <c r="D77" s="185">
        <v>39383.41</v>
      </c>
      <c r="E77" s="185">
        <v>124146.55</v>
      </c>
      <c r="F77" s="185">
        <v>177908.95</v>
      </c>
      <c r="G77" s="186">
        <v>808082.14</v>
      </c>
    </row>
    <row r="78" spans="1:7" ht="12.75">
      <c r="A78" s="184" t="s">
        <v>214</v>
      </c>
      <c r="B78" s="313"/>
      <c r="C78" s="185">
        <v>161707.67</v>
      </c>
      <c r="D78" s="185">
        <v>148063.94</v>
      </c>
      <c r="E78" s="185">
        <v>12936.98</v>
      </c>
      <c r="F78" s="185">
        <v>69201.87</v>
      </c>
      <c r="G78" s="186">
        <v>391910.46</v>
      </c>
    </row>
    <row r="79" spans="1:7" ht="12.75">
      <c r="A79" s="184" t="s">
        <v>215</v>
      </c>
      <c r="B79" s="313"/>
      <c r="C79" s="185">
        <v>579999.06</v>
      </c>
      <c r="D79" s="185">
        <v>578558.95</v>
      </c>
      <c r="E79" s="185">
        <v>101762.98</v>
      </c>
      <c r="F79" s="185">
        <v>29413.72</v>
      </c>
      <c r="G79" s="186">
        <v>1289734.71</v>
      </c>
    </row>
    <row r="80" spans="1:7" ht="12.75">
      <c r="A80" s="184" t="s">
        <v>262</v>
      </c>
      <c r="B80" s="313"/>
      <c r="C80" s="405">
        <f>SUM(C4:C79)</f>
        <v>13904521.92</v>
      </c>
      <c r="D80" s="405">
        <f>SUM(D4:D79)</f>
        <v>22421698.9</v>
      </c>
      <c r="E80" s="405">
        <f>SUM(E4:E79)</f>
        <v>4012450.61</v>
      </c>
      <c r="F80" s="405">
        <f>SUM(F4:F79)</f>
        <v>8910749.25</v>
      </c>
      <c r="G80" s="405">
        <f>SUM(G4:G79)</f>
        <v>49249420.68</v>
      </c>
    </row>
    <row r="82" spans="1:8" ht="12.75">
      <c r="A82" s="301" t="s">
        <v>489</v>
      </c>
      <c r="C82" s="186">
        <v>13904521.92</v>
      </c>
      <c r="D82" s="186">
        <v>22562029.48</v>
      </c>
      <c r="E82" s="186">
        <v>4012450.61</v>
      </c>
      <c r="F82" s="186">
        <v>8910749.25</v>
      </c>
      <c r="G82" s="186">
        <v>49389751.26</v>
      </c>
      <c r="H82" s="414">
        <f>H32+H72</f>
        <v>151546.5</v>
      </c>
    </row>
    <row r="83" spans="1:9" ht="12.75">
      <c r="A83" s="301" t="s">
        <v>4</v>
      </c>
      <c r="C83" s="414">
        <f>C80-C82</f>
        <v>0</v>
      </c>
      <c r="D83" s="414">
        <f>D80-D82</f>
        <v>-140330.58</v>
      </c>
      <c r="E83" s="414">
        <f>E80-E82</f>
        <v>0</v>
      </c>
      <c r="F83" s="414">
        <f>F80-F82</f>
        <v>0</v>
      </c>
      <c r="G83" s="414">
        <f>G80-G82</f>
        <v>-140330.58</v>
      </c>
      <c r="H83" s="418">
        <f>H32+I72</f>
        <v>140330.58</v>
      </c>
      <c r="I83" s="45" t="s">
        <v>485</v>
      </c>
    </row>
    <row r="84" spans="1:9" ht="12.75">
      <c r="A84" s="301" t="s">
        <v>493</v>
      </c>
      <c r="H84" s="415">
        <f>'Gas Labor'!H42</f>
        <v>7671.95</v>
      </c>
      <c r="I84" s="45" t="s">
        <v>486</v>
      </c>
    </row>
    <row r="85" spans="8:9" ht="12.75">
      <c r="H85" s="420">
        <f>'OR Gas Labor'!E38</f>
        <v>3543.97</v>
      </c>
      <c r="I85" s="45" t="s">
        <v>487</v>
      </c>
    </row>
    <row r="86" ht="12.75">
      <c r="H86" s="415">
        <f>SUM(H83:H85)</f>
        <v>151546.5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6">
      <selection activeCell="A43" sqref="A43"/>
    </sheetView>
  </sheetViews>
  <sheetFormatPr defaultColWidth="9.33203125" defaultRowHeight="12.75"/>
  <cols>
    <col min="1" max="1" width="10.83203125" style="45" bestFit="1" customWidth="1"/>
    <col min="2" max="2" width="12" style="45" bestFit="1" customWidth="1"/>
    <col min="3" max="3" width="21.5" style="45" bestFit="1" customWidth="1"/>
    <col min="4" max="6" width="13.66015625" style="45" bestFit="1" customWidth="1"/>
    <col min="7" max="7" width="14.83203125" style="45" bestFit="1" customWidth="1"/>
    <col min="8" max="8" width="10.66015625" style="45" customWidth="1"/>
    <col min="9" max="9" width="10.83203125" style="45" customWidth="1"/>
    <col min="10" max="16384" width="9.33203125" style="45" customWidth="1"/>
  </cols>
  <sheetData>
    <row r="1" spans="1:7" ht="12.75">
      <c r="A1" s="219"/>
      <c r="B1" s="311"/>
      <c r="C1" s="221" t="s">
        <v>282</v>
      </c>
      <c r="D1" s="222"/>
      <c r="E1" s="222"/>
      <c r="F1" s="222"/>
      <c r="G1" s="312"/>
    </row>
    <row r="2" spans="1:7" ht="12.75">
      <c r="A2" s="220"/>
      <c r="B2" s="184" t="s">
        <v>186</v>
      </c>
      <c r="C2" s="184" t="s">
        <v>256</v>
      </c>
      <c r="D2" s="184" t="s">
        <v>217</v>
      </c>
      <c r="E2" s="184" t="s">
        <v>126</v>
      </c>
      <c r="F2" s="184" t="s">
        <v>125</v>
      </c>
      <c r="G2" s="184" t="s">
        <v>262</v>
      </c>
    </row>
    <row r="3" spans="1:7" ht="12.75">
      <c r="A3" s="184" t="s">
        <v>427</v>
      </c>
      <c r="B3" s="313"/>
      <c r="C3" s="313"/>
      <c r="D3" s="313"/>
      <c r="E3" s="313"/>
      <c r="F3" s="313"/>
      <c r="G3" s="313"/>
    </row>
    <row r="4" spans="1:7" ht="12.75">
      <c r="A4" s="184" t="s">
        <v>263</v>
      </c>
      <c r="B4" s="313"/>
      <c r="C4" s="185">
        <v>568252.14</v>
      </c>
      <c r="D4" s="185" t="s">
        <v>428</v>
      </c>
      <c r="E4" s="185" t="s">
        <v>428</v>
      </c>
      <c r="F4" s="185" t="s">
        <v>428</v>
      </c>
      <c r="G4" s="186">
        <v>568252.14</v>
      </c>
    </row>
    <row r="5" spans="1:7" ht="12.75">
      <c r="A5" s="184" t="s">
        <v>264</v>
      </c>
      <c r="B5" s="313"/>
      <c r="C5" s="185" t="s">
        <v>428</v>
      </c>
      <c r="D5" s="185">
        <v>9582.86</v>
      </c>
      <c r="E5" s="185" t="s">
        <v>428</v>
      </c>
      <c r="F5" s="185" t="s">
        <v>428</v>
      </c>
      <c r="G5" s="186">
        <v>9582.86</v>
      </c>
    </row>
    <row r="6" spans="1:7" ht="12.75">
      <c r="A6" s="184" t="s">
        <v>265</v>
      </c>
      <c r="B6" s="313"/>
      <c r="C6" s="185">
        <v>248028.82</v>
      </c>
      <c r="D6" s="185">
        <v>9671.85</v>
      </c>
      <c r="E6" s="185">
        <v>46179.88</v>
      </c>
      <c r="F6" s="185">
        <v>95923.8</v>
      </c>
      <c r="G6" s="186">
        <v>399804.35</v>
      </c>
    </row>
    <row r="7" spans="1:7" ht="12.75">
      <c r="A7" s="184" t="s">
        <v>266</v>
      </c>
      <c r="B7" s="313"/>
      <c r="C7" s="185">
        <v>7662.23</v>
      </c>
      <c r="D7" s="185">
        <v>95702.46</v>
      </c>
      <c r="E7" s="185">
        <v>221686.16</v>
      </c>
      <c r="F7" s="185">
        <v>498116.53</v>
      </c>
      <c r="G7" s="186">
        <v>823167.38</v>
      </c>
    </row>
    <row r="8" spans="1:7" ht="12.75">
      <c r="A8" s="184" t="s">
        <v>267</v>
      </c>
      <c r="B8" s="313"/>
      <c r="C8" s="185" t="s">
        <v>428</v>
      </c>
      <c r="D8" s="185" t="s">
        <v>428</v>
      </c>
      <c r="E8" s="185">
        <v>38144.83</v>
      </c>
      <c r="F8" s="185">
        <v>32583.43</v>
      </c>
      <c r="G8" s="186">
        <v>70728.26</v>
      </c>
    </row>
    <row r="9" spans="1:7" ht="12.75">
      <c r="A9" s="184" t="s">
        <v>268</v>
      </c>
      <c r="B9" s="313"/>
      <c r="C9" s="185" t="s">
        <v>428</v>
      </c>
      <c r="D9" s="185" t="s">
        <v>428</v>
      </c>
      <c r="E9" s="185">
        <v>1260.73</v>
      </c>
      <c r="F9" s="185">
        <v>3246.21</v>
      </c>
      <c r="G9" s="186">
        <v>4506.94</v>
      </c>
    </row>
    <row r="10" spans="1:7" ht="12.75">
      <c r="A10" s="184" t="s">
        <v>269</v>
      </c>
      <c r="B10" s="313"/>
      <c r="C10" s="185" t="s">
        <v>428</v>
      </c>
      <c r="D10" s="185" t="s">
        <v>428</v>
      </c>
      <c r="E10" s="185">
        <v>29002.45</v>
      </c>
      <c r="F10" s="185">
        <v>33117.74</v>
      </c>
      <c r="G10" s="186">
        <v>62120.19</v>
      </c>
    </row>
    <row r="11" spans="1:7" ht="12.75">
      <c r="A11" s="184" t="s">
        <v>270</v>
      </c>
      <c r="B11" s="313"/>
      <c r="C11" s="185" t="s">
        <v>428</v>
      </c>
      <c r="D11" s="185">
        <v>1626.9</v>
      </c>
      <c r="E11" s="185">
        <v>263149.62</v>
      </c>
      <c r="F11" s="185">
        <v>329868.93</v>
      </c>
      <c r="G11" s="186">
        <v>594645.45</v>
      </c>
    </row>
    <row r="12" spans="1:7" ht="12.75">
      <c r="A12" s="184" t="s">
        <v>271</v>
      </c>
      <c r="B12" s="313"/>
      <c r="C12" s="185" t="s">
        <v>428</v>
      </c>
      <c r="D12" s="185" t="s">
        <v>428</v>
      </c>
      <c r="E12" s="185">
        <v>351158.09</v>
      </c>
      <c r="F12" s="185">
        <v>415635.8</v>
      </c>
      <c r="G12" s="186">
        <v>766793.89</v>
      </c>
    </row>
    <row r="13" spans="1:7" ht="12.75">
      <c r="A13" s="184" t="s">
        <v>272</v>
      </c>
      <c r="B13" s="313"/>
      <c r="C13" s="185">
        <v>72524.8</v>
      </c>
      <c r="D13" s="185">
        <v>136678.34</v>
      </c>
      <c r="E13" s="185">
        <v>237813.71</v>
      </c>
      <c r="F13" s="185">
        <v>437890.42</v>
      </c>
      <c r="G13" s="186">
        <v>884907.27</v>
      </c>
    </row>
    <row r="14" spans="1:7" ht="12.75">
      <c r="A14" s="184" t="s">
        <v>273</v>
      </c>
      <c r="B14" s="313"/>
      <c r="C14" s="185" t="s">
        <v>428</v>
      </c>
      <c r="D14" s="185" t="s">
        <v>428</v>
      </c>
      <c r="E14" s="185">
        <v>7696.23</v>
      </c>
      <c r="F14" s="185">
        <v>59971.59</v>
      </c>
      <c r="G14" s="186">
        <v>67667.82</v>
      </c>
    </row>
    <row r="15" spans="1:7" ht="12.75">
      <c r="A15" s="184" t="s">
        <v>274</v>
      </c>
      <c r="B15" s="313"/>
      <c r="C15" s="185" t="s">
        <v>428</v>
      </c>
      <c r="D15" s="185">
        <v>102551.79</v>
      </c>
      <c r="E15" s="185">
        <v>213002.63</v>
      </c>
      <c r="F15" s="185">
        <v>384972.68</v>
      </c>
      <c r="G15" s="186">
        <v>700527.1</v>
      </c>
    </row>
    <row r="16" spans="1:7" ht="12.75">
      <c r="A16" s="184" t="s">
        <v>275</v>
      </c>
      <c r="B16" s="313"/>
      <c r="C16" s="185" t="s">
        <v>428</v>
      </c>
      <c r="D16" s="185">
        <v>1583.5</v>
      </c>
      <c r="E16" s="185">
        <v>30905.01</v>
      </c>
      <c r="F16" s="185">
        <v>43353.81</v>
      </c>
      <c r="G16" s="186">
        <v>75842.32</v>
      </c>
    </row>
    <row r="17" spans="1:7" ht="12.75">
      <c r="A17" s="184" t="s">
        <v>276</v>
      </c>
      <c r="B17" s="313"/>
      <c r="C17" s="185" t="s">
        <v>428</v>
      </c>
      <c r="D17" s="185">
        <v>59883.91</v>
      </c>
      <c r="E17" s="185">
        <v>31286.27</v>
      </c>
      <c r="F17" s="185">
        <v>34840.59</v>
      </c>
      <c r="G17" s="186">
        <v>126010.77</v>
      </c>
    </row>
    <row r="18" spans="1:7" ht="12.75">
      <c r="A18" s="184" t="s">
        <v>277</v>
      </c>
      <c r="B18" s="313"/>
      <c r="C18" s="185" t="s">
        <v>428</v>
      </c>
      <c r="D18" s="185" t="s">
        <v>428</v>
      </c>
      <c r="E18" s="185">
        <v>11170.59</v>
      </c>
      <c r="F18" s="185">
        <v>10316.9</v>
      </c>
      <c r="G18" s="186">
        <v>21487.49</v>
      </c>
    </row>
    <row r="19" spans="1:7" ht="12.75">
      <c r="A19" s="184" t="s">
        <v>278</v>
      </c>
      <c r="B19" s="313"/>
      <c r="C19" s="185" t="s">
        <v>428</v>
      </c>
      <c r="D19" s="185">
        <v>158570.26</v>
      </c>
      <c r="E19" s="185">
        <v>107431.18</v>
      </c>
      <c r="F19" s="185">
        <v>147171.66</v>
      </c>
      <c r="G19" s="186">
        <v>413173.1</v>
      </c>
    </row>
    <row r="20" spans="1:7" ht="12.75">
      <c r="A20" s="184" t="s">
        <v>279</v>
      </c>
      <c r="B20" s="313"/>
      <c r="C20" s="185" t="s">
        <v>428</v>
      </c>
      <c r="D20" s="185">
        <v>187737.67</v>
      </c>
      <c r="E20" s="185">
        <v>40908.88</v>
      </c>
      <c r="F20" s="185">
        <v>146963.18</v>
      </c>
      <c r="G20" s="186">
        <v>375609.73</v>
      </c>
    </row>
    <row r="21" spans="1:7" ht="12.75">
      <c r="A21" s="184" t="s">
        <v>280</v>
      </c>
      <c r="B21" s="313"/>
      <c r="C21" s="185">
        <v>9797.2</v>
      </c>
      <c r="D21" s="185" t="s">
        <v>428</v>
      </c>
      <c r="E21" s="185">
        <v>-186.36</v>
      </c>
      <c r="F21" s="185" t="s">
        <v>428</v>
      </c>
      <c r="G21" s="186">
        <v>9610.84</v>
      </c>
    </row>
    <row r="22" spans="1:7" ht="12.75">
      <c r="A22" s="184" t="s">
        <v>257</v>
      </c>
      <c r="B22" s="313"/>
      <c r="C22" s="185">
        <v>204786.42</v>
      </c>
      <c r="D22" s="185" t="s">
        <v>428</v>
      </c>
      <c r="E22" s="185" t="s">
        <v>428</v>
      </c>
      <c r="F22" s="185" t="s">
        <v>428</v>
      </c>
      <c r="G22" s="186">
        <v>204786.42</v>
      </c>
    </row>
    <row r="23" spans="1:7" ht="12.75">
      <c r="A23" s="184" t="s">
        <v>206</v>
      </c>
      <c r="B23" s="313"/>
      <c r="C23" s="185" t="s">
        <v>428</v>
      </c>
      <c r="D23" s="185" t="s">
        <v>428</v>
      </c>
      <c r="E23" s="185">
        <v>86554.05</v>
      </c>
      <c r="F23" s="185">
        <v>740898.76</v>
      </c>
      <c r="G23" s="186">
        <v>827452.81</v>
      </c>
    </row>
    <row r="24" spans="1:7" ht="12.75">
      <c r="A24" s="184" t="s">
        <v>207</v>
      </c>
      <c r="B24" s="313"/>
      <c r="C24" s="185">
        <v>1447851.56</v>
      </c>
      <c r="D24" s="185" t="s">
        <v>428</v>
      </c>
      <c r="E24" s="185">
        <v>108511.24</v>
      </c>
      <c r="F24" s="185">
        <v>267245.17</v>
      </c>
      <c r="G24" s="186">
        <v>1823607.97</v>
      </c>
    </row>
    <row r="25" spans="1:7" ht="12.75">
      <c r="A25" s="184" t="s">
        <v>258</v>
      </c>
      <c r="B25" s="313"/>
      <c r="C25" s="185">
        <v>54816.21</v>
      </c>
      <c r="D25" s="185" t="s">
        <v>428</v>
      </c>
      <c r="E25" s="185" t="s">
        <v>428</v>
      </c>
      <c r="F25" s="185" t="s">
        <v>428</v>
      </c>
      <c r="G25" s="186">
        <v>54816.21</v>
      </c>
    </row>
    <row r="26" spans="1:7" ht="12.75">
      <c r="A26" s="184" t="s">
        <v>208</v>
      </c>
      <c r="B26" s="313"/>
      <c r="C26" s="185" t="s">
        <v>428</v>
      </c>
      <c r="D26" s="185">
        <v>184156.19</v>
      </c>
      <c r="E26" s="185" t="s">
        <v>428</v>
      </c>
      <c r="F26" s="185" t="s">
        <v>428</v>
      </c>
      <c r="G26" s="186">
        <v>184156.19</v>
      </c>
    </row>
    <row r="27" spans="1:7" ht="12.75">
      <c r="A27" s="184" t="s">
        <v>429</v>
      </c>
      <c r="B27" s="313"/>
      <c r="C27" s="185">
        <v>9846.18</v>
      </c>
      <c r="D27" s="185" t="s">
        <v>428</v>
      </c>
      <c r="E27" s="185" t="s">
        <v>428</v>
      </c>
      <c r="F27" s="185" t="s">
        <v>428</v>
      </c>
      <c r="G27" s="186">
        <v>9846.18</v>
      </c>
    </row>
    <row r="28" spans="1:7" ht="12.75">
      <c r="A28" s="184" t="s">
        <v>259</v>
      </c>
      <c r="B28" s="313"/>
      <c r="C28" s="185" t="s">
        <v>428</v>
      </c>
      <c r="D28" s="185">
        <v>80.32</v>
      </c>
      <c r="E28" s="185" t="s">
        <v>428</v>
      </c>
      <c r="F28" s="185" t="s">
        <v>428</v>
      </c>
      <c r="G28" s="186">
        <v>80.32</v>
      </c>
    </row>
    <row r="29" spans="1:11" ht="12.75">
      <c r="A29" s="184" t="s">
        <v>209</v>
      </c>
      <c r="B29" s="313"/>
      <c r="C29" s="185" t="s">
        <v>428</v>
      </c>
      <c r="D29" s="185">
        <v>166746.67</v>
      </c>
      <c r="E29" s="185">
        <v>6137.2</v>
      </c>
      <c r="F29" s="185" t="s">
        <v>428</v>
      </c>
      <c r="G29" s="186">
        <v>172883.87</v>
      </c>
      <c r="I29" s="276" t="s">
        <v>485</v>
      </c>
      <c r="J29" s="276" t="s">
        <v>486</v>
      </c>
      <c r="K29" s="276" t="s">
        <v>487</v>
      </c>
    </row>
    <row r="30" spans="1:11" ht="12.75">
      <c r="A30" s="184" t="s">
        <v>210</v>
      </c>
      <c r="B30" s="313"/>
      <c r="C30" s="185" t="s">
        <v>428</v>
      </c>
      <c r="D30" s="185" t="s">
        <v>428</v>
      </c>
      <c r="E30" s="185" t="s">
        <v>428</v>
      </c>
      <c r="F30" s="185">
        <v>89231.1</v>
      </c>
      <c r="G30" s="186">
        <v>89231.1</v>
      </c>
      <c r="H30" s="408" t="s">
        <v>488</v>
      </c>
      <c r="I30" s="411">
        <v>0.7196</v>
      </c>
      <c r="J30" s="410">
        <v>0.1918</v>
      </c>
      <c r="K30" s="411">
        <v>0.0886</v>
      </c>
    </row>
    <row r="31" spans="1:11" ht="12.75">
      <c r="A31" s="184" t="s">
        <v>211</v>
      </c>
      <c r="B31" s="313"/>
      <c r="C31" s="404">
        <v>2713825.42</v>
      </c>
      <c r="D31" s="404">
        <f>106356.54-J31</f>
        <v>98684.59</v>
      </c>
      <c r="E31" s="404">
        <v>13265.05</v>
      </c>
      <c r="F31" s="404">
        <v>2447.09</v>
      </c>
      <c r="G31" s="405">
        <f>SUM(C31:F31)</f>
        <v>2828222.15</v>
      </c>
      <c r="H31" s="408">
        <v>39999.72</v>
      </c>
      <c r="I31" s="412">
        <f>H31*I30</f>
        <v>28783.8</v>
      </c>
      <c r="J31" s="416">
        <f>H31*J30</f>
        <v>7671.95</v>
      </c>
      <c r="K31" s="412">
        <f>H31*K30-0.01</f>
        <v>3543.97</v>
      </c>
    </row>
    <row r="32" spans="1:7" ht="12.75">
      <c r="A32" s="184" t="s">
        <v>212</v>
      </c>
      <c r="B32" s="313"/>
      <c r="C32" s="185">
        <v>4938</v>
      </c>
      <c r="D32" s="185" t="s">
        <v>428</v>
      </c>
      <c r="E32" s="185" t="s">
        <v>428</v>
      </c>
      <c r="F32" s="185" t="s">
        <v>428</v>
      </c>
      <c r="G32" s="186">
        <v>4938</v>
      </c>
    </row>
    <row r="33" spans="1:7" ht="12.75">
      <c r="A33" s="184" t="s">
        <v>348</v>
      </c>
      <c r="B33" s="313"/>
      <c r="C33" s="185">
        <v>543.92</v>
      </c>
      <c r="D33" s="185" t="s">
        <v>428</v>
      </c>
      <c r="E33" s="185" t="s">
        <v>428</v>
      </c>
      <c r="F33" s="185" t="s">
        <v>428</v>
      </c>
      <c r="G33" s="186">
        <v>543.92</v>
      </c>
    </row>
    <row r="34" spans="1:7" ht="12.75">
      <c r="A34" s="184" t="s">
        <v>260</v>
      </c>
      <c r="B34" s="313"/>
      <c r="C34" s="185" t="s">
        <v>428</v>
      </c>
      <c r="D34" s="185">
        <v>47706.83</v>
      </c>
      <c r="E34" s="185" t="s">
        <v>428</v>
      </c>
      <c r="F34" s="185" t="s">
        <v>428</v>
      </c>
      <c r="G34" s="186">
        <v>47706.83</v>
      </c>
    </row>
    <row r="35" spans="1:7" ht="12.75">
      <c r="A35" s="184" t="s">
        <v>261</v>
      </c>
      <c r="B35" s="313"/>
      <c r="C35" s="185">
        <v>20656.43</v>
      </c>
      <c r="D35" s="185">
        <v>5277.05</v>
      </c>
      <c r="E35" s="185" t="s">
        <v>428</v>
      </c>
      <c r="F35" s="185">
        <v>66.46</v>
      </c>
      <c r="G35" s="186">
        <v>25999.94</v>
      </c>
    </row>
    <row r="36" spans="1:7" ht="12.75">
      <c r="A36" s="184" t="s">
        <v>213</v>
      </c>
      <c r="B36" s="313"/>
      <c r="C36" s="185">
        <v>122515.46</v>
      </c>
      <c r="D36" s="185" t="s">
        <v>428</v>
      </c>
      <c r="E36" s="185">
        <v>64115.44</v>
      </c>
      <c r="F36" s="185">
        <v>99103.38</v>
      </c>
      <c r="G36" s="186">
        <v>285734.28</v>
      </c>
    </row>
    <row r="37" spans="1:7" ht="12.75">
      <c r="A37" s="184" t="s">
        <v>214</v>
      </c>
      <c r="B37" s="313"/>
      <c r="C37" s="185">
        <v>46000.49</v>
      </c>
      <c r="D37" s="185">
        <v>24173.1</v>
      </c>
      <c r="E37" s="185">
        <v>3349.01</v>
      </c>
      <c r="F37" s="185">
        <v>18017.47</v>
      </c>
      <c r="G37" s="186">
        <v>91540.07</v>
      </c>
    </row>
    <row r="38" spans="1:7" ht="12.75">
      <c r="A38" s="184" t="s">
        <v>215</v>
      </c>
      <c r="B38" s="313"/>
      <c r="C38" s="185">
        <v>152230.77</v>
      </c>
      <c r="D38" s="185">
        <v>73497.06</v>
      </c>
      <c r="E38" s="185">
        <v>24414.2</v>
      </c>
      <c r="F38" s="185">
        <v>10813.53</v>
      </c>
      <c r="G38" s="186">
        <v>260955.56</v>
      </c>
    </row>
    <row r="39" spans="1:7" ht="12.75">
      <c r="A39" s="184" t="s">
        <v>262</v>
      </c>
      <c r="B39" s="313"/>
      <c r="C39" s="405">
        <f>SUM(C4:C38)</f>
        <v>5684276.05</v>
      </c>
      <c r="D39" s="405">
        <f>SUM(D4:D38)</f>
        <v>1363911.35</v>
      </c>
      <c r="E39" s="405">
        <f>SUM(E4:E38)</f>
        <v>1936956.09</v>
      </c>
      <c r="F39" s="405">
        <f>SUM(F4:F38)</f>
        <v>3901796.23</v>
      </c>
      <c r="G39" s="405">
        <f>SUM(G4:G38)</f>
        <v>12886939.72</v>
      </c>
    </row>
    <row r="41" spans="1:7" ht="12.75">
      <c r="A41" s="301" t="s">
        <v>489</v>
      </c>
      <c r="C41" s="186">
        <v>5684276.05</v>
      </c>
      <c r="D41" s="186">
        <v>1371583.3</v>
      </c>
      <c r="E41" s="186">
        <v>1936956.09</v>
      </c>
      <c r="F41" s="186">
        <v>3901796.23</v>
      </c>
      <c r="G41" s="186">
        <v>12894611.67</v>
      </c>
    </row>
    <row r="42" spans="1:8" ht="12.75">
      <c r="A42" s="301" t="s">
        <v>4</v>
      </c>
      <c r="C42" s="413">
        <f>C39-C41</f>
        <v>0</v>
      </c>
      <c r="D42" s="419">
        <f>D39-D41</f>
        <v>-7671.95</v>
      </c>
      <c r="E42" s="413">
        <f>E39-E41</f>
        <v>0</v>
      </c>
      <c r="F42" s="413">
        <f>F39-F41</f>
        <v>0</v>
      </c>
      <c r="G42" s="419">
        <f>G39-G41</f>
        <v>-7671.95</v>
      </c>
      <c r="H42" s="418">
        <f>J31</f>
        <v>7671.95</v>
      </c>
    </row>
    <row r="43" ht="12.75">
      <c r="A43" s="301" t="s">
        <v>493</v>
      </c>
    </row>
  </sheetData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Footer>&amp;C&amp;F&amp;A&amp;R&amp;T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1">
      <selection activeCell="B48" sqref="B48"/>
    </sheetView>
  </sheetViews>
  <sheetFormatPr defaultColWidth="9.33203125" defaultRowHeight="12.75"/>
  <cols>
    <col min="1" max="1" width="19.83203125" style="45" customWidth="1"/>
    <col min="2" max="2" width="13.83203125" style="45" bestFit="1" customWidth="1"/>
    <col min="3" max="3" width="13.66015625" style="45" bestFit="1" customWidth="1"/>
    <col min="4" max="4" width="13.83203125" style="45" bestFit="1" customWidth="1"/>
    <col min="5" max="5" width="15.83203125" style="45" customWidth="1"/>
    <col min="6" max="6" width="10.16015625" style="45" customWidth="1"/>
    <col min="7" max="16384" width="9.33203125" style="45" customWidth="1"/>
  </cols>
  <sheetData>
    <row r="1" spans="1:4" ht="28.5">
      <c r="A1" s="219"/>
      <c r="B1" s="342" t="s">
        <v>338</v>
      </c>
      <c r="C1" s="343"/>
      <c r="D1" s="344"/>
    </row>
    <row r="2" spans="1:4" ht="12.75">
      <c r="A2" s="220"/>
      <c r="B2" s="184" t="s">
        <v>256</v>
      </c>
      <c r="C2" s="184" t="s">
        <v>35</v>
      </c>
      <c r="D2" s="184" t="s">
        <v>262</v>
      </c>
    </row>
    <row r="3" spans="1:4" ht="12.75">
      <c r="A3" s="184" t="s">
        <v>427</v>
      </c>
      <c r="B3" s="313"/>
      <c r="C3" s="313"/>
      <c r="D3" s="313"/>
    </row>
    <row r="4" spans="1:4" ht="12.75">
      <c r="A4" s="184" t="s">
        <v>263</v>
      </c>
      <c r="B4" s="309">
        <v>262428.34</v>
      </c>
      <c r="C4" s="309" t="s">
        <v>350</v>
      </c>
      <c r="D4" s="186">
        <v>262428.34</v>
      </c>
    </row>
    <row r="5" spans="1:4" ht="12.75">
      <c r="A5" s="184" t="s">
        <v>265</v>
      </c>
      <c r="B5" s="309">
        <v>114742.79</v>
      </c>
      <c r="C5" s="309">
        <v>110972.96</v>
      </c>
      <c r="D5" s="186">
        <v>225715.75</v>
      </c>
    </row>
    <row r="6" spans="1:4" ht="12.75">
      <c r="A6" s="184" t="s">
        <v>266</v>
      </c>
      <c r="B6" s="309">
        <v>3579.8</v>
      </c>
      <c r="C6" s="309">
        <v>317530.89</v>
      </c>
      <c r="D6" s="186">
        <v>321110.69</v>
      </c>
    </row>
    <row r="7" spans="1:4" ht="12.75">
      <c r="A7" s="184" t="s">
        <v>267</v>
      </c>
      <c r="B7" s="309" t="s">
        <v>350</v>
      </c>
      <c r="C7" s="309">
        <v>124543.6</v>
      </c>
      <c r="D7" s="186">
        <v>124543.6</v>
      </c>
    </row>
    <row r="8" spans="1:4" ht="12.75">
      <c r="A8" s="184" t="s">
        <v>268</v>
      </c>
      <c r="B8" s="309" t="s">
        <v>350</v>
      </c>
      <c r="C8" s="309">
        <v>12444.38</v>
      </c>
      <c r="D8" s="186">
        <v>12444.38</v>
      </c>
    </row>
    <row r="9" spans="1:4" ht="12.75">
      <c r="A9" s="184" t="s">
        <v>269</v>
      </c>
      <c r="B9" s="309" t="s">
        <v>350</v>
      </c>
      <c r="C9" s="309">
        <v>275.57</v>
      </c>
      <c r="D9" s="186">
        <v>275.57</v>
      </c>
    </row>
    <row r="10" spans="1:4" ht="12.75">
      <c r="A10" s="184" t="s">
        <v>270</v>
      </c>
      <c r="B10" s="309" t="s">
        <v>350</v>
      </c>
      <c r="C10" s="309">
        <v>371641.51</v>
      </c>
      <c r="D10" s="186">
        <v>371641.51</v>
      </c>
    </row>
    <row r="11" spans="1:4" ht="12.75">
      <c r="A11" s="184" t="s">
        <v>271</v>
      </c>
      <c r="B11" s="309" t="s">
        <v>350</v>
      </c>
      <c r="C11" s="309">
        <v>535441.46</v>
      </c>
      <c r="D11" s="186">
        <v>535441.46</v>
      </c>
    </row>
    <row r="12" spans="1:4" ht="12.75">
      <c r="A12" s="184" t="s">
        <v>272</v>
      </c>
      <c r="B12" s="309">
        <v>33782.42</v>
      </c>
      <c r="C12" s="309">
        <v>271236.97</v>
      </c>
      <c r="D12" s="186">
        <v>305019.39</v>
      </c>
    </row>
    <row r="13" spans="1:4" ht="12.75">
      <c r="A13" s="184" t="s">
        <v>273</v>
      </c>
      <c r="B13" s="309" t="s">
        <v>350</v>
      </c>
      <c r="C13" s="309">
        <v>54453.68</v>
      </c>
      <c r="D13" s="186">
        <v>54453.68</v>
      </c>
    </row>
    <row r="14" spans="1:4" ht="12.75">
      <c r="A14" s="184" t="s">
        <v>274</v>
      </c>
      <c r="B14" s="309" t="s">
        <v>350</v>
      </c>
      <c r="C14" s="309">
        <v>340503.53</v>
      </c>
      <c r="D14" s="186">
        <v>340503.53</v>
      </c>
    </row>
    <row r="15" spans="1:4" ht="12.75">
      <c r="A15" s="184" t="s">
        <v>275</v>
      </c>
      <c r="B15" s="309" t="s">
        <v>350</v>
      </c>
      <c r="C15" s="309">
        <v>13285.36</v>
      </c>
      <c r="D15" s="186">
        <v>13285.36</v>
      </c>
    </row>
    <row r="16" spans="1:4" ht="12.75">
      <c r="A16" s="184" t="s">
        <v>276</v>
      </c>
      <c r="B16" s="309" t="s">
        <v>350</v>
      </c>
      <c r="C16" s="309">
        <v>7102.33</v>
      </c>
      <c r="D16" s="186">
        <v>7102.33</v>
      </c>
    </row>
    <row r="17" spans="1:4" ht="12.75">
      <c r="A17" s="184" t="s">
        <v>277</v>
      </c>
      <c r="B17" s="309" t="s">
        <v>350</v>
      </c>
      <c r="C17" s="309">
        <v>1141.91</v>
      </c>
      <c r="D17" s="186">
        <v>1141.91</v>
      </c>
    </row>
    <row r="18" spans="1:4" ht="12.75">
      <c r="A18" s="184" t="s">
        <v>278</v>
      </c>
      <c r="B18" s="309" t="s">
        <v>350</v>
      </c>
      <c r="C18" s="309">
        <v>124211.53</v>
      </c>
      <c r="D18" s="186">
        <v>124211.53</v>
      </c>
    </row>
    <row r="19" spans="1:4" ht="12.75">
      <c r="A19" s="184" t="s">
        <v>279</v>
      </c>
      <c r="B19" s="309" t="s">
        <v>350</v>
      </c>
      <c r="C19" s="309">
        <v>92835.63</v>
      </c>
      <c r="D19" s="186">
        <v>92835.63</v>
      </c>
    </row>
    <row r="20" spans="1:4" ht="12.75">
      <c r="A20" s="184" t="s">
        <v>280</v>
      </c>
      <c r="B20" s="309">
        <v>4577.26</v>
      </c>
      <c r="C20" s="309">
        <v>39471.57</v>
      </c>
      <c r="D20" s="186">
        <v>44048.83</v>
      </c>
    </row>
    <row r="21" spans="1:4" ht="12.75">
      <c r="A21" s="184" t="s">
        <v>257</v>
      </c>
      <c r="B21" s="309">
        <v>90841.55</v>
      </c>
      <c r="C21" s="309" t="s">
        <v>350</v>
      </c>
      <c r="D21" s="186">
        <v>90841.55</v>
      </c>
    </row>
    <row r="22" spans="1:4" ht="12.75">
      <c r="A22" s="184" t="s">
        <v>206</v>
      </c>
      <c r="B22" s="309" t="s">
        <v>350</v>
      </c>
      <c r="C22" s="309">
        <v>95559.21</v>
      </c>
      <c r="D22" s="186">
        <v>95559.21</v>
      </c>
    </row>
    <row r="23" spans="1:4" ht="12.75">
      <c r="A23" s="184" t="s">
        <v>207</v>
      </c>
      <c r="B23" s="309">
        <v>642051.2</v>
      </c>
      <c r="C23" s="309">
        <v>298082.08</v>
      </c>
      <c r="D23" s="186">
        <v>940133.28</v>
      </c>
    </row>
    <row r="24" spans="1:4" ht="12.75">
      <c r="A24" s="184" t="s">
        <v>258</v>
      </c>
      <c r="B24" s="309">
        <v>24336</v>
      </c>
      <c r="C24" s="309" t="s">
        <v>350</v>
      </c>
      <c r="D24" s="186">
        <v>24336</v>
      </c>
    </row>
    <row r="25" spans="1:4" ht="12.75">
      <c r="A25" s="184" t="s">
        <v>208</v>
      </c>
      <c r="B25" s="309" t="s">
        <v>350</v>
      </c>
      <c r="C25" s="309">
        <v>34617.06</v>
      </c>
      <c r="D25" s="186">
        <v>34617.06</v>
      </c>
    </row>
    <row r="26" spans="1:8" ht="12.75">
      <c r="A26" s="184" t="s">
        <v>429</v>
      </c>
      <c r="B26" s="309">
        <v>4359.28</v>
      </c>
      <c r="C26" s="309" t="s">
        <v>350</v>
      </c>
      <c r="D26" s="186">
        <v>4359.28</v>
      </c>
      <c r="F26" s="276" t="s">
        <v>485</v>
      </c>
      <c r="G26" s="276" t="s">
        <v>486</v>
      </c>
      <c r="H26" s="276" t="s">
        <v>487</v>
      </c>
    </row>
    <row r="27" spans="1:8" ht="12.75">
      <c r="A27" s="184" t="s">
        <v>209</v>
      </c>
      <c r="B27" s="309" t="s">
        <v>350</v>
      </c>
      <c r="C27" s="309">
        <v>23906.06</v>
      </c>
      <c r="D27" s="186">
        <v>23906.06</v>
      </c>
      <c r="E27" s="408" t="s">
        <v>488</v>
      </c>
      <c r="F27" s="411">
        <v>0.7196</v>
      </c>
      <c r="G27" s="410">
        <v>0.1918</v>
      </c>
      <c r="H27" s="411">
        <v>0.0886</v>
      </c>
    </row>
    <row r="28" spans="1:8" ht="12.75">
      <c r="A28" s="184" t="s">
        <v>211</v>
      </c>
      <c r="B28" s="309">
        <v>1243574.41</v>
      </c>
      <c r="C28" s="309">
        <f>134358.63-H28</f>
        <v>130814.66</v>
      </c>
      <c r="D28" s="186">
        <f>SUM(B28:C28)</f>
        <v>1374389.07</v>
      </c>
      <c r="E28" s="408">
        <v>39999.72</v>
      </c>
      <c r="F28" s="412">
        <f>E28*F27</f>
        <v>28783.8</v>
      </c>
      <c r="G28" s="412">
        <f>E28*G27</f>
        <v>7671.95</v>
      </c>
      <c r="H28" s="416">
        <f>E28*H27-0.01</f>
        <v>3543.97</v>
      </c>
    </row>
    <row r="29" spans="1:4" ht="12.75">
      <c r="A29" s="184" t="s">
        <v>212</v>
      </c>
      <c r="B29" s="309">
        <v>2246.04</v>
      </c>
      <c r="C29" s="309">
        <v>8381.85</v>
      </c>
      <c r="D29" s="186">
        <v>10627.89</v>
      </c>
    </row>
    <row r="30" spans="1:4" ht="12.75">
      <c r="A30" s="184" t="s">
        <v>348</v>
      </c>
      <c r="B30" s="309">
        <v>251.27</v>
      </c>
      <c r="C30" s="309" t="s">
        <v>350</v>
      </c>
      <c r="D30" s="186">
        <v>251.27</v>
      </c>
    </row>
    <row r="31" spans="1:4" ht="12.75">
      <c r="A31" s="184" t="s">
        <v>261</v>
      </c>
      <c r="B31" s="309">
        <v>9526.97</v>
      </c>
      <c r="C31" s="309" t="s">
        <v>350</v>
      </c>
      <c r="D31" s="186">
        <v>9526.97</v>
      </c>
    </row>
    <row r="32" spans="1:4" ht="12.75">
      <c r="A32" s="184" t="s">
        <v>213</v>
      </c>
      <c r="B32" s="309">
        <v>56107.86</v>
      </c>
      <c r="C32" s="309">
        <v>114588.86</v>
      </c>
      <c r="D32" s="186">
        <v>170696.72</v>
      </c>
    </row>
    <row r="33" spans="1:4" ht="12.75">
      <c r="A33" s="184" t="s">
        <v>214</v>
      </c>
      <c r="B33" s="309">
        <v>21076.87</v>
      </c>
      <c r="C33" s="309" t="s">
        <v>350</v>
      </c>
      <c r="D33" s="186">
        <v>21076.87</v>
      </c>
    </row>
    <row r="34" spans="1:4" ht="12.75">
      <c r="A34" s="184" t="s">
        <v>215</v>
      </c>
      <c r="B34" s="309">
        <v>69704.06</v>
      </c>
      <c r="C34" s="309" t="s">
        <v>350</v>
      </c>
      <c r="D34" s="186">
        <v>69704.06</v>
      </c>
    </row>
    <row r="35" spans="1:4" ht="12.75">
      <c r="A35" s="184" t="s">
        <v>262</v>
      </c>
      <c r="B35" s="405">
        <f>SUM(B4:B34)</f>
        <v>2583186.12</v>
      </c>
      <c r="C35" s="405">
        <f>SUM(C4:C34)</f>
        <v>3123042.66</v>
      </c>
      <c r="D35" s="405">
        <f>SUM(D4:D34)</f>
        <v>5706228.78</v>
      </c>
    </row>
    <row r="37" spans="1:4" ht="12.75">
      <c r="A37" s="301" t="s">
        <v>489</v>
      </c>
      <c r="B37" s="186">
        <v>2583186.12</v>
      </c>
      <c r="C37" s="186">
        <v>3126586.63</v>
      </c>
      <c r="D37" s="186">
        <v>5709772.75</v>
      </c>
    </row>
    <row r="38" spans="1:5" ht="12.75">
      <c r="A38" s="301" t="s">
        <v>490</v>
      </c>
      <c r="B38" s="413">
        <f>B35-B37</f>
        <v>0</v>
      </c>
      <c r="C38" s="419">
        <f>C35-C37</f>
        <v>-3543.97</v>
      </c>
      <c r="D38" s="419">
        <f>D35-D37</f>
        <v>-3543.97</v>
      </c>
      <c r="E38" s="415">
        <f>H28</f>
        <v>3543.97</v>
      </c>
    </row>
    <row r="39" ht="12.75">
      <c r="A39" s="301" t="s">
        <v>493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&amp;C&amp;F&amp;A&amp;R&amp;D&amp;T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129"/>
  <sheetViews>
    <sheetView workbookViewId="0" topLeftCell="C1">
      <selection activeCell="T135" sqref="T135"/>
    </sheetView>
  </sheetViews>
  <sheetFormatPr defaultColWidth="9.33203125" defaultRowHeight="12.75"/>
  <cols>
    <col min="1" max="2" width="3.83203125" style="3" customWidth="1"/>
    <col min="3" max="3" width="4" style="3" customWidth="1"/>
    <col min="4" max="4" width="23.16015625" style="3" customWidth="1"/>
    <col min="5" max="5" width="13.33203125" style="3" customWidth="1"/>
    <col min="6" max="6" width="10.5" style="3" customWidth="1"/>
    <col min="7" max="7" width="10.83203125" style="3" bestFit="1" customWidth="1"/>
    <col min="8" max="8" width="15.5" style="3" bestFit="1" customWidth="1"/>
    <col min="9" max="9" width="13.33203125" style="3" bestFit="1" customWidth="1"/>
    <col min="10" max="10" width="15.5" style="3" bestFit="1" customWidth="1"/>
    <col min="11" max="11" width="13.33203125" style="3" bestFit="1" customWidth="1"/>
    <col min="12" max="12" width="15.5" style="3" bestFit="1" customWidth="1"/>
    <col min="13" max="13" width="13.33203125" style="3" bestFit="1" customWidth="1"/>
    <col min="14" max="14" width="14" style="3" customWidth="1"/>
    <col min="15" max="15" width="9.83203125" style="3" customWidth="1"/>
    <col min="16" max="16" width="10.5" style="3" customWidth="1"/>
    <col min="17" max="17" width="3.16015625" style="18" customWidth="1"/>
    <col min="18" max="18" width="14.83203125" style="3" bestFit="1" customWidth="1"/>
    <col min="19" max="20" width="14" style="3" customWidth="1"/>
    <col min="21" max="16384" width="9.33203125" style="3" customWidth="1"/>
  </cols>
  <sheetData>
    <row r="1" spans="3:4" ht="12.75">
      <c r="C1" s="52" t="str">
        <f>'ElLabor$'!A1</f>
        <v>AVISTA UTILITIES</v>
      </c>
      <c r="D1" s="2"/>
    </row>
    <row r="2" spans="3:4" ht="12.75">
      <c r="C2" s="2" t="s">
        <v>46</v>
      </c>
      <c r="D2" s="2"/>
    </row>
    <row r="3" spans="3:4" ht="12.75">
      <c r="C3" s="2" t="str">
        <f>Summary!A3</f>
        <v>Twelve Months Ended September 30, 2008</v>
      </c>
      <c r="D3" s="2"/>
    </row>
    <row r="4" spans="8:20" s="4" customFormat="1" ht="12.75">
      <c r="H4" s="210" t="s">
        <v>335</v>
      </c>
      <c r="J4" s="210" t="s">
        <v>344</v>
      </c>
      <c r="L4" s="210" t="s">
        <v>409</v>
      </c>
      <c r="N4" s="4" t="s">
        <v>0</v>
      </c>
      <c r="O4" s="4" t="s">
        <v>176</v>
      </c>
      <c r="P4" s="210" t="s">
        <v>411</v>
      </c>
      <c r="Q4" s="33"/>
      <c r="R4" s="210" t="s">
        <v>408</v>
      </c>
      <c r="S4" s="4" t="s">
        <v>37</v>
      </c>
      <c r="T4" s="4" t="s">
        <v>479</v>
      </c>
    </row>
    <row r="5" spans="6:20" s="4" customFormat="1" ht="12.75">
      <c r="F5" s="4" t="s">
        <v>145</v>
      </c>
      <c r="G5" s="4" t="s">
        <v>1</v>
      </c>
      <c r="H5" s="145">
        <f>'LaborAdj%'!D26</f>
        <v>0.01519</v>
      </c>
      <c r="I5" s="4" t="s">
        <v>2</v>
      </c>
      <c r="J5" s="145">
        <f>'LaborAdj%'!D28</f>
        <v>0.038</v>
      </c>
      <c r="K5" s="4" t="s">
        <v>2</v>
      </c>
      <c r="L5" s="145">
        <f>'LaborAdj%'!D30</f>
        <v>0.038</v>
      </c>
      <c r="M5" s="4" t="s">
        <v>2</v>
      </c>
      <c r="N5" s="212" t="s">
        <v>410</v>
      </c>
      <c r="O5" s="4" t="s">
        <v>45</v>
      </c>
      <c r="P5" s="4" t="s">
        <v>45</v>
      </c>
      <c r="Q5" s="33"/>
      <c r="R5" s="4" t="s">
        <v>345</v>
      </c>
      <c r="S5" s="4" t="s">
        <v>45</v>
      </c>
      <c r="T5" s="4" t="s">
        <v>45</v>
      </c>
    </row>
    <row r="6" spans="5:20" s="5" customFormat="1" ht="12.75">
      <c r="E6" s="6" t="s">
        <v>47</v>
      </c>
      <c r="F6" s="6" t="s">
        <v>146</v>
      </c>
      <c r="G6" s="6" t="s">
        <v>47</v>
      </c>
      <c r="H6" s="1">
        <f>'LaborAdj%'!D11</f>
        <v>0.01698</v>
      </c>
      <c r="I6" s="211" t="s">
        <v>335</v>
      </c>
      <c r="J6" s="1">
        <f>'LaborAdj%'!D13</f>
        <v>0.04</v>
      </c>
      <c r="K6" s="211" t="s">
        <v>344</v>
      </c>
      <c r="L6" s="1">
        <f>'LaborAdj%'!D15</f>
        <v>0.038</v>
      </c>
      <c r="M6" s="211" t="s">
        <v>409</v>
      </c>
      <c r="N6" s="5" t="s">
        <v>3</v>
      </c>
      <c r="O6" s="211" t="s">
        <v>480</v>
      </c>
      <c r="P6" s="5" t="s">
        <v>163</v>
      </c>
      <c r="Q6" s="6"/>
      <c r="R6" s="5" t="s">
        <v>4</v>
      </c>
      <c r="S6" s="5" t="s">
        <v>4</v>
      </c>
      <c r="T6" s="5" t="s">
        <v>4</v>
      </c>
    </row>
    <row r="7" ht="12.75">
      <c r="C7" s="3" t="s">
        <v>48</v>
      </c>
    </row>
    <row r="8" spans="3:7" ht="12.75">
      <c r="C8" s="3" t="s">
        <v>49</v>
      </c>
      <c r="E8" s="54"/>
      <c r="F8" s="54"/>
      <c r="G8" s="54"/>
    </row>
    <row r="9" spans="2:20" ht="12.75">
      <c r="B9" s="3" t="s">
        <v>33</v>
      </c>
      <c r="C9" s="2">
        <v>500</v>
      </c>
      <c r="D9" s="2" t="s">
        <v>50</v>
      </c>
      <c r="E9" s="25">
        <f>'ElLabor$'!N11</f>
        <v>100189</v>
      </c>
      <c r="F9" s="25"/>
      <c r="G9" s="25">
        <f aca="true" t="shared" si="0" ref="G9:G18">F9+E9</f>
        <v>100189</v>
      </c>
      <c r="H9" s="27">
        <f aca="true" t="shared" si="1" ref="H9:H18">ROUND(IF($B9="a",G9*H$5,G9*H$6),0)</f>
        <v>1522</v>
      </c>
      <c r="I9" s="25">
        <f aca="true" t="shared" si="2" ref="I9:I18">G9+H9</f>
        <v>101711</v>
      </c>
      <c r="J9" s="27">
        <f aca="true" t="shared" si="3" ref="J9:J18">ROUND(IF($B9="a",I9*J$5,I9*J$6),0)</f>
        <v>3865</v>
      </c>
      <c r="K9" s="25">
        <f aca="true" t="shared" si="4" ref="K9:K18">I9+J9</f>
        <v>105576</v>
      </c>
      <c r="L9" s="27">
        <f>ROUND(IF($B9="a",K9*L$5,K9*L$6),0)</f>
        <v>4012</v>
      </c>
      <c r="M9" s="25">
        <f aca="true" t="shared" si="5" ref="M9:M18">K9+L9</f>
        <v>109588</v>
      </c>
      <c r="N9" s="25">
        <f>H9+J9+L9</f>
        <v>9399</v>
      </c>
      <c r="O9" s="25"/>
      <c r="P9" s="25">
        <f aca="true" t="shared" si="6" ref="P9:P18">M9+O9</f>
        <v>109588</v>
      </c>
      <c r="Q9" s="26"/>
      <c r="R9" s="25">
        <f aca="true" t="shared" si="7" ref="R9:R18">O9+F9</f>
        <v>0</v>
      </c>
      <c r="S9" s="25">
        <f aca="true" t="shared" si="8" ref="S9:S18">ROUND($S$128*E9/E$125,0)</f>
        <v>9025</v>
      </c>
      <c r="T9" s="25">
        <f>ROUND($T$128*F9/F$125,0)</f>
        <v>0</v>
      </c>
    </row>
    <row r="10" spans="3:20" ht="12.75">
      <c r="C10" s="2">
        <v>501</v>
      </c>
      <c r="D10" s="2" t="s">
        <v>51</v>
      </c>
      <c r="E10" s="25">
        <f>'ElLabor$'!N12</f>
        <v>429552</v>
      </c>
      <c r="F10" s="25"/>
      <c r="G10" s="25">
        <f t="shared" si="0"/>
        <v>429552</v>
      </c>
      <c r="H10" s="28">
        <f t="shared" si="1"/>
        <v>7294</v>
      </c>
      <c r="I10" s="25">
        <f t="shared" si="2"/>
        <v>436846</v>
      </c>
      <c r="J10" s="28">
        <f t="shared" si="3"/>
        <v>17474</v>
      </c>
      <c r="K10" s="25">
        <f t="shared" si="4"/>
        <v>454320</v>
      </c>
      <c r="L10" s="28">
        <f aca="true" t="shared" si="9" ref="L10:L18">ROUND(IF($B10="a",K10*L$5,K10*L$6),0)</f>
        <v>17264</v>
      </c>
      <c r="M10" s="25">
        <f t="shared" si="5"/>
        <v>471584</v>
      </c>
      <c r="N10" s="25">
        <f aca="true" t="shared" si="10" ref="N10:N18">H10+J10+L10</f>
        <v>42032</v>
      </c>
      <c r="O10" s="25"/>
      <c r="P10" s="25">
        <f t="shared" si="6"/>
        <v>471584</v>
      </c>
      <c r="Q10" s="26"/>
      <c r="R10" s="25">
        <f t="shared" si="7"/>
        <v>0</v>
      </c>
      <c r="S10" s="25">
        <f t="shared" si="8"/>
        <v>38694</v>
      </c>
      <c r="T10" s="25">
        <f aca="true" t="shared" si="11" ref="T10:T18">ROUND($T$128*F10/F$125,0)</f>
        <v>0</v>
      </c>
    </row>
    <row r="11" spans="3:20" ht="12.75">
      <c r="C11" s="2">
        <v>502</v>
      </c>
      <c r="D11" s="2" t="s">
        <v>52</v>
      </c>
      <c r="E11" s="25">
        <f>'ElLabor$'!N13</f>
        <v>248961</v>
      </c>
      <c r="F11" s="25"/>
      <c r="G11" s="25">
        <f t="shared" si="0"/>
        <v>248961</v>
      </c>
      <c r="H11" s="28">
        <f t="shared" si="1"/>
        <v>4227</v>
      </c>
      <c r="I11" s="25">
        <f t="shared" si="2"/>
        <v>253188</v>
      </c>
      <c r="J11" s="28">
        <f t="shared" si="3"/>
        <v>10128</v>
      </c>
      <c r="K11" s="25">
        <f t="shared" si="4"/>
        <v>263316</v>
      </c>
      <c r="L11" s="28">
        <f t="shared" si="9"/>
        <v>10006</v>
      </c>
      <c r="M11" s="25">
        <f t="shared" si="5"/>
        <v>273322</v>
      </c>
      <c r="N11" s="25">
        <f t="shared" si="10"/>
        <v>24361</v>
      </c>
      <c r="O11" s="25"/>
      <c r="P11" s="25">
        <f t="shared" si="6"/>
        <v>273322</v>
      </c>
      <c r="Q11" s="26"/>
      <c r="R11" s="25">
        <f t="shared" si="7"/>
        <v>0</v>
      </c>
      <c r="S11" s="25">
        <f t="shared" si="8"/>
        <v>22426</v>
      </c>
      <c r="T11" s="25">
        <f t="shared" si="11"/>
        <v>0</v>
      </c>
    </row>
    <row r="12" spans="3:20" ht="12.75">
      <c r="C12" s="2">
        <v>505</v>
      </c>
      <c r="D12" s="2" t="s">
        <v>53</v>
      </c>
      <c r="E12" s="25">
        <f>'ElLabor$'!N14</f>
        <v>278581</v>
      </c>
      <c r="F12" s="25"/>
      <c r="G12" s="25">
        <f t="shared" si="0"/>
        <v>278581</v>
      </c>
      <c r="H12" s="28">
        <f t="shared" si="1"/>
        <v>4730</v>
      </c>
      <c r="I12" s="25">
        <f t="shared" si="2"/>
        <v>283311</v>
      </c>
      <c r="J12" s="28">
        <f t="shared" si="3"/>
        <v>11332</v>
      </c>
      <c r="K12" s="25">
        <f t="shared" si="4"/>
        <v>294643</v>
      </c>
      <c r="L12" s="28">
        <f t="shared" si="9"/>
        <v>11196</v>
      </c>
      <c r="M12" s="25">
        <f t="shared" si="5"/>
        <v>305839</v>
      </c>
      <c r="N12" s="25">
        <f t="shared" si="10"/>
        <v>27258</v>
      </c>
      <c r="O12" s="25"/>
      <c r="P12" s="25">
        <f t="shared" si="6"/>
        <v>305839</v>
      </c>
      <c r="Q12" s="26"/>
      <c r="R12" s="25">
        <f t="shared" si="7"/>
        <v>0</v>
      </c>
      <c r="S12" s="25">
        <f t="shared" si="8"/>
        <v>25095</v>
      </c>
      <c r="T12" s="25">
        <f t="shared" si="11"/>
        <v>0</v>
      </c>
    </row>
    <row r="13" spans="3:20" ht="12.75">
      <c r="C13" s="2">
        <v>506</v>
      </c>
      <c r="D13" s="2" t="s">
        <v>54</v>
      </c>
      <c r="E13" s="25">
        <f>'ElLabor$'!N15</f>
        <v>82275</v>
      </c>
      <c r="F13" s="25"/>
      <c r="G13" s="25">
        <f t="shared" si="0"/>
        <v>82275</v>
      </c>
      <c r="H13" s="28">
        <f t="shared" si="1"/>
        <v>1397</v>
      </c>
      <c r="I13" s="25">
        <f t="shared" si="2"/>
        <v>83672</v>
      </c>
      <c r="J13" s="28">
        <f t="shared" si="3"/>
        <v>3347</v>
      </c>
      <c r="K13" s="25">
        <f t="shared" si="4"/>
        <v>87019</v>
      </c>
      <c r="L13" s="28">
        <f t="shared" si="9"/>
        <v>3307</v>
      </c>
      <c r="M13" s="25">
        <f t="shared" si="5"/>
        <v>90326</v>
      </c>
      <c r="N13" s="25">
        <f t="shared" si="10"/>
        <v>8051</v>
      </c>
      <c r="O13" s="25"/>
      <c r="P13" s="25">
        <f t="shared" si="6"/>
        <v>90326</v>
      </c>
      <c r="Q13" s="26"/>
      <c r="R13" s="25">
        <f t="shared" si="7"/>
        <v>0</v>
      </c>
      <c r="S13" s="25">
        <f t="shared" si="8"/>
        <v>7411</v>
      </c>
      <c r="T13" s="25">
        <f t="shared" si="11"/>
        <v>0</v>
      </c>
    </row>
    <row r="14" spans="2:20" ht="12.75">
      <c r="B14" s="3" t="s">
        <v>33</v>
      </c>
      <c r="C14" s="2">
        <v>510</v>
      </c>
      <c r="D14" s="2" t="s">
        <v>50</v>
      </c>
      <c r="E14" s="25">
        <f>'ElLabor$'!N16</f>
        <v>43118</v>
      </c>
      <c r="F14" s="25"/>
      <c r="G14" s="25">
        <f t="shared" si="0"/>
        <v>43118</v>
      </c>
      <c r="H14" s="27">
        <f t="shared" si="1"/>
        <v>655</v>
      </c>
      <c r="I14" s="25">
        <f t="shared" si="2"/>
        <v>43773</v>
      </c>
      <c r="J14" s="27">
        <f t="shared" si="3"/>
        <v>1663</v>
      </c>
      <c r="K14" s="25">
        <f t="shared" si="4"/>
        <v>45436</v>
      </c>
      <c r="L14" s="27">
        <f t="shared" si="9"/>
        <v>1727</v>
      </c>
      <c r="M14" s="25">
        <f t="shared" si="5"/>
        <v>47163</v>
      </c>
      <c r="N14" s="25">
        <f t="shared" si="10"/>
        <v>4045</v>
      </c>
      <c r="O14" s="25"/>
      <c r="P14" s="25">
        <f t="shared" si="6"/>
        <v>47163</v>
      </c>
      <c r="Q14" s="26"/>
      <c r="R14" s="25">
        <f t="shared" si="7"/>
        <v>0</v>
      </c>
      <c r="S14" s="25">
        <f t="shared" si="8"/>
        <v>3884</v>
      </c>
      <c r="T14" s="25">
        <f t="shared" si="11"/>
        <v>0</v>
      </c>
    </row>
    <row r="15" spans="3:20" ht="12.75">
      <c r="C15" s="2">
        <v>511</v>
      </c>
      <c r="D15" s="2" t="s">
        <v>55</v>
      </c>
      <c r="E15" s="25">
        <f>'ElLabor$'!N17</f>
        <v>2329</v>
      </c>
      <c r="F15" s="25"/>
      <c r="G15" s="25">
        <f t="shared" si="0"/>
        <v>2329</v>
      </c>
      <c r="H15" s="28">
        <f t="shared" si="1"/>
        <v>40</v>
      </c>
      <c r="I15" s="25">
        <f t="shared" si="2"/>
        <v>2369</v>
      </c>
      <c r="J15" s="28">
        <f t="shared" si="3"/>
        <v>95</v>
      </c>
      <c r="K15" s="25">
        <f t="shared" si="4"/>
        <v>2464</v>
      </c>
      <c r="L15" s="28">
        <f t="shared" si="9"/>
        <v>94</v>
      </c>
      <c r="M15" s="25">
        <f t="shared" si="5"/>
        <v>2558</v>
      </c>
      <c r="N15" s="25">
        <f t="shared" si="10"/>
        <v>229</v>
      </c>
      <c r="O15" s="25"/>
      <c r="P15" s="25">
        <f t="shared" si="6"/>
        <v>2558</v>
      </c>
      <c r="Q15" s="26"/>
      <c r="R15" s="25">
        <f t="shared" si="7"/>
        <v>0</v>
      </c>
      <c r="S15" s="25">
        <f t="shared" si="8"/>
        <v>210</v>
      </c>
      <c r="T15" s="25">
        <f t="shared" si="11"/>
        <v>0</v>
      </c>
    </row>
    <row r="16" spans="3:20" ht="12.75">
      <c r="C16" s="2">
        <v>512</v>
      </c>
      <c r="D16" s="2" t="s">
        <v>56</v>
      </c>
      <c r="E16" s="25">
        <f>'ElLabor$'!N18</f>
        <v>236566</v>
      </c>
      <c r="F16" s="25"/>
      <c r="G16" s="25">
        <f t="shared" si="0"/>
        <v>236566</v>
      </c>
      <c r="H16" s="28">
        <f t="shared" si="1"/>
        <v>4017</v>
      </c>
      <c r="I16" s="25">
        <f t="shared" si="2"/>
        <v>240583</v>
      </c>
      <c r="J16" s="28">
        <f t="shared" si="3"/>
        <v>9623</v>
      </c>
      <c r="K16" s="25">
        <f t="shared" si="4"/>
        <v>250206</v>
      </c>
      <c r="L16" s="28">
        <f t="shared" si="9"/>
        <v>9508</v>
      </c>
      <c r="M16" s="25">
        <f t="shared" si="5"/>
        <v>259714</v>
      </c>
      <c r="N16" s="25">
        <f t="shared" si="10"/>
        <v>23148</v>
      </c>
      <c r="O16" s="25"/>
      <c r="P16" s="25">
        <f t="shared" si="6"/>
        <v>259714</v>
      </c>
      <c r="Q16" s="26"/>
      <c r="R16" s="25">
        <f t="shared" si="7"/>
        <v>0</v>
      </c>
      <c r="S16" s="25">
        <f t="shared" si="8"/>
        <v>21310</v>
      </c>
      <c r="T16" s="25">
        <f t="shared" si="11"/>
        <v>0</v>
      </c>
    </row>
    <row r="17" spans="3:20" ht="12.75">
      <c r="C17" s="2">
        <v>513</v>
      </c>
      <c r="D17" s="2" t="s">
        <v>57</v>
      </c>
      <c r="E17" s="25">
        <f>'ElLabor$'!N19</f>
        <v>59587</v>
      </c>
      <c r="F17" s="25"/>
      <c r="G17" s="25">
        <f t="shared" si="0"/>
        <v>59587</v>
      </c>
      <c r="H17" s="28">
        <f t="shared" si="1"/>
        <v>1012</v>
      </c>
      <c r="I17" s="25">
        <f t="shared" si="2"/>
        <v>60599</v>
      </c>
      <c r="J17" s="28">
        <f t="shared" si="3"/>
        <v>2424</v>
      </c>
      <c r="K17" s="25">
        <f t="shared" si="4"/>
        <v>63023</v>
      </c>
      <c r="L17" s="28">
        <f t="shared" si="9"/>
        <v>2395</v>
      </c>
      <c r="M17" s="25">
        <f t="shared" si="5"/>
        <v>65418</v>
      </c>
      <c r="N17" s="25">
        <f t="shared" si="10"/>
        <v>5831</v>
      </c>
      <c r="O17" s="25"/>
      <c r="P17" s="25">
        <f t="shared" si="6"/>
        <v>65418</v>
      </c>
      <c r="Q17" s="26"/>
      <c r="R17" s="25">
        <f t="shared" si="7"/>
        <v>0</v>
      </c>
      <c r="S17" s="25">
        <f t="shared" si="8"/>
        <v>5368</v>
      </c>
      <c r="T17" s="25">
        <f t="shared" si="11"/>
        <v>0</v>
      </c>
    </row>
    <row r="18" spans="3:20" ht="12.75">
      <c r="C18" s="2">
        <v>514</v>
      </c>
      <c r="D18" s="2" t="s">
        <v>58</v>
      </c>
      <c r="E18" s="25">
        <f>'ElLabor$'!N20</f>
        <v>43024</v>
      </c>
      <c r="F18" s="25"/>
      <c r="G18" s="25">
        <f t="shared" si="0"/>
        <v>43024</v>
      </c>
      <c r="H18" s="28">
        <f t="shared" si="1"/>
        <v>731</v>
      </c>
      <c r="I18" s="25">
        <f t="shared" si="2"/>
        <v>43755</v>
      </c>
      <c r="J18" s="28">
        <f t="shared" si="3"/>
        <v>1750</v>
      </c>
      <c r="K18" s="25">
        <f t="shared" si="4"/>
        <v>45505</v>
      </c>
      <c r="L18" s="28">
        <f t="shared" si="9"/>
        <v>1729</v>
      </c>
      <c r="M18" s="25">
        <f t="shared" si="5"/>
        <v>47234</v>
      </c>
      <c r="N18" s="25">
        <f t="shared" si="10"/>
        <v>4210</v>
      </c>
      <c r="O18" s="25"/>
      <c r="P18" s="25">
        <f t="shared" si="6"/>
        <v>47234</v>
      </c>
      <c r="Q18" s="26"/>
      <c r="R18" s="25">
        <f t="shared" si="7"/>
        <v>0</v>
      </c>
      <c r="S18" s="25">
        <f t="shared" si="8"/>
        <v>3876</v>
      </c>
      <c r="T18" s="25">
        <f t="shared" si="11"/>
        <v>0</v>
      </c>
    </row>
    <row r="19" spans="3:20" ht="12.75">
      <c r="C19" s="3" t="s">
        <v>59</v>
      </c>
      <c r="E19" s="55">
        <f aca="true" t="shared" si="12" ref="E19:T19">SUM(E9:E18)</f>
        <v>1524182</v>
      </c>
      <c r="F19" s="55">
        <f t="shared" si="12"/>
        <v>0</v>
      </c>
      <c r="G19" s="55">
        <f t="shared" si="12"/>
        <v>1524182</v>
      </c>
      <c r="H19" s="55">
        <f t="shared" si="12"/>
        <v>25625</v>
      </c>
      <c r="I19" s="55">
        <f t="shared" si="12"/>
        <v>1549807</v>
      </c>
      <c r="J19" s="55">
        <f t="shared" si="12"/>
        <v>61701</v>
      </c>
      <c r="K19" s="55">
        <f t="shared" si="12"/>
        <v>1611508</v>
      </c>
      <c r="L19" s="55">
        <f>SUM(L9:L18)</f>
        <v>61238</v>
      </c>
      <c r="M19" s="55">
        <f>SUM(M9:M18)</f>
        <v>1672746</v>
      </c>
      <c r="N19" s="55">
        <f t="shared" si="12"/>
        <v>148564</v>
      </c>
      <c r="O19" s="55">
        <f t="shared" si="12"/>
        <v>0</v>
      </c>
      <c r="P19" s="55">
        <f t="shared" si="12"/>
        <v>1672746</v>
      </c>
      <c r="Q19" s="26"/>
      <c r="R19" s="55">
        <f t="shared" si="12"/>
        <v>0</v>
      </c>
      <c r="S19" s="55">
        <f t="shared" si="12"/>
        <v>137299</v>
      </c>
      <c r="T19" s="55">
        <f t="shared" si="12"/>
        <v>0</v>
      </c>
    </row>
    <row r="20" spans="5:20" ht="12.75"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5"/>
      <c r="S20" s="25"/>
      <c r="T20" s="25"/>
    </row>
    <row r="21" spans="3:20" ht="12.75">
      <c r="C21" s="3" t="s">
        <v>60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5"/>
      <c r="S21" s="25"/>
      <c r="T21" s="25"/>
    </row>
    <row r="22" spans="2:20" ht="12.75">
      <c r="B22" s="3" t="s">
        <v>33</v>
      </c>
      <c r="C22" s="2">
        <v>535</v>
      </c>
      <c r="D22" s="2" t="s">
        <v>50</v>
      </c>
      <c r="E22" s="25">
        <f>'ElLabor$'!N24</f>
        <v>630434</v>
      </c>
      <c r="F22" s="25"/>
      <c r="G22" s="25">
        <f aca="true" t="shared" si="13" ref="G22:G31">F22+E22</f>
        <v>630434</v>
      </c>
      <c r="H22" s="27">
        <f aca="true" t="shared" si="14" ref="H22:H31">ROUND(IF($B22="a",G22*H$5,G22*H$6),0)</f>
        <v>9576</v>
      </c>
      <c r="I22" s="25">
        <f aca="true" t="shared" si="15" ref="I22:I31">G22+H22</f>
        <v>640010</v>
      </c>
      <c r="J22" s="27">
        <f aca="true" t="shared" si="16" ref="J22:J31">ROUND(IF($B22="a",I22*J$5,I22*J$6),0)</f>
        <v>24320</v>
      </c>
      <c r="K22" s="25">
        <f aca="true" t="shared" si="17" ref="K22:K31">I22+J22</f>
        <v>664330</v>
      </c>
      <c r="L22" s="27">
        <f aca="true" t="shared" si="18" ref="L22:L31">ROUND(IF($B22="a",K22*L$5,K22*L$6),0)</f>
        <v>25245</v>
      </c>
      <c r="M22" s="25">
        <f aca="true" t="shared" si="19" ref="M22:M31">K22+L22</f>
        <v>689575</v>
      </c>
      <c r="N22" s="25">
        <f aca="true" t="shared" si="20" ref="N22:N31">H22+J22+L22</f>
        <v>59141</v>
      </c>
      <c r="O22" s="25"/>
      <c r="P22" s="25">
        <f aca="true" t="shared" si="21" ref="P22:P31">M22+O22</f>
        <v>689575</v>
      </c>
      <c r="Q22" s="26"/>
      <c r="R22" s="25">
        <f aca="true" t="shared" si="22" ref="R22:R31">O22+F22</f>
        <v>0</v>
      </c>
      <c r="S22" s="25">
        <f aca="true" t="shared" si="23" ref="S22:S31">ROUND($S$128*E22/E$125,0)</f>
        <v>56789</v>
      </c>
      <c r="T22" s="25">
        <f>ROUND($T$128*F22/F$125,0)</f>
        <v>0</v>
      </c>
    </row>
    <row r="23" spans="3:20" ht="12.75">
      <c r="C23" s="2">
        <v>536</v>
      </c>
      <c r="D23" s="2" t="s">
        <v>61</v>
      </c>
      <c r="E23" s="25">
        <f>'ElLabor$'!N25</f>
        <v>4987</v>
      </c>
      <c r="F23" s="25"/>
      <c r="G23" s="25">
        <f t="shared" si="13"/>
        <v>4987</v>
      </c>
      <c r="H23" s="28">
        <f t="shared" si="14"/>
        <v>85</v>
      </c>
      <c r="I23" s="25">
        <f t="shared" si="15"/>
        <v>5072</v>
      </c>
      <c r="J23" s="28">
        <f t="shared" si="16"/>
        <v>203</v>
      </c>
      <c r="K23" s="25">
        <f t="shared" si="17"/>
        <v>5275</v>
      </c>
      <c r="L23" s="28">
        <f t="shared" si="18"/>
        <v>200</v>
      </c>
      <c r="M23" s="25">
        <f t="shared" si="19"/>
        <v>5475</v>
      </c>
      <c r="N23" s="25">
        <f t="shared" si="20"/>
        <v>488</v>
      </c>
      <c r="O23" s="25"/>
      <c r="P23" s="25">
        <f t="shared" si="21"/>
        <v>5475</v>
      </c>
      <c r="Q23" s="26"/>
      <c r="R23" s="25">
        <f t="shared" si="22"/>
        <v>0</v>
      </c>
      <c r="S23" s="25">
        <f t="shared" si="23"/>
        <v>449</v>
      </c>
      <c r="T23" s="25">
        <f aca="true" t="shared" si="24" ref="T23:T31">ROUND($T$128*F23/F$125,0)</f>
        <v>0</v>
      </c>
    </row>
    <row r="24" spans="3:20" ht="12.75">
      <c r="C24" s="2">
        <v>537</v>
      </c>
      <c r="D24" s="2" t="s">
        <v>62</v>
      </c>
      <c r="E24" s="25">
        <f>'ElLabor$'!N26</f>
        <v>201780</v>
      </c>
      <c r="F24" s="25"/>
      <c r="G24" s="25">
        <f t="shared" si="13"/>
        <v>201780</v>
      </c>
      <c r="H24" s="28">
        <f t="shared" si="14"/>
        <v>3426</v>
      </c>
      <c r="I24" s="25">
        <f t="shared" si="15"/>
        <v>205206</v>
      </c>
      <c r="J24" s="28">
        <f t="shared" si="16"/>
        <v>8208</v>
      </c>
      <c r="K24" s="25">
        <f t="shared" si="17"/>
        <v>213414</v>
      </c>
      <c r="L24" s="28">
        <f t="shared" si="18"/>
        <v>8110</v>
      </c>
      <c r="M24" s="25">
        <f t="shared" si="19"/>
        <v>221524</v>
      </c>
      <c r="N24" s="25">
        <f t="shared" si="20"/>
        <v>19744</v>
      </c>
      <c r="O24" s="25"/>
      <c r="P24" s="25">
        <f t="shared" si="21"/>
        <v>221524</v>
      </c>
      <c r="Q24" s="26"/>
      <c r="R24" s="25">
        <f t="shared" si="22"/>
        <v>0</v>
      </c>
      <c r="S24" s="25">
        <f t="shared" si="23"/>
        <v>18176</v>
      </c>
      <c r="T24" s="25">
        <f t="shared" si="24"/>
        <v>0</v>
      </c>
    </row>
    <row r="25" spans="3:20" ht="12.75">
      <c r="C25" s="2">
        <v>538</v>
      </c>
      <c r="D25" s="2" t="s">
        <v>53</v>
      </c>
      <c r="E25" s="25">
        <f>'ElLabor$'!N27</f>
        <v>2053338</v>
      </c>
      <c r="F25" s="25"/>
      <c r="G25" s="25">
        <f t="shared" si="13"/>
        <v>2053338</v>
      </c>
      <c r="H25" s="28">
        <f t="shared" si="14"/>
        <v>34866</v>
      </c>
      <c r="I25" s="25">
        <f t="shared" si="15"/>
        <v>2088204</v>
      </c>
      <c r="J25" s="28">
        <f t="shared" si="16"/>
        <v>83528</v>
      </c>
      <c r="K25" s="25">
        <f t="shared" si="17"/>
        <v>2171732</v>
      </c>
      <c r="L25" s="28">
        <f t="shared" si="18"/>
        <v>82526</v>
      </c>
      <c r="M25" s="25">
        <f t="shared" si="19"/>
        <v>2254258</v>
      </c>
      <c r="N25" s="25">
        <f t="shared" si="20"/>
        <v>200920</v>
      </c>
      <c r="O25" s="25"/>
      <c r="P25" s="25">
        <f t="shared" si="21"/>
        <v>2254258</v>
      </c>
      <c r="Q25" s="26"/>
      <c r="R25" s="25">
        <f t="shared" si="22"/>
        <v>0</v>
      </c>
      <c r="S25" s="25">
        <f t="shared" si="23"/>
        <v>184964</v>
      </c>
      <c r="T25" s="25">
        <f t="shared" si="24"/>
        <v>0</v>
      </c>
    </row>
    <row r="26" spans="3:20" ht="12.75">
      <c r="C26" s="2">
        <v>539</v>
      </c>
      <c r="D26" s="2" t="s">
        <v>63</v>
      </c>
      <c r="E26" s="25">
        <f>'ElLabor$'!N28</f>
        <v>193205</v>
      </c>
      <c r="F26" s="25"/>
      <c r="G26" s="25">
        <f t="shared" si="13"/>
        <v>193205</v>
      </c>
      <c r="H26" s="28">
        <f t="shared" si="14"/>
        <v>3281</v>
      </c>
      <c r="I26" s="25">
        <f t="shared" si="15"/>
        <v>196486</v>
      </c>
      <c r="J26" s="28">
        <f t="shared" si="16"/>
        <v>7859</v>
      </c>
      <c r="K26" s="25">
        <f t="shared" si="17"/>
        <v>204345</v>
      </c>
      <c r="L26" s="28">
        <f t="shared" si="18"/>
        <v>7765</v>
      </c>
      <c r="M26" s="25">
        <f t="shared" si="19"/>
        <v>212110</v>
      </c>
      <c r="N26" s="25">
        <f t="shared" si="20"/>
        <v>18905</v>
      </c>
      <c r="O26" s="25"/>
      <c r="P26" s="25">
        <f t="shared" si="21"/>
        <v>212110</v>
      </c>
      <c r="Q26" s="26"/>
      <c r="R26" s="25">
        <f t="shared" si="22"/>
        <v>0</v>
      </c>
      <c r="S26" s="25">
        <f t="shared" si="23"/>
        <v>17404</v>
      </c>
      <c r="T26" s="25">
        <f t="shared" si="24"/>
        <v>0</v>
      </c>
    </row>
    <row r="27" spans="2:20" ht="12.75">
      <c r="B27" s="3" t="s">
        <v>33</v>
      </c>
      <c r="C27" s="2">
        <v>541</v>
      </c>
      <c r="D27" s="2" t="s">
        <v>50</v>
      </c>
      <c r="E27" s="25">
        <f>'ElLabor$'!N29</f>
        <v>92201</v>
      </c>
      <c r="F27" s="25"/>
      <c r="G27" s="25">
        <f t="shared" si="13"/>
        <v>92201</v>
      </c>
      <c r="H27" s="27">
        <f t="shared" si="14"/>
        <v>1401</v>
      </c>
      <c r="I27" s="25">
        <f t="shared" si="15"/>
        <v>93602</v>
      </c>
      <c r="J27" s="27">
        <f t="shared" si="16"/>
        <v>3557</v>
      </c>
      <c r="K27" s="25">
        <f t="shared" si="17"/>
        <v>97159</v>
      </c>
      <c r="L27" s="27">
        <f t="shared" si="18"/>
        <v>3692</v>
      </c>
      <c r="M27" s="25">
        <f t="shared" si="19"/>
        <v>100851</v>
      </c>
      <c r="N27" s="25">
        <f t="shared" si="20"/>
        <v>8650</v>
      </c>
      <c r="O27" s="25"/>
      <c r="P27" s="25">
        <f t="shared" si="21"/>
        <v>100851</v>
      </c>
      <c r="Q27" s="26"/>
      <c r="R27" s="25">
        <f t="shared" si="22"/>
        <v>0</v>
      </c>
      <c r="S27" s="25">
        <f t="shared" si="23"/>
        <v>8305</v>
      </c>
      <c r="T27" s="25">
        <f t="shared" si="24"/>
        <v>0</v>
      </c>
    </row>
    <row r="28" spans="3:20" ht="12.75">
      <c r="C28" s="2">
        <v>542</v>
      </c>
      <c r="D28" s="2" t="s">
        <v>55</v>
      </c>
      <c r="E28" s="25">
        <f>'ElLabor$'!N30</f>
        <v>91574</v>
      </c>
      <c r="F28" s="25"/>
      <c r="G28" s="25">
        <f t="shared" si="13"/>
        <v>91574</v>
      </c>
      <c r="H28" s="28">
        <f t="shared" si="14"/>
        <v>1555</v>
      </c>
      <c r="I28" s="25">
        <f t="shared" si="15"/>
        <v>93129</v>
      </c>
      <c r="J28" s="28">
        <f t="shared" si="16"/>
        <v>3725</v>
      </c>
      <c r="K28" s="25">
        <f t="shared" si="17"/>
        <v>96854</v>
      </c>
      <c r="L28" s="28">
        <f t="shared" si="18"/>
        <v>3680</v>
      </c>
      <c r="M28" s="25">
        <f t="shared" si="19"/>
        <v>100534</v>
      </c>
      <c r="N28" s="25">
        <f t="shared" si="20"/>
        <v>8960</v>
      </c>
      <c r="O28" s="25"/>
      <c r="P28" s="25">
        <f t="shared" si="21"/>
        <v>100534</v>
      </c>
      <c r="Q28" s="26"/>
      <c r="R28" s="25">
        <f t="shared" si="22"/>
        <v>0</v>
      </c>
      <c r="S28" s="25">
        <f t="shared" si="23"/>
        <v>8249</v>
      </c>
      <c r="T28" s="25">
        <f t="shared" si="24"/>
        <v>0</v>
      </c>
    </row>
    <row r="29" spans="3:20" ht="12.75">
      <c r="C29" s="2">
        <v>543</v>
      </c>
      <c r="D29" s="2" t="s">
        <v>64</v>
      </c>
      <c r="E29" s="25">
        <f>'ElLabor$'!N31</f>
        <v>255208</v>
      </c>
      <c r="F29" s="25"/>
      <c r="G29" s="25">
        <f t="shared" si="13"/>
        <v>255208</v>
      </c>
      <c r="H29" s="28">
        <f t="shared" si="14"/>
        <v>4333</v>
      </c>
      <c r="I29" s="25">
        <f t="shared" si="15"/>
        <v>259541</v>
      </c>
      <c r="J29" s="28">
        <f t="shared" si="16"/>
        <v>10382</v>
      </c>
      <c r="K29" s="25">
        <f t="shared" si="17"/>
        <v>269923</v>
      </c>
      <c r="L29" s="28">
        <f t="shared" si="18"/>
        <v>10257</v>
      </c>
      <c r="M29" s="25">
        <f t="shared" si="19"/>
        <v>280180</v>
      </c>
      <c r="N29" s="25">
        <f t="shared" si="20"/>
        <v>24972</v>
      </c>
      <c r="O29" s="25"/>
      <c r="P29" s="25">
        <f t="shared" si="21"/>
        <v>280180</v>
      </c>
      <c r="Q29" s="26"/>
      <c r="R29" s="25">
        <f t="shared" si="22"/>
        <v>0</v>
      </c>
      <c r="S29" s="25">
        <f t="shared" si="23"/>
        <v>22989</v>
      </c>
      <c r="T29" s="25">
        <f t="shared" si="24"/>
        <v>0</v>
      </c>
    </row>
    <row r="30" spans="3:20" ht="12.75">
      <c r="C30" s="2">
        <v>544</v>
      </c>
      <c r="D30" s="2" t="s">
        <v>57</v>
      </c>
      <c r="E30" s="25">
        <f>'ElLabor$'!N32</f>
        <v>728112</v>
      </c>
      <c r="F30" s="25"/>
      <c r="G30" s="25">
        <f t="shared" si="13"/>
        <v>728112</v>
      </c>
      <c r="H30" s="28">
        <f t="shared" si="14"/>
        <v>12363</v>
      </c>
      <c r="I30" s="25">
        <f t="shared" si="15"/>
        <v>740475</v>
      </c>
      <c r="J30" s="28">
        <f t="shared" si="16"/>
        <v>29619</v>
      </c>
      <c r="K30" s="25">
        <f t="shared" si="17"/>
        <v>770094</v>
      </c>
      <c r="L30" s="28">
        <f t="shared" si="18"/>
        <v>29264</v>
      </c>
      <c r="M30" s="25">
        <f t="shared" si="19"/>
        <v>799358</v>
      </c>
      <c r="N30" s="25">
        <f t="shared" si="20"/>
        <v>71246</v>
      </c>
      <c r="O30" s="25"/>
      <c r="P30" s="25">
        <f t="shared" si="21"/>
        <v>799358</v>
      </c>
      <c r="Q30" s="26"/>
      <c r="R30" s="25">
        <f t="shared" si="22"/>
        <v>0</v>
      </c>
      <c r="S30" s="25">
        <f t="shared" si="23"/>
        <v>65588</v>
      </c>
      <c r="T30" s="25">
        <f t="shared" si="24"/>
        <v>0</v>
      </c>
    </row>
    <row r="31" spans="3:20" ht="12.75">
      <c r="C31" s="2">
        <v>545</v>
      </c>
      <c r="D31" s="2" t="s">
        <v>65</v>
      </c>
      <c r="E31" s="25">
        <f>'ElLabor$'!N33</f>
        <v>80318</v>
      </c>
      <c r="F31" s="25"/>
      <c r="G31" s="25">
        <f t="shared" si="13"/>
        <v>80318</v>
      </c>
      <c r="H31" s="28">
        <f t="shared" si="14"/>
        <v>1364</v>
      </c>
      <c r="I31" s="25">
        <f t="shared" si="15"/>
        <v>81682</v>
      </c>
      <c r="J31" s="28">
        <f t="shared" si="16"/>
        <v>3267</v>
      </c>
      <c r="K31" s="25">
        <f t="shared" si="17"/>
        <v>84949</v>
      </c>
      <c r="L31" s="28">
        <f t="shared" si="18"/>
        <v>3228</v>
      </c>
      <c r="M31" s="25">
        <f t="shared" si="19"/>
        <v>88177</v>
      </c>
      <c r="N31" s="25">
        <f t="shared" si="20"/>
        <v>7859</v>
      </c>
      <c r="O31" s="25"/>
      <c r="P31" s="25">
        <f t="shared" si="21"/>
        <v>88177</v>
      </c>
      <c r="Q31" s="26"/>
      <c r="R31" s="25">
        <f t="shared" si="22"/>
        <v>0</v>
      </c>
      <c r="S31" s="25">
        <f t="shared" si="23"/>
        <v>7235</v>
      </c>
      <c r="T31" s="25">
        <f t="shared" si="24"/>
        <v>0</v>
      </c>
    </row>
    <row r="32" spans="3:20" ht="12.75">
      <c r="C32" s="3" t="s">
        <v>66</v>
      </c>
      <c r="E32" s="55">
        <f aca="true" t="shared" si="25" ref="E32:T32">SUM(E22:E31)</f>
        <v>4331157</v>
      </c>
      <c r="F32" s="55">
        <f t="shared" si="25"/>
        <v>0</v>
      </c>
      <c r="G32" s="55">
        <f t="shared" si="25"/>
        <v>4331157</v>
      </c>
      <c r="H32" s="55">
        <f t="shared" si="25"/>
        <v>72250</v>
      </c>
      <c r="I32" s="55">
        <f t="shared" si="25"/>
        <v>4403407</v>
      </c>
      <c r="J32" s="55">
        <f t="shared" si="25"/>
        <v>174668</v>
      </c>
      <c r="K32" s="55">
        <f t="shared" si="25"/>
        <v>4578075</v>
      </c>
      <c r="L32" s="55">
        <f>SUM(L22:L31)</f>
        <v>173967</v>
      </c>
      <c r="M32" s="55">
        <f>SUM(M22:M31)</f>
        <v>4752042</v>
      </c>
      <c r="N32" s="55">
        <f t="shared" si="25"/>
        <v>420885</v>
      </c>
      <c r="O32" s="55">
        <f t="shared" si="25"/>
        <v>0</v>
      </c>
      <c r="P32" s="55">
        <f t="shared" si="25"/>
        <v>4752042</v>
      </c>
      <c r="Q32" s="26"/>
      <c r="R32" s="55">
        <f t="shared" si="25"/>
        <v>0</v>
      </c>
      <c r="S32" s="55">
        <f t="shared" si="25"/>
        <v>390148</v>
      </c>
      <c r="T32" s="55">
        <f t="shared" si="25"/>
        <v>0</v>
      </c>
    </row>
    <row r="33" spans="5:20" ht="12.75"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5"/>
      <c r="S33" s="25"/>
      <c r="T33" s="25"/>
    </row>
    <row r="34" spans="3:20" ht="12.75">
      <c r="C34" s="3" t="s">
        <v>67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5"/>
      <c r="S34" s="25"/>
      <c r="T34" s="25"/>
    </row>
    <row r="35" spans="2:20" ht="12.75">
      <c r="B35" s="3" t="s">
        <v>33</v>
      </c>
      <c r="C35" s="2">
        <v>546</v>
      </c>
      <c r="D35" s="2" t="s">
        <v>50</v>
      </c>
      <c r="E35" s="25">
        <f>'ElLabor$'!N37</f>
        <v>126245</v>
      </c>
      <c r="F35" s="25"/>
      <c r="G35" s="25">
        <f aca="true" t="shared" si="26" ref="G35:G42">F35+E35</f>
        <v>126245</v>
      </c>
      <c r="H35" s="27">
        <f aca="true" t="shared" si="27" ref="H35:H42">ROUND(IF($B35="a",G35*H$5,G35*H$6),0)</f>
        <v>1918</v>
      </c>
      <c r="I35" s="25">
        <f aca="true" t="shared" si="28" ref="I35:I42">G35+H35</f>
        <v>128163</v>
      </c>
      <c r="J35" s="27">
        <f aca="true" t="shared" si="29" ref="J35:J42">ROUND(IF($B35="a",I35*J$5,I35*J$6),0)</f>
        <v>4870</v>
      </c>
      <c r="K35" s="25">
        <f aca="true" t="shared" si="30" ref="K35:K42">I35+J35</f>
        <v>133033</v>
      </c>
      <c r="L35" s="27">
        <f aca="true" t="shared" si="31" ref="L35:L42">ROUND(IF($B35="a",K35*L$5,K35*L$6),0)</f>
        <v>5055</v>
      </c>
      <c r="M35" s="25">
        <f aca="true" t="shared" si="32" ref="M35:M42">K35+L35</f>
        <v>138088</v>
      </c>
      <c r="N35" s="25">
        <f aca="true" t="shared" si="33" ref="N35:N42">H35+J35+L35</f>
        <v>11843</v>
      </c>
      <c r="O35" s="25"/>
      <c r="P35" s="25">
        <f aca="true" t="shared" si="34" ref="P35:P42">M35+O35</f>
        <v>138088</v>
      </c>
      <c r="Q35" s="26"/>
      <c r="R35" s="25">
        <f aca="true" t="shared" si="35" ref="R35:R42">O35+F35</f>
        <v>0</v>
      </c>
      <c r="S35" s="25">
        <f aca="true" t="shared" si="36" ref="S35:S42">ROUND($S$128*E35/E$125,0)</f>
        <v>11372</v>
      </c>
      <c r="T35" s="25">
        <f>ROUND($T$128*F35/F$125,0)</f>
        <v>0</v>
      </c>
    </row>
    <row r="36" spans="3:20" ht="12.75">
      <c r="C36" s="2">
        <v>547</v>
      </c>
      <c r="D36" s="2" t="s">
        <v>51</v>
      </c>
      <c r="E36" s="25">
        <f>'ElLabor$'!N38</f>
        <v>0</v>
      </c>
      <c r="F36" s="25"/>
      <c r="G36" s="25">
        <f t="shared" si="26"/>
        <v>0</v>
      </c>
      <c r="H36" s="28">
        <f t="shared" si="27"/>
        <v>0</v>
      </c>
      <c r="I36" s="25">
        <f t="shared" si="28"/>
        <v>0</v>
      </c>
      <c r="J36" s="28">
        <f t="shared" si="29"/>
        <v>0</v>
      </c>
      <c r="K36" s="25">
        <f t="shared" si="30"/>
        <v>0</v>
      </c>
      <c r="L36" s="28">
        <f t="shared" si="31"/>
        <v>0</v>
      </c>
      <c r="M36" s="25">
        <f t="shared" si="32"/>
        <v>0</v>
      </c>
      <c r="N36" s="25">
        <f t="shared" si="33"/>
        <v>0</v>
      </c>
      <c r="O36" s="25"/>
      <c r="P36" s="25">
        <f t="shared" si="34"/>
        <v>0</v>
      </c>
      <c r="Q36" s="26"/>
      <c r="R36" s="25">
        <f t="shared" si="35"/>
        <v>0</v>
      </c>
      <c r="S36" s="25">
        <f t="shared" si="36"/>
        <v>0</v>
      </c>
      <c r="T36" s="25">
        <f aca="true" t="shared" si="37" ref="T36:T42">ROUND($T$128*F36/F$125,0)</f>
        <v>0</v>
      </c>
    </row>
    <row r="37" spans="3:20" ht="12.75">
      <c r="C37" s="2">
        <v>548</v>
      </c>
      <c r="D37" s="2" t="s">
        <v>68</v>
      </c>
      <c r="E37" s="25">
        <f>'ElLabor$'!N39</f>
        <v>126769</v>
      </c>
      <c r="F37" s="25"/>
      <c r="G37" s="25">
        <f t="shared" si="26"/>
        <v>126769</v>
      </c>
      <c r="H37" s="28">
        <f t="shared" si="27"/>
        <v>2153</v>
      </c>
      <c r="I37" s="25">
        <f t="shared" si="28"/>
        <v>128922</v>
      </c>
      <c r="J37" s="28">
        <f t="shared" si="29"/>
        <v>5157</v>
      </c>
      <c r="K37" s="25">
        <f t="shared" si="30"/>
        <v>134079</v>
      </c>
      <c r="L37" s="28">
        <f t="shared" si="31"/>
        <v>5095</v>
      </c>
      <c r="M37" s="25">
        <f t="shared" si="32"/>
        <v>139174</v>
      </c>
      <c r="N37" s="25">
        <f t="shared" si="33"/>
        <v>12405</v>
      </c>
      <c r="O37" s="25"/>
      <c r="P37" s="25">
        <f t="shared" si="34"/>
        <v>139174</v>
      </c>
      <c r="Q37" s="26"/>
      <c r="R37" s="25">
        <f t="shared" si="35"/>
        <v>0</v>
      </c>
      <c r="S37" s="25">
        <f t="shared" si="36"/>
        <v>11419</v>
      </c>
      <c r="T37" s="25">
        <f t="shared" si="37"/>
        <v>0</v>
      </c>
    </row>
    <row r="38" spans="3:20" ht="12.75">
      <c r="C38" s="2">
        <v>549</v>
      </c>
      <c r="D38" s="2" t="s">
        <v>69</v>
      </c>
      <c r="E38" s="25">
        <f>'ElLabor$'!N40</f>
        <v>75450</v>
      </c>
      <c r="F38" s="25"/>
      <c r="G38" s="25">
        <f t="shared" si="26"/>
        <v>75450</v>
      </c>
      <c r="H38" s="28">
        <f t="shared" si="27"/>
        <v>1281</v>
      </c>
      <c r="I38" s="25">
        <f t="shared" si="28"/>
        <v>76731</v>
      </c>
      <c r="J38" s="28">
        <f t="shared" si="29"/>
        <v>3069</v>
      </c>
      <c r="K38" s="25">
        <f t="shared" si="30"/>
        <v>79800</v>
      </c>
      <c r="L38" s="28">
        <f t="shared" si="31"/>
        <v>3032</v>
      </c>
      <c r="M38" s="25">
        <f t="shared" si="32"/>
        <v>82832</v>
      </c>
      <c r="N38" s="25">
        <f t="shared" si="33"/>
        <v>7382</v>
      </c>
      <c r="O38" s="25"/>
      <c r="P38" s="25">
        <f t="shared" si="34"/>
        <v>82832</v>
      </c>
      <c r="Q38" s="26"/>
      <c r="R38" s="25">
        <f t="shared" si="35"/>
        <v>0</v>
      </c>
      <c r="S38" s="25">
        <f t="shared" si="36"/>
        <v>6797</v>
      </c>
      <c r="T38" s="25">
        <f t="shared" si="37"/>
        <v>0</v>
      </c>
    </row>
    <row r="39" spans="2:20" ht="12.75">
      <c r="B39" s="3" t="s">
        <v>33</v>
      </c>
      <c r="C39" s="2">
        <v>551</v>
      </c>
      <c r="D39" s="2" t="s">
        <v>50</v>
      </c>
      <c r="E39" s="25">
        <f>'ElLabor$'!N41</f>
        <v>58489</v>
      </c>
      <c r="F39" s="25"/>
      <c r="G39" s="25">
        <f t="shared" si="26"/>
        <v>58489</v>
      </c>
      <c r="H39" s="27">
        <f t="shared" si="27"/>
        <v>888</v>
      </c>
      <c r="I39" s="25">
        <f t="shared" si="28"/>
        <v>59377</v>
      </c>
      <c r="J39" s="27">
        <f t="shared" si="29"/>
        <v>2256</v>
      </c>
      <c r="K39" s="25">
        <f t="shared" si="30"/>
        <v>61633</v>
      </c>
      <c r="L39" s="27">
        <f t="shared" si="31"/>
        <v>2342</v>
      </c>
      <c r="M39" s="25">
        <f t="shared" si="32"/>
        <v>63975</v>
      </c>
      <c r="N39" s="25">
        <f t="shared" si="33"/>
        <v>5486</v>
      </c>
      <c r="O39" s="25"/>
      <c r="P39" s="25">
        <f t="shared" si="34"/>
        <v>63975</v>
      </c>
      <c r="Q39" s="26"/>
      <c r="R39" s="25">
        <f t="shared" si="35"/>
        <v>0</v>
      </c>
      <c r="S39" s="25">
        <f t="shared" si="36"/>
        <v>5269</v>
      </c>
      <c r="T39" s="25">
        <f t="shared" si="37"/>
        <v>0</v>
      </c>
    </row>
    <row r="40" spans="3:20" ht="12.75">
      <c r="C40" s="2">
        <v>552</v>
      </c>
      <c r="D40" s="2" t="s">
        <v>55</v>
      </c>
      <c r="E40" s="25">
        <f>'ElLabor$'!N42</f>
        <v>1156</v>
      </c>
      <c r="F40" s="25"/>
      <c r="G40" s="25">
        <f t="shared" si="26"/>
        <v>1156</v>
      </c>
      <c r="H40" s="28">
        <f t="shared" si="27"/>
        <v>20</v>
      </c>
      <c r="I40" s="25">
        <f t="shared" si="28"/>
        <v>1176</v>
      </c>
      <c r="J40" s="28">
        <f t="shared" si="29"/>
        <v>47</v>
      </c>
      <c r="K40" s="25">
        <f t="shared" si="30"/>
        <v>1223</v>
      </c>
      <c r="L40" s="28">
        <f t="shared" si="31"/>
        <v>46</v>
      </c>
      <c r="M40" s="25">
        <f t="shared" si="32"/>
        <v>1269</v>
      </c>
      <c r="N40" s="25">
        <f t="shared" si="33"/>
        <v>113</v>
      </c>
      <c r="O40" s="25"/>
      <c r="P40" s="25">
        <f t="shared" si="34"/>
        <v>1269</v>
      </c>
      <c r="Q40" s="26"/>
      <c r="R40" s="25">
        <f t="shared" si="35"/>
        <v>0</v>
      </c>
      <c r="S40" s="25">
        <f t="shared" si="36"/>
        <v>104</v>
      </c>
      <c r="T40" s="25">
        <f t="shared" si="37"/>
        <v>0</v>
      </c>
    </row>
    <row r="41" spans="3:20" ht="12.75">
      <c r="C41" s="2">
        <v>553</v>
      </c>
      <c r="D41" s="2" t="s">
        <v>70</v>
      </c>
      <c r="E41" s="25">
        <f>'ElLabor$'!N43</f>
        <v>103919</v>
      </c>
      <c r="F41" s="25"/>
      <c r="G41" s="25">
        <f t="shared" si="26"/>
        <v>103919</v>
      </c>
      <c r="H41" s="28">
        <f t="shared" si="27"/>
        <v>1765</v>
      </c>
      <c r="I41" s="25">
        <f t="shared" si="28"/>
        <v>105684</v>
      </c>
      <c r="J41" s="28">
        <f t="shared" si="29"/>
        <v>4227</v>
      </c>
      <c r="K41" s="25">
        <f t="shared" si="30"/>
        <v>109911</v>
      </c>
      <c r="L41" s="28">
        <f t="shared" si="31"/>
        <v>4177</v>
      </c>
      <c r="M41" s="25">
        <f t="shared" si="32"/>
        <v>114088</v>
      </c>
      <c r="N41" s="25">
        <f t="shared" si="33"/>
        <v>10169</v>
      </c>
      <c r="O41" s="25"/>
      <c r="P41" s="25">
        <f t="shared" si="34"/>
        <v>114088</v>
      </c>
      <c r="Q41" s="26"/>
      <c r="R41" s="25">
        <f t="shared" si="35"/>
        <v>0</v>
      </c>
      <c r="S41" s="25">
        <f t="shared" si="36"/>
        <v>9361</v>
      </c>
      <c r="T41" s="25">
        <f t="shared" si="37"/>
        <v>0</v>
      </c>
    </row>
    <row r="42" spans="3:20" ht="12.75">
      <c r="C42" s="2">
        <v>554</v>
      </c>
      <c r="D42" s="2" t="s">
        <v>71</v>
      </c>
      <c r="E42" s="25">
        <f>'ElLabor$'!N44</f>
        <v>43699</v>
      </c>
      <c r="F42" s="25"/>
      <c r="G42" s="25">
        <f t="shared" si="26"/>
        <v>43699</v>
      </c>
      <c r="H42" s="28">
        <f t="shared" si="27"/>
        <v>742</v>
      </c>
      <c r="I42" s="25">
        <f t="shared" si="28"/>
        <v>44441</v>
      </c>
      <c r="J42" s="28">
        <f t="shared" si="29"/>
        <v>1778</v>
      </c>
      <c r="K42" s="25">
        <f t="shared" si="30"/>
        <v>46219</v>
      </c>
      <c r="L42" s="28">
        <f t="shared" si="31"/>
        <v>1756</v>
      </c>
      <c r="M42" s="25">
        <f t="shared" si="32"/>
        <v>47975</v>
      </c>
      <c r="N42" s="25">
        <f t="shared" si="33"/>
        <v>4276</v>
      </c>
      <c r="O42" s="25"/>
      <c r="P42" s="25">
        <f t="shared" si="34"/>
        <v>47975</v>
      </c>
      <c r="Q42" s="26"/>
      <c r="R42" s="25">
        <f t="shared" si="35"/>
        <v>0</v>
      </c>
      <c r="S42" s="25">
        <f t="shared" si="36"/>
        <v>3936</v>
      </c>
      <c r="T42" s="25">
        <f t="shared" si="37"/>
        <v>0</v>
      </c>
    </row>
    <row r="43" spans="3:20" ht="12.75">
      <c r="C43" s="3" t="s">
        <v>72</v>
      </c>
      <c r="E43" s="55">
        <f aca="true" t="shared" si="38" ref="E43:T43">SUM(E35:E42)</f>
        <v>535727</v>
      </c>
      <c r="F43" s="55">
        <f t="shared" si="38"/>
        <v>0</v>
      </c>
      <c r="G43" s="55">
        <f t="shared" si="38"/>
        <v>535727</v>
      </c>
      <c r="H43" s="55">
        <f t="shared" si="38"/>
        <v>8767</v>
      </c>
      <c r="I43" s="55">
        <f t="shared" si="38"/>
        <v>544494</v>
      </c>
      <c r="J43" s="55">
        <f t="shared" si="38"/>
        <v>21404</v>
      </c>
      <c r="K43" s="55">
        <f t="shared" si="38"/>
        <v>565898</v>
      </c>
      <c r="L43" s="55">
        <f>SUM(L35:L42)</f>
        <v>21503</v>
      </c>
      <c r="M43" s="55">
        <f>SUM(M35:M42)</f>
        <v>587401</v>
      </c>
      <c r="N43" s="55">
        <f t="shared" si="38"/>
        <v>51674</v>
      </c>
      <c r="O43" s="55">
        <f t="shared" si="38"/>
        <v>0</v>
      </c>
      <c r="P43" s="55">
        <f t="shared" si="38"/>
        <v>587401</v>
      </c>
      <c r="Q43" s="26"/>
      <c r="R43" s="55">
        <f t="shared" si="38"/>
        <v>0</v>
      </c>
      <c r="S43" s="55">
        <f t="shared" si="38"/>
        <v>48258</v>
      </c>
      <c r="T43" s="55">
        <f t="shared" si="38"/>
        <v>0</v>
      </c>
    </row>
    <row r="44" spans="5:20" ht="12.7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R44" s="25"/>
      <c r="S44" s="25"/>
      <c r="T44" s="25"/>
    </row>
    <row r="45" spans="3:20" ht="12.75">
      <c r="C45" s="3" t="s">
        <v>73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5"/>
      <c r="S45" s="25"/>
      <c r="T45" s="25"/>
    </row>
    <row r="46" spans="2:20" ht="12.75">
      <c r="B46" s="3" t="s">
        <v>33</v>
      </c>
      <c r="C46" s="2">
        <v>556</v>
      </c>
      <c r="D46" s="2" t="s">
        <v>74</v>
      </c>
      <c r="E46" s="25">
        <f>'ElLabor$'!N48</f>
        <v>160960</v>
      </c>
      <c r="F46" s="25"/>
      <c r="G46" s="25">
        <f>F46+E46</f>
        <v>160960</v>
      </c>
      <c r="H46" s="27">
        <f>ROUND(IF($B46="a",G46*H$5,G46*H$6),0)</f>
        <v>2445</v>
      </c>
      <c r="I46" s="25">
        <f>G46+H46</f>
        <v>163405</v>
      </c>
      <c r="J46" s="27">
        <f>ROUND(IF($B46="a",I46*J$5,I46*J$6),0)</f>
        <v>6209</v>
      </c>
      <c r="K46" s="25">
        <f>I46+J46</f>
        <v>169614</v>
      </c>
      <c r="L46" s="27">
        <f>ROUND(IF($B46="a",K46*L$5,K46*L$6),0)</f>
        <v>6445</v>
      </c>
      <c r="M46" s="25">
        <f>K46+L46</f>
        <v>176059</v>
      </c>
      <c r="N46" s="25">
        <f>H46+J46+L46</f>
        <v>15099</v>
      </c>
      <c r="O46" s="25"/>
      <c r="P46" s="25">
        <f>M46+O46</f>
        <v>176059</v>
      </c>
      <c r="Q46" s="26"/>
      <c r="R46" s="25">
        <f>O46+F46</f>
        <v>0</v>
      </c>
      <c r="S46" s="25">
        <f>ROUND($S$128*E46/E$125,0)</f>
        <v>14499</v>
      </c>
      <c r="T46" s="25">
        <f>ROUND($T$128*F46/F$125,0)</f>
        <v>0</v>
      </c>
    </row>
    <row r="47" spans="2:20" ht="12.75">
      <c r="B47" s="3" t="s">
        <v>33</v>
      </c>
      <c r="C47" s="2">
        <v>557</v>
      </c>
      <c r="D47" s="2" t="s">
        <v>75</v>
      </c>
      <c r="E47" s="25">
        <f>'ElLabor$'!N49</f>
        <v>1843660</v>
      </c>
      <c r="F47" s="25">
        <f>-RemoveExec!F16</f>
        <v>-88409</v>
      </c>
      <c r="G47" s="25">
        <f>F47+E47</f>
        <v>1755251</v>
      </c>
      <c r="H47" s="27">
        <f>ROUND(IF($B47="a",G47*H$5,G47*H$6),0)</f>
        <v>26662</v>
      </c>
      <c r="I47" s="25">
        <f>G47+H47</f>
        <v>1781913</v>
      </c>
      <c r="J47" s="27">
        <f>ROUND(IF($B47="a",I47*J$5,I47*J$6),0)</f>
        <v>67713</v>
      </c>
      <c r="K47" s="25">
        <f>I47+J47</f>
        <v>1849626</v>
      </c>
      <c r="L47" s="27">
        <f>ROUND(IF($B47="a",K47*L$5,K47*L$6),0)</f>
        <v>70286</v>
      </c>
      <c r="M47" s="25">
        <f>K47+L47</f>
        <v>1919912</v>
      </c>
      <c r="N47" s="25">
        <f>H47+J47+L47</f>
        <v>164661</v>
      </c>
      <c r="O47" s="25">
        <f>'Pro Forma Spread'!G36</f>
        <v>97756</v>
      </c>
      <c r="P47" s="25">
        <f>M47+O47</f>
        <v>2017668</v>
      </c>
      <c r="Q47" s="26"/>
      <c r="R47" s="25">
        <f>O47+F47</f>
        <v>9347</v>
      </c>
      <c r="S47" s="25">
        <f>ROUND($S$128*E47/E$125,0)</f>
        <v>166077</v>
      </c>
      <c r="T47" s="25">
        <f>ROUND($T$128*F47/F$125,0)</f>
        <v>65712</v>
      </c>
    </row>
    <row r="48" spans="3:20" ht="12.75">
      <c r="C48" s="3" t="s">
        <v>76</v>
      </c>
      <c r="E48" s="55">
        <f aca="true" t="shared" si="39" ref="E48:T48">SUM(E46:E47)</f>
        <v>2004620</v>
      </c>
      <c r="F48" s="55">
        <f t="shared" si="39"/>
        <v>-88409</v>
      </c>
      <c r="G48" s="55">
        <f t="shared" si="39"/>
        <v>1916211</v>
      </c>
      <c r="H48" s="55">
        <f t="shared" si="39"/>
        <v>29107</v>
      </c>
      <c r="I48" s="55">
        <f t="shared" si="39"/>
        <v>1945318</v>
      </c>
      <c r="J48" s="55">
        <f t="shared" si="39"/>
        <v>73922</v>
      </c>
      <c r="K48" s="55">
        <f t="shared" si="39"/>
        <v>2019240</v>
      </c>
      <c r="L48" s="55">
        <f>SUM(L46:L47)</f>
        <v>76731</v>
      </c>
      <c r="M48" s="55">
        <f>SUM(M46:M47)</f>
        <v>2095971</v>
      </c>
      <c r="N48" s="55">
        <f t="shared" si="39"/>
        <v>179760</v>
      </c>
      <c r="O48" s="55">
        <f t="shared" si="39"/>
        <v>97756</v>
      </c>
      <c r="P48" s="55">
        <f t="shared" si="39"/>
        <v>2193727</v>
      </c>
      <c r="Q48" s="26"/>
      <c r="R48" s="55">
        <f t="shared" si="39"/>
        <v>9347</v>
      </c>
      <c r="S48" s="55">
        <f t="shared" si="39"/>
        <v>180576</v>
      </c>
      <c r="T48" s="55">
        <f t="shared" si="39"/>
        <v>65712</v>
      </c>
    </row>
    <row r="49" spans="5:20" ht="12.75"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5"/>
      <c r="S49" s="25"/>
      <c r="T49" s="25"/>
    </row>
    <row r="50" spans="3:20" ht="12.75">
      <c r="C50" s="3" t="s">
        <v>39</v>
      </c>
      <c r="E50" s="55">
        <f aca="true" t="shared" si="40" ref="E50:N50">E19+E32+E43+E48</f>
        <v>8395686</v>
      </c>
      <c r="F50" s="55">
        <f t="shared" si="40"/>
        <v>-88409</v>
      </c>
      <c r="G50" s="55">
        <f t="shared" si="40"/>
        <v>8307277</v>
      </c>
      <c r="H50" s="55">
        <f t="shared" si="40"/>
        <v>135749</v>
      </c>
      <c r="I50" s="55">
        <f t="shared" si="40"/>
        <v>8443026</v>
      </c>
      <c r="J50" s="55">
        <f t="shared" si="40"/>
        <v>331695</v>
      </c>
      <c r="K50" s="55">
        <f t="shared" si="40"/>
        <v>8774721</v>
      </c>
      <c r="L50" s="55">
        <f>L19+L32+L43+L48</f>
        <v>333439</v>
      </c>
      <c r="M50" s="55">
        <f>M19+M32+M43+M48</f>
        <v>9108160</v>
      </c>
      <c r="N50" s="197">
        <f t="shared" si="40"/>
        <v>800883</v>
      </c>
      <c r="O50" s="55">
        <f>O19+O32+O43+O48</f>
        <v>97756</v>
      </c>
      <c r="P50" s="55">
        <f>P19+P32+P43+P48</f>
        <v>9205916</v>
      </c>
      <c r="Q50" s="26"/>
      <c r="R50" s="55">
        <f>R19+R32+R43+R48</f>
        <v>9347</v>
      </c>
      <c r="S50" s="285">
        <f>S19+S32+S43+S48</f>
        <v>756281</v>
      </c>
      <c r="T50" s="285">
        <f>T19+T32+T43+T48</f>
        <v>65712</v>
      </c>
    </row>
    <row r="51" spans="5:20" ht="12.75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5"/>
      <c r="S51" s="25"/>
      <c r="T51" s="25"/>
    </row>
    <row r="52" spans="3:20" ht="12.75">
      <c r="C52" s="3" t="s">
        <v>5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5"/>
      <c r="S52" s="25"/>
      <c r="T52" s="25"/>
    </row>
    <row r="53" spans="2:20" ht="12.75">
      <c r="B53" s="3" t="s">
        <v>33</v>
      </c>
      <c r="C53" s="2">
        <v>560</v>
      </c>
      <c r="D53" s="2" t="s">
        <v>50</v>
      </c>
      <c r="E53" s="25">
        <f>'ElLabor$'!N55</f>
        <v>727913</v>
      </c>
      <c r="F53" s="25"/>
      <c r="G53" s="25">
        <f aca="true" t="shared" si="41" ref="G53:G65">F53+E53</f>
        <v>727913</v>
      </c>
      <c r="H53" s="27">
        <f aca="true" t="shared" si="42" ref="H53:H65">ROUND(IF($B53="a",G53*H$5,G53*H$6),0)</f>
        <v>11057</v>
      </c>
      <c r="I53" s="25">
        <f aca="true" t="shared" si="43" ref="I53:I65">G53+H53</f>
        <v>738970</v>
      </c>
      <c r="J53" s="27">
        <f aca="true" t="shared" si="44" ref="J53:J65">ROUND(IF($B53="a",I53*J$5,I53*J$6),0)</f>
        <v>28081</v>
      </c>
      <c r="K53" s="25">
        <f aca="true" t="shared" si="45" ref="K53:K65">I53+J53</f>
        <v>767051</v>
      </c>
      <c r="L53" s="27">
        <f aca="true" t="shared" si="46" ref="L53:L65">ROUND(IF($B53="a",K53*L$5,K53*L$6),0)</f>
        <v>29148</v>
      </c>
      <c r="M53" s="25">
        <f aca="true" t="shared" si="47" ref="M53:M65">K53+L53</f>
        <v>796199</v>
      </c>
      <c r="N53" s="25">
        <f aca="true" t="shared" si="48" ref="N53:N65">H53+J53+L53</f>
        <v>68286</v>
      </c>
      <c r="O53" s="25"/>
      <c r="P53" s="25">
        <f aca="true" t="shared" si="49" ref="P53:P65">M53+O53</f>
        <v>796199</v>
      </c>
      <c r="Q53" s="26"/>
      <c r="R53" s="25">
        <f aca="true" t="shared" si="50" ref="R53:R65">O53+F53</f>
        <v>0</v>
      </c>
      <c r="S53" s="25">
        <f aca="true" t="shared" si="51" ref="S53:S65">ROUND($S$128*E53/E$125,0)</f>
        <v>65570</v>
      </c>
      <c r="T53" s="25">
        <f>ROUND($T$128*F53/F$125,0)</f>
        <v>0</v>
      </c>
    </row>
    <row r="54" spans="2:20" ht="12.75">
      <c r="B54" s="3" t="s">
        <v>33</v>
      </c>
      <c r="C54" s="2">
        <v>561</v>
      </c>
      <c r="D54" s="2" t="s">
        <v>77</v>
      </c>
      <c r="E54" s="25">
        <f>'ElLabor$'!N56</f>
        <v>813174</v>
      </c>
      <c r="F54" s="25"/>
      <c r="G54" s="25">
        <f t="shared" si="41"/>
        <v>813174</v>
      </c>
      <c r="H54" s="27">
        <f t="shared" si="42"/>
        <v>12352</v>
      </c>
      <c r="I54" s="25">
        <f t="shared" si="43"/>
        <v>825526</v>
      </c>
      <c r="J54" s="27">
        <f t="shared" si="44"/>
        <v>31370</v>
      </c>
      <c r="K54" s="25">
        <f t="shared" si="45"/>
        <v>856896</v>
      </c>
      <c r="L54" s="27">
        <f t="shared" si="46"/>
        <v>32562</v>
      </c>
      <c r="M54" s="25">
        <f t="shared" si="47"/>
        <v>889458</v>
      </c>
      <c r="N54" s="25">
        <f t="shared" si="48"/>
        <v>76284</v>
      </c>
      <c r="O54" s="25"/>
      <c r="P54" s="25">
        <f t="shared" si="49"/>
        <v>889458</v>
      </c>
      <c r="Q54" s="26"/>
      <c r="R54" s="25">
        <f t="shared" si="50"/>
        <v>0</v>
      </c>
      <c r="S54" s="25">
        <f t="shared" si="51"/>
        <v>73251</v>
      </c>
      <c r="T54" s="25">
        <f aca="true" t="shared" si="52" ref="T54:T65">ROUND($T$128*F54/F$125,0)</f>
        <v>0</v>
      </c>
    </row>
    <row r="55" spans="3:20" ht="12.75">
      <c r="C55" s="2">
        <v>562</v>
      </c>
      <c r="D55" s="2" t="s">
        <v>78</v>
      </c>
      <c r="E55" s="25">
        <f>'ElLabor$'!N57</f>
        <v>61978</v>
      </c>
      <c r="F55" s="25"/>
      <c r="G55" s="25">
        <f t="shared" si="41"/>
        <v>61978</v>
      </c>
      <c r="H55" s="28">
        <f t="shared" si="42"/>
        <v>1052</v>
      </c>
      <c r="I55" s="25">
        <f t="shared" si="43"/>
        <v>63030</v>
      </c>
      <c r="J55" s="28">
        <f t="shared" si="44"/>
        <v>2521</v>
      </c>
      <c r="K55" s="25">
        <f t="shared" si="45"/>
        <v>65551</v>
      </c>
      <c r="L55" s="28">
        <f t="shared" si="46"/>
        <v>2491</v>
      </c>
      <c r="M55" s="25">
        <f t="shared" si="47"/>
        <v>68042</v>
      </c>
      <c r="N55" s="25">
        <f t="shared" si="48"/>
        <v>6064</v>
      </c>
      <c r="O55" s="25"/>
      <c r="P55" s="25">
        <f t="shared" si="49"/>
        <v>68042</v>
      </c>
      <c r="Q55" s="26"/>
      <c r="R55" s="25">
        <f t="shared" si="50"/>
        <v>0</v>
      </c>
      <c r="S55" s="25">
        <f t="shared" si="51"/>
        <v>5583</v>
      </c>
      <c r="T55" s="25">
        <f t="shared" si="52"/>
        <v>0</v>
      </c>
    </row>
    <row r="56" spans="3:20" ht="12.75">
      <c r="C56" s="2">
        <v>563</v>
      </c>
      <c r="D56" s="2" t="s">
        <v>79</v>
      </c>
      <c r="E56" s="25">
        <f>'ElLabor$'!N58</f>
        <v>62541</v>
      </c>
      <c r="F56" s="25"/>
      <c r="G56" s="25">
        <f t="shared" si="41"/>
        <v>62541</v>
      </c>
      <c r="H56" s="28">
        <f t="shared" si="42"/>
        <v>1062</v>
      </c>
      <c r="I56" s="25">
        <f t="shared" si="43"/>
        <v>63603</v>
      </c>
      <c r="J56" s="28">
        <f t="shared" si="44"/>
        <v>2544</v>
      </c>
      <c r="K56" s="25">
        <f t="shared" si="45"/>
        <v>66147</v>
      </c>
      <c r="L56" s="28">
        <f t="shared" si="46"/>
        <v>2514</v>
      </c>
      <c r="M56" s="25">
        <f t="shared" si="47"/>
        <v>68661</v>
      </c>
      <c r="N56" s="25">
        <f t="shared" si="48"/>
        <v>6120</v>
      </c>
      <c r="O56" s="25"/>
      <c r="P56" s="25">
        <f t="shared" si="49"/>
        <v>68661</v>
      </c>
      <c r="Q56" s="26"/>
      <c r="R56" s="25">
        <f t="shared" si="50"/>
        <v>0</v>
      </c>
      <c r="S56" s="25">
        <f t="shared" si="51"/>
        <v>5634</v>
      </c>
      <c r="T56" s="25">
        <f t="shared" si="52"/>
        <v>0</v>
      </c>
    </row>
    <row r="57" spans="3:20" ht="12.75">
      <c r="C57" s="2">
        <v>564</v>
      </c>
      <c r="D57" s="2" t="s">
        <v>80</v>
      </c>
      <c r="E57" s="25">
        <f>'ElLabor$'!N59</f>
        <v>0</v>
      </c>
      <c r="F57" s="25"/>
      <c r="G57" s="25">
        <f t="shared" si="41"/>
        <v>0</v>
      </c>
      <c r="H57" s="28">
        <f t="shared" si="42"/>
        <v>0</v>
      </c>
      <c r="I57" s="25">
        <f t="shared" si="43"/>
        <v>0</v>
      </c>
      <c r="J57" s="28">
        <f t="shared" si="44"/>
        <v>0</v>
      </c>
      <c r="K57" s="25">
        <f t="shared" si="45"/>
        <v>0</v>
      </c>
      <c r="L57" s="28">
        <f t="shared" si="46"/>
        <v>0</v>
      </c>
      <c r="M57" s="25">
        <f t="shared" si="47"/>
        <v>0</v>
      </c>
      <c r="N57" s="25">
        <f t="shared" si="48"/>
        <v>0</v>
      </c>
      <c r="O57" s="25"/>
      <c r="P57" s="25">
        <f t="shared" si="49"/>
        <v>0</v>
      </c>
      <c r="Q57" s="26"/>
      <c r="R57" s="25">
        <f t="shared" si="50"/>
        <v>0</v>
      </c>
      <c r="S57" s="25">
        <f t="shared" si="51"/>
        <v>0</v>
      </c>
      <c r="T57" s="25">
        <f t="shared" si="52"/>
        <v>0</v>
      </c>
    </row>
    <row r="58" spans="3:20" ht="12.75">
      <c r="C58" s="2">
        <v>566</v>
      </c>
      <c r="D58" s="2" t="s">
        <v>81</v>
      </c>
      <c r="E58" s="25">
        <f>'ElLabor$'!N60</f>
        <v>173751</v>
      </c>
      <c r="F58" s="25"/>
      <c r="G58" s="25">
        <f t="shared" si="41"/>
        <v>173751</v>
      </c>
      <c r="H58" s="28">
        <f t="shared" si="42"/>
        <v>2950</v>
      </c>
      <c r="I58" s="25">
        <f t="shared" si="43"/>
        <v>176701</v>
      </c>
      <c r="J58" s="28">
        <f t="shared" si="44"/>
        <v>7068</v>
      </c>
      <c r="K58" s="25">
        <f t="shared" si="45"/>
        <v>183769</v>
      </c>
      <c r="L58" s="28">
        <f t="shared" si="46"/>
        <v>6983</v>
      </c>
      <c r="M58" s="25">
        <f t="shared" si="47"/>
        <v>190752</v>
      </c>
      <c r="N58" s="25">
        <f t="shared" si="48"/>
        <v>17001</v>
      </c>
      <c r="O58" s="25"/>
      <c r="P58" s="25">
        <f t="shared" si="49"/>
        <v>190752</v>
      </c>
      <c r="Q58" s="26"/>
      <c r="R58" s="25">
        <f t="shared" si="50"/>
        <v>0</v>
      </c>
      <c r="S58" s="25">
        <f t="shared" si="51"/>
        <v>15651</v>
      </c>
      <c r="T58" s="25">
        <f t="shared" si="52"/>
        <v>0</v>
      </c>
    </row>
    <row r="59" spans="2:20" ht="12.75">
      <c r="B59" s="178"/>
      <c r="C59" s="177">
        <v>567</v>
      </c>
      <c r="D59" s="177"/>
      <c r="E59" s="25">
        <f>'ElLabor$'!N61</f>
        <v>344</v>
      </c>
      <c r="F59" s="25"/>
      <c r="G59" s="25">
        <f t="shared" si="41"/>
        <v>344</v>
      </c>
      <c r="H59" s="28">
        <f t="shared" si="42"/>
        <v>6</v>
      </c>
      <c r="I59" s="25">
        <f t="shared" si="43"/>
        <v>350</v>
      </c>
      <c r="J59" s="28">
        <f t="shared" si="44"/>
        <v>14</v>
      </c>
      <c r="K59" s="25">
        <f t="shared" si="45"/>
        <v>364</v>
      </c>
      <c r="L59" s="28">
        <f t="shared" si="46"/>
        <v>14</v>
      </c>
      <c r="M59" s="25">
        <f t="shared" si="47"/>
        <v>378</v>
      </c>
      <c r="N59" s="25">
        <f t="shared" si="48"/>
        <v>34</v>
      </c>
      <c r="O59" s="25"/>
      <c r="P59" s="25">
        <f t="shared" si="49"/>
        <v>378</v>
      </c>
      <c r="Q59" s="26"/>
      <c r="R59" s="25">
        <f t="shared" si="50"/>
        <v>0</v>
      </c>
      <c r="S59" s="25">
        <f t="shared" si="51"/>
        <v>31</v>
      </c>
      <c r="T59" s="25">
        <f t="shared" si="52"/>
        <v>0</v>
      </c>
    </row>
    <row r="60" spans="2:20" ht="12.75">
      <c r="B60" s="3" t="s">
        <v>33</v>
      </c>
      <c r="C60" s="2">
        <v>568</v>
      </c>
      <c r="D60" s="2" t="s">
        <v>50</v>
      </c>
      <c r="E60" s="25">
        <f>'ElLabor$'!N62</f>
        <v>164356</v>
      </c>
      <c r="F60" s="25"/>
      <c r="G60" s="25">
        <f t="shared" si="41"/>
        <v>164356</v>
      </c>
      <c r="H60" s="27">
        <f t="shared" si="42"/>
        <v>2497</v>
      </c>
      <c r="I60" s="25">
        <f t="shared" si="43"/>
        <v>166853</v>
      </c>
      <c r="J60" s="27">
        <f t="shared" si="44"/>
        <v>6340</v>
      </c>
      <c r="K60" s="25">
        <f t="shared" si="45"/>
        <v>173193</v>
      </c>
      <c r="L60" s="27">
        <f t="shared" si="46"/>
        <v>6581</v>
      </c>
      <c r="M60" s="25">
        <f t="shared" si="47"/>
        <v>179774</v>
      </c>
      <c r="N60" s="25">
        <f t="shared" si="48"/>
        <v>15418</v>
      </c>
      <c r="O60" s="25"/>
      <c r="P60" s="25">
        <f t="shared" si="49"/>
        <v>179774</v>
      </c>
      <c r="Q60" s="26"/>
      <c r="R60" s="25">
        <f t="shared" si="50"/>
        <v>0</v>
      </c>
      <c r="S60" s="25">
        <f t="shared" si="51"/>
        <v>14805</v>
      </c>
      <c r="T60" s="25">
        <f t="shared" si="52"/>
        <v>0</v>
      </c>
    </row>
    <row r="61" spans="3:20" ht="12.75">
      <c r="C61" s="2">
        <v>569</v>
      </c>
      <c r="D61" s="2" t="s">
        <v>55</v>
      </c>
      <c r="E61" s="25">
        <f>'ElLabor$'!N63</f>
        <v>74666</v>
      </c>
      <c r="F61" s="25"/>
      <c r="G61" s="25">
        <f t="shared" si="41"/>
        <v>74666</v>
      </c>
      <c r="H61" s="28">
        <f t="shared" si="42"/>
        <v>1268</v>
      </c>
      <c r="I61" s="25">
        <f t="shared" si="43"/>
        <v>75934</v>
      </c>
      <c r="J61" s="28">
        <f t="shared" si="44"/>
        <v>3037</v>
      </c>
      <c r="K61" s="25">
        <f t="shared" si="45"/>
        <v>78971</v>
      </c>
      <c r="L61" s="28">
        <f t="shared" si="46"/>
        <v>3001</v>
      </c>
      <c r="M61" s="25">
        <f t="shared" si="47"/>
        <v>81972</v>
      </c>
      <c r="N61" s="25">
        <f t="shared" si="48"/>
        <v>7306</v>
      </c>
      <c r="O61" s="25"/>
      <c r="P61" s="25">
        <f t="shared" si="49"/>
        <v>81972</v>
      </c>
      <c r="Q61" s="26"/>
      <c r="R61" s="25">
        <f t="shared" si="50"/>
        <v>0</v>
      </c>
      <c r="S61" s="25">
        <f t="shared" si="51"/>
        <v>6726</v>
      </c>
      <c r="T61" s="25">
        <f t="shared" si="52"/>
        <v>0</v>
      </c>
    </row>
    <row r="62" spans="3:20" ht="12.75">
      <c r="C62" s="2">
        <v>570</v>
      </c>
      <c r="D62" s="2" t="s">
        <v>82</v>
      </c>
      <c r="E62" s="25">
        <f>'ElLabor$'!N64</f>
        <v>302682</v>
      </c>
      <c r="F62" s="25"/>
      <c r="G62" s="25">
        <f t="shared" si="41"/>
        <v>302682</v>
      </c>
      <c r="H62" s="28">
        <f t="shared" si="42"/>
        <v>5140</v>
      </c>
      <c r="I62" s="25">
        <f t="shared" si="43"/>
        <v>307822</v>
      </c>
      <c r="J62" s="28">
        <f t="shared" si="44"/>
        <v>12313</v>
      </c>
      <c r="K62" s="25">
        <f t="shared" si="45"/>
        <v>320135</v>
      </c>
      <c r="L62" s="28">
        <f t="shared" si="46"/>
        <v>12165</v>
      </c>
      <c r="M62" s="25">
        <f t="shared" si="47"/>
        <v>332300</v>
      </c>
      <c r="N62" s="25">
        <f t="shared" si="48"/>
        <v>29618</v>
      </c>
      <c r="O62" s="25"/>
      <c r="P62" s="25">
        <f t="shared" si="49"/>
        <v>332300</v>
      </c>
      <c r="Q62" s="26"/>
      <c r="R62" s="25">
        <f t="shared" si="50"/>
        <v>0</v>
      </c>
      <c r="S62" s="25">
        <f t="shared" si="51"/>
        <v>27266</v>
      </c>
      <c r="T62" s="25">
        <f t="shared" si="52"/>
        <v>0</v>
      </c>
    </row>
    <row r="63" spans="3:20" ht="12.75">
      <c r="C63" s="2">
        <v>571</v>
      </c>
      <c r="D63" s="2" t="s">
        <v>83</v>
      </c>
      <c r="E63" s="25">
        <f>'ElLabor$'!N65</f>
        <v>30200</v>
      </c>
      <c r="F63" s="25"/>
      <c r="G63" s="25">
        <f t="shared" si="41"/>
        <v>30200</v>
      </c>
      <c r="H63" s="28">
        <f t="shared" si="42"/>
        <v>513</v>
      </c>
      <c r="I63" s="25">
        <f t="shared" si="43"/>
        <v>30713</v>
      </c>
      <c r="J63" s="28">
        <f t="shared" si="44"/>
        <v>1229</v>
      </c>
      <c r="K63" s="25">
        <f t="shared" si="45"/>
        <v>31942</v>
      </c>
      <c r="L63" s="28">
        <f t="shared" si="46"/>
        <v>1214</v>
      </c>
      <c r="M63" s="25">
        <f t="shared" si="47"/>
        <v>33156</v>
      </c>
      <c r="N63" s="25">
        <f t="shared" si="48"/>
        <v>2956</v>
      </c>
      <c r="O63" s="25"/>
      <c r="P63" s="25">
        <f t="shared" si="49"/>
        <v>33156</v>
      </c>
      <c r="Q63" s="26"/>
      <c r="R63" s="25">
        <f t="shared" si="50"/>
        <v>0</v>
      </c>
      <c r="S63" s="25">
        <f t="shared" si="51"/>
        <v>2720</v>
      </c>
      <c r="T63" s="25">
        <f t="shared" si="52"/>
        <v>0</v>
      </c>
    </row>
    <row r="64" spans="3:20" ht="12.75">
      <c r="C64" s="2">
        <v>572</v>
      </c>
      <c r="D64" s="2" t="s">
        <v>84</v>
      </c>
      <c r="E64" s="25">
        <f>'ElLabor$'!N66</f>
        <v>2647</v>
      </c>
      <c r="F64" s="25"/>
      <c r="G64" s="25">
        <f t="shared" si="41"/>
        <v>2647</v>
      </c>
      <c r="H64" s="28">
        <f t="shared" si="42"/>
        <v>45</v>
      </c>
      <c r="I64" s="25">
        <f t="shared" si="43"/>
        <v>2692</v>
      </c>
      <c r="J64" s="28">
        <f t="shared" si="44"/>
        <v>108</v>
      </c>
      <c r="K64" s="25">
        <f t="shared" si="45"/>
        <v>2800</v>
      </c>
      <c r="L64" s="28">
        <f t="shared" si="46"/>
        <v>106</v>
      </c>
      <c r="M64" s="25">
        <f t="shared" si="47"/>
        <v>2906</v>
      </c>
      <c r="N64" s="25">
        <f t="shared" si="48"/>
        <v>259</v>
      </c>
      <c r="O64" s="25"/>
      <c r="P64" s="25">
        <f t="shared" si="49"/>
        <v>2906</v>
      </c>
      <c r="Q64" s="26"/>
      <c r="R64" s="25">
        <f t="shared" si="50"/>
        <v>0</v>
      </c>
      <c r="S64" s="25">
        <f t="shared" si="51"/>
        <v>238</v>
      </c>
      <c r="T64" s="25">
        <f t="shared" si="52"/>
        <v>0</v>
      </c>
    </row>
    <row r="65" spans="3:20" ht="12.75">
      <c r="C65" s="2">
        <v>573</v>
      </c>
      <c r="D65" s="2" t="s">
        <v>85</v>
      </c>
      <c r="E65" s="25">
        <f>'ElLabor$'!N67</f>
        <v>11942</v>
      </c>
      <c r="F65" s="25"/>
      <c r="G65" s="25">
        <f t="shared" si="41"/>
        <v>11942</v>
      </c>
      <c r="H65" s="28">
        <f t="shared" si="42"/>
        <v>203</v>
      </c>
      <c r="I65" s="25">
        <f t="shared" si="43"/>
        <v>12145</v>
      </c>
      <c r="J65" s="28">
        <f t="shared" si="44"/>
        <v>486</v>
      </c>
      <c r="K65" s="25">
        <f t="shared" si="45"/>
        <v>12631</v>
      </c>
      <c r="L65" s="28">
        <f t="shared" si="46"/>
        <v>480</v>
      </c>
      <c r="M65" s="25">
        <f t="shared" si="47"/>
        <v>13111</v>
      </c>
      <c r="N65" s="25">
        <f t="shared" si="48"/>
        <v>1169</v>
      </c>
      <c r="O65" s="25"/>
      <c r="P65" s="25">
        <f t="shared" si="49"/>
        <v>13111</v>
      </c>
      <c r="Q65" s="26"/>
      <c r="R65" s="25">
        <f t="shared" si="50"/>
        <v>0</v>
      </c>
      <c r="S65" s="25">
        <f t="shared" si="51"/>
        <v>1076</v>
      </c>
      <c r="T65" s="25">
        <f t="shared" si="52"/>
        <v>0</v>
      </c>
    </row>
    <row r="66" spans="3:20" ht="12.75">
      <c r="C66" s="3" t="s">
        <v>6</v>
      </c>
      <c r="E66" s="55">
        <f aca="true" t="shared" si="53" ref="E66:T66">SUM(E53:E65)</f>
        <v>2426194</v>
      </c>
      <c r="F66" s="55">
        <f t="shared" si="53"/>
        <v>0</v>
      </c>
      <c r="G66" s="55">
        <f t="shared" si="53"/>
        <v>2426194</v>
      </c>
      <c r="H66" s="55">
        <f t="shared" si="53"/>
        <v>38145</v>
      </c>
      <c r="I66" s="55">
        <f t="shared" si="53"/>
        <v>2464339</v>
      </c>
      <c r="J66" s="55">
        <f t="shared" si="53"/>
        <v>95111</v>
      </c>
      <c r="K66" s="55">
        <f t="shared" si="53"/>
        <v>2559450</v>
      </c>
      <c r="L66" s="55">
        <f>SUM(L53:L65)</f>
        <v>97259</v>
      </c>
      <c r="M66" s="55">
        <f>SUM(M53:M65)</f>
        <v>2656709</v>
      </c>
      <c r="N66" s="197">
        <f t="shared" si="53"/>
        <v>230515</v>
      </c>
      <c r="O66" s="55">
        <f t="shared" si="53"/>
        <v>0</v>
      </c>
      <c r="P66" s="55">
        <f t="shared" si="53"/>
        <v>2656709</v>
      </c>
      <c r="Q66" s="26"/>
      <c r="R66" s="55">
        <f t="shared" si="53"/>
        <v>0</v>
      </c>
      <c r="S66" s="285">
        <f t="shared" si="53"/>
        <v>218551</v>
      </c>
      <c r="T66" s="285">
        <f t="shared" si="53"/>
        <v>0</v>
      </c>
    </row>
    <row r="67" spans="5:20" ht="12.75"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  <c r="R67" s="25"/>
      <c r="S67" s="25"/>
      <c r="T67" s="25"/>
    </row>
    <row r="68" spans="3:20" ht="12.75">
      <c r="C68" s="3" t="s">
        <v>7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/>
      <c r="R68" s="25"/>
      <c r="S68" s="25"/>
      <c r="T68" s="25"/>
    </row>
    <row r="69" spans="2:20" ht="12.75">
      <c r="B69" s="3" t="s">
        <v>33</v>
      </c>
      <c r="C69" s="2">
        <v>580</v>
      </c>
      <c r="D69" s="2" t="s">
        <v>50</v>
      </c>
      <c r="E69" s="25">
        <f>'ElLabor$'!N71</f>
        <v>600639</v>
      </c>
      <c r="F69" s="25"/>
      <c r="G69" s="25">
        <f aca="true" t="shared" si="54" ref="G69:G87">F69+E69</f>
        <v>600639</v>
      </c>
      <c r="H69" s="27">
        <f aca="true" t="shared" si="55" ref="H69:H87">ROUND(IF($B69="a",G69*H$5,G69*H$6),0)</f>
        <v>9124</v>
      </c>
      <c r="I69" s="25">
        <f aca="true" t="shared" si="56" ref="I69:I87">G69+H69</f>
        <v>609763</v>
      </c>
      <c r="J69" s="27">
        <f aca="true" t="shared" si="57" ref="J69:J87">ROUND(IF($B69="a",I69*J$5,I69*J$6),0)</f>
        <v>23171</v>
      </c>
      <c r="K69" s="25">
        <f aca="true" t="shared" si="58" ref="K69:K87">I69+J69</f>
        <v>632934</v>
      </c>
      <c r="L69" s="27">
        <f aca="true" t="shared" si="59" ref="L69:L87">ROUND(IF($B69="a",K69*L$5,K69*L$6),0)</f>
        <v>24051</v>
      </c>
      <c r="M69" s="25">
        <f aca="true" t="shared" si="60" ref="M69:M87">K69+L69</f>
        <v>656985</v>
      </c>
      <c r="N69" s="25">
        <f aca="true" t="shared" si="61" ref="N69:N87">H69+J69+L69</f>
        <v>56346</v>
      </c>
      <c r="O69" s="25"/>
      <c r="P69" s="25">
        <f aca="true" t="shared" si="62" ref="P69:P87">M69+O69</f>
        <v>656985</v>
      </c>
      <c r="Q69" s="26"/>
      <c r="R69" s="25">
        <f aca="true" t="shared" si="63" ref="R69:R87">O69+F69</f>
        <v>0</v>
      </c>
      <c r="S69" s="25">
        <f aca="true" t="shared" si="64" ref="S69:S87">ROUND($S$128*E69/E$125,0)</f>
        <v>54105</v>
      </c>
      <c r="T69" s="25">
        <f>ROUND($T$128*F69/F$125,0)</f>
        <v>0</v>
      </c>
    </row>
    <row r="70" spans="2:20" ht="12.75">
      <c r="B70" s="3" t="s">
        <v>33</v>
      </c>
      <c r="C70" s="2">
        <v>581</v>
      </c>
      <c r="D70" s="2" t="s">
        <v>77</v>
      </c>
      <c r="E70" s="25">
        <f>'ElLabor$'!N72</f>
        <v>0</v>
      </c>
      <c r="F70" s="25"/>
      <c r="G70" s="25">
        <f t="shared" si="54"/>
        <v>0</v>
      </c>
      <c r="H70" s="27">
        <f t="shared" si="55"/>
        <v>0</v>
      </c>
      <c r="I70" s="25">
        <f t="shared" si="56"/>
        <v>0</v>
      </c>
      <c r="J70" s="27">
        <f t="shared" si="57"/>
        <v>0</v>
      </c>
      <c r="K70" s="25">
        <f t="shared" si="58"/>
        <v>0</v>
      </c>
      <c r="L70" s="27">
        <f t="shared" si="59"/>
        <v>0</v>
      </c>
      <c r="M70" s="25">
        <f t="shared" si="60"/>
        <v>0</v>
      </c>
      <c r="N70" s="25">
        <f t="shared" si="61"/>
        <v>0</v>
      </c>
      <c r="O70" s="25"/>
      <c r="P70" s="25">
        <f t="shared" si="62"/>
        <v>0</v>
      </c>
      <c r="Q70" s="26"/>
      <c r="R70" s="25">
        <f t="shared" si="63"/>
        <v>0</v>
      </c>
      <c r="S70" s="25">
        <f t="shared" si="64"/>
        <v>0</v>
      </c>
      <c r="T70" s="25">
        <f aca="true" t="shared" si="65" ref="T70:T87">ROUND($T$128*F70/F$125,0)</f>
        <v>0</v>
      </c>
    </row>
    <row r="71" spans="3:20" ht="12.75">
      <c r="C71" s="2">
        <v>582</v>
      </c>
      <c r="D71" s="2" t="s">
        <v>78</v>
      </c>
      <c r="E71" s="25">
        <f>'ElLabor$'!N73</f>
        <v>187653</v>
      </c>
      <c r="F71" s="25"/>
      <c r="G71" s="25">
        <f t="shared" si="54"/>
        <v>187653</v>
      </c>
      <c r="H71" s="28">
        <f t="shared" si="55"/>
        <v>3186</v>
      </c>
      <c r="I71" s="25">
        <f t="shared" si="56"/>
        <v>190839</v>
      </c>
      <c r="J71" s="28">
        <f t="shared" si="57"/>
        <v>7634</v>
      </c>
      <c r="K71" s="25">
        <f t="shared" si="58"/>
        <v>198473</v>
      </c>
      <c r="L71" s="28">
        <f t="shared" si="59"/>
        <v>7542</v>
      </c>
      <c r="M71" s="25">
        <f t="shared" si="60"/>
        <v>206015</v>
      </c>
      <c r="N71" s="25">
        <f t="shared" si="61"/>
        <v>18362</v>
      </c>
      <c r="O71" s="25"/>
      <c r="P71" s="25">
        <f t="shared" si="62"/>
        <v>206015</v>
      </c>
      <c r="Q71" s="26"/>
      <c r="R71" s="25">
        <f t="shared" si="63"/>
        <v>0</v>
      </c>
      <c r="S71" s="25">
        <f t="shared" si="64"/>
        <v>16904</v>
      </c>
      <c r="T71" s="25">
        <f t="shared" si="65"/>
        <v>0</v>
      </c>
    </row>
    <row r="72" spans="3:20" ht="12.75">
      <c r="C72" s="2">
        <v>583</v>
      </c>
      <c r="D72" s="2" t="s">
        <v>79</v>
      </c>
      <c r="E72" s="25">
        <f>'ElLabor$'!N74</f>
        <v>1100282</v>
      </c>
      <c r="F72" s="25"/>
      <c r="G72" s="25">
        <f t="shared" si="54"/>
        <v>1100282</v>
      </c>
      <c r="H72" s="28">
        <f t="shared" si="55"/>
        <v>18683</v>
      </c>
      <c r="I72" s="25">
        <f t="shared" si="56"/>
        <v>1118965</v>
      </c>
      <c r="J72" s="28">
        <f t="shared" si="57"/>
        <v>44759</v>
      </c>
      <c r="K72" s="25">
        <f t="shared" si="58"/>
        <v>1163724</v>
      </c>
      <c r="L72" s="28">
        <f t="shared" si="59"/>
        <v>44222</v>
      </c>
      <c r="M72" s="25">
        <f t="shared" si="60"/>
        <v>1207946</v>
      </c>
      <c r="N72" s="25">
        <f t="shared" si="61"/>
        <v>107664</v>
      </c>
      <c r="O72" s="25"/>
      <c r="P72" s="25">
        <f t="shared" si="62"/>
        <v>1207946</v>
      </c>
      <c r="Q72" s="26"/>
      <c r="R72" s="25">
        <f t="shared" si="63"/>
        <v>0</v>
      </c>
      <c r="S72" s="25">
        <f t="shared" si="64"/>
        <v>99113</v>
      </c>
      <c r="T72" s="25">
        <f t="shared" si="65"/>
        <v>0</v>
      </c>
    </row>
    <row r="73" spans="3:20" ht="12.75">
      <c r="C73" s="2">
        <v>584</v>
      </c>
      <c r="D73" s="2" t="s">
        <v>86</v>
      </c>
      <c r="E73" s="25">
        <f>'ElLabor$'!N75</f>
        <v>535265</v>
      </c>
      <c r="F73" s="25"/>
      <c r="G73" s="25">
        <f t="shared" si="54"/>
        <v>535265</v>
      </c>
      <c r="H73" s="28">
        <f t="shared" si="55"/>
        <v>9089</v>
      </c>
      <c r="I73" s="25">
        <f t="shared" si="56"/>
        <v>544354</v>
      </c>
      <c r="J73" s="28">
        <f t="shared" si="57"/>
        <v>21774</v>
      </c>
      <c r="K73" s="25">
        <f t="shared" si="58"/>
        <v>566128</v>
      </c>
      <c r="L73" s="28">
        <f t="shared" si="59"/>
        <v>21513</v>
      </c>
      <c r="M73" s="25">
        <f t="shared" si="60"/>
        <v>587641</v>
      </c>
      <c r="N73" s="25">
        <f t="shared" si="61"/>
        <v>52376</v>
      </c>
      <c r="O73" s="25"/>
      <c r="P73" s="25">
        <f t="shared" si="62"/>
        <v>587641</v>
      </c>
      <c r="Q73" s="26"/>
      <c r="R73" s="25">
        <f t="shared" si="63"/>
        <v>0</v>
      </c>
      <c r="S73" s="25">
        <f t="shared" si="64"/>
        <v>48217</v>
      </c>
      <c r="T73" s="25">
        <f t="shared" si="65"/>
        <v>0</v>
      </c>
    </row>
    <row r="74" spans="3:20" ht="12.75">
      <c r="C74" s="2">
        <v>585</v>
      </c>
      <c r="D74" s="2" t="s">
        <v>87</v>
      </c>
      <c r="E74" s="25">
        <f>'ElLabor$'!N76</f>
        <v>18642</v>
      </c>
      <c r="F74" s="25"/>
      <c r="G74" s="25">
        <f t="shared" si="54"/>
        <v>18642</v>
      </c>
      <c r="H74" s="28">
        <f t="shared" si="55"/>
        <v>317</v>
      </c>
      <c r="I74" s="25">
        <f t="shared" si="56"/>
        <v>18959</v>
      </c>
      <c r="J74" s="28">
        <f t="shared" si="57"/>
        <v>758</v>
      </c>
      <c r="K74" s="25">
        <f t="shared" si="58"/>
        <v>19717</v>
      </c>
      <c r="L74" s="28">
        <f t="shared" si="59"/>
        <v>749</v>
      </c>
      <c r="M74" s="25">
        <f t="shared" si="60"/>
        <v>20466</v>
      </c>
      <c r="N74" s="25">
        <f t="shared" si="61"/>
        <v>1824</v>
      </c>
      <c r="O74" s="25"/>
      <c r="P74" s="25">
        <f t="shared" si="62"/>
        <v>20466</v>
      </c>
      <c r="Q74" s="26"/>
      <c r="R74" s="25">
        <f t="shared" si="63"/>
        <v>0</v>
      </c>
      <c r="S74" s="25">
        <f t="shared" si="64"/>
        <v>1679</v>
      </c>
      <c r="T74" s="25">
        <f t="shared" si="65"/>
        <v>0</v>
      </c>
    </row>
    <row r="75" spans="3:20" ht="12.75">
      <c r="C75" s="2">
        <v>586</v>
      </c>
      <c r="D75" s="2" t="s">
        <v>88</v>
      </c>
      <c r="E75" s="25">
        <f>'ElLabor$'!N77</f>
        <v>855301</v>
      </c>
      <c r="F75" s="25"/>
      <c r="G75" s="25">
        <f t="shared" si="54"/>
        <v>855301</v>
      </c>
      <c r="H75" s="28">
        <f t="shared" si="55"/>
        <v>14523</v>
      </c>
      <c r="I75" s="25">
        <f t="shared" si="56"/>
        <v>869824</v>
      </c>
      <c r="J75" s="28">
        <f t="shared" si="57"/>
        <v>34793</v>
      </c>
      <c r="K75" s="25">
        <f t="shared" si="58"/>
        <v>904617</v>
      </c>
      <c r="L75" s="28">
        <f t="shared" si="59"/>
        <v>34375</v>
      </c>
      <c r="M75" s="25">
        <f t="shared" si="60"/>
        <v>938992</v>
      </c>
      <c r="N75" s="25">
        <f t="shared" si="61"/>
        <v>83691</v>
      </c>
      <c r="O75" s="25"/>
      <c r="P75" s="25">
        <f t="shared" si="62"/>
        <v>938992</v>
      </c>
      <c r="Q75" s="26"/>
      <c r="R75" s="25">
        <f t="shared" si="63"/>
        <v>0</v>
      </c>
      <c r="S75" s="25">
        <f t="shared" si="64"/>
        <v>77045</v>
      </c>
      <c r="T75" s="25">
        <f t="shared" si="65"/>
        <v>0</v>
      </c>
    </row>
    <row r="76" spans="3:20" ht="12.75">
      <c r="C76" s="2">
        <v>587</v>
      </c>
      <c r="D76" s="2" t="s">
        <v>89</v>
      </c>
      <c r="E76" s="25">
        <f>'ElLabor$'!N78</f>
        <v>231968</v>
      </c>
      <c r="F76" s="25"/>
      <c r="G76" s="25">
        <f t="shared" si="54"/>
        <v>231968</v>
      </c>
      <c r="H76" s="28">
        <f t="shared" si="55"/>
        <v>3939</v>
      </c>
      <c r="I76" s="25">
        <f t="shared" si="56"/>
        <v>235907</v>
      </c>
      <c r="J76" s="28">
        <f t="shared" si="57"/>
        <v>9436</v>
      </c>
      <c r="K76" s="25">
        <f t="shared" si="58"/>
        <v>245343</v>
      </c>
      <c r="L76" s="28">
        <f t="shared" si="59"/>
        <v>9323</v>
      </c>
      <c r="M76" s="25">
        <f t="shared" si="60"/>
        <v>254666</v>
      </c>
      <c r="N76" s="25">
        <f t="shared" si="61"/>
        <v>22698</v>
      </c>
      <c r="O76" s="25"/>
      <c r="P76" s="25">
        <f t="shared" si="62"/>
        <v>254666</v>
      </c>
      <c r="Q76" s="26"/>
      <c r="R76" s="25">
        <f t="shared" si="63"/>
        <v>0</v>
      </c>
      <c r="S76" s="25">
        <f t="shared" si="64"/>
        <v>20896</v>
      </c>
      <c r="T76" s="25">
        <f t="shared" si="65"/>
        <v>0</v>
      </c>
    </row>
    <row r="77" spans="3:20" ht="12.75">
      <c r="C77" s="2">
        <v>588</v>
      </c>
      <c r="D77" s="2" t="s">
        <v>90</v>
      </c>
      <c r="E77" s="25">
        <f>'ElLabor$'!N79</f>
        <v>1952760</v>
      </c>
      <c r="F77" s="25"/>
      <c r="G77" s="25">
        <f t="shared" si="54"/>
        <v>1952760</v>
      </c>
      <c r="H77" s="28">
        <f t="shared" si="55"/>
        <v>33158</v>
      </c>
      <c r="I77" s="25">
        <f t="shared" si="56"/>
        <v>1985918</v>
      </c>
      <c r="J77" s="28">
        <f t="shared" si="57"/>
        <v>79437</v>
      </c>
      <c r="K77" s="25">
        <f t="shared" si="58"/>
        <v>2065355</v>
      </c>
      <c r="L77" s="28">
        <f t="shared" si="59"/>
        <v>78483</v>
      </c>
      <c r="M77" s="25">
        <f t="shared" si="60"/>
        <v>2143838</v>
      </c>
      <c r="N77" s="25">
        <f t="shared" si="61"/>
        <v>191078</v>
      </c>
      <c r="O77" s="25"/>
      <c r="P77" s="25">
        <f t="shared" si="62"/>
        <v>2143838</v>
      </c>
      <c r="Q77" s="26"/>
      <c r="R77" s="25">
        <f t="shared" si="63"/>
        <v>0</v>
      </c>
      <c r="S77" s="25">
        <f t="shared" si="64"/>
        <v>175904</v>
      </c>
      <c r="T77" s="25">
        <f t="shared" si="65"/>
        <v>0</v>
      </c>
    </row>
    <row r="78" spans="3:20" ht="12.75">
      <c r="C78" s="2">
        <v>589</v>
      </c>
      <c r="D78" s="2" t="s">
        <v>91</v>
      </c>
      <c r="E78" s="25">
        <f>'ElLabor$'!N80</f>
        <v>949</v>
      </c>
      <c r="F78" s="25"/>
      <c r="G78" s="25">
        <f t="shared" si="54"/>
        <v>949</v>
      </c>
      <c r="H78" s="28">
        <f t="shared" si="55"/>
        <v>16</v>
      </c>
      <c r="I78" s="25">
        <f t="shared" si="56"/>
        <v>965</v>
      </c>
      <c r="J78" s="28">
        <f t="shared" si="57"/>
        <v>39</v>
      </c>
      <c r="K78" s="25">
        <f t="shared" si="58"/>
        <v>1004</v>
      </c>
      <c r="L78" s="28">
        <f t="shared" si="59"/>
        <v>38</v>
      </c>
      <c r="M78" s="25">
        <f t="shared" si="60"/>
        <v>1042</v>
      </c>
      <c r="N78" s="25">
        <f t="shared" si="61"/>
        <v>93</v>
      </c>
      <c r="O78" s="25"/>
      <c r="P78" s="25">
        <f t="shared" si="62"/>
        <v>1042</v>
      </c>
      <c r="Q78" s="26"/>
      <c r="R78" s="25">
        <f t="shared" si="63"/>
        <v>0</v>
      </c>
      <c r="S78" s="25">
        <f t="shared" si="64"/>
        <v>85</v>
      </c>
      <c r="T78" s="25">
        <f t="shared" si="65"/>
        <v>0</v>
      </c>
    </row>
    <row r="79" spans="2:20" ht="12.75">
      <c r="B79" s="3" t="s">
        <v>33</v>
      </c>
      <c r="C79" s="2">
        <v>590</v>
      </c>
      <c r="D79" s="2" t="s">
        <v>50</v>
      </c>
      <c r="E79" s="25">
        <f>'ElLabor$'!N81</f>
        <v>342593</v>
      </c>
      <c r="F79" s="25"/>
      <c r="G79" s="25">
        <f t="shared" si="54"/>
        <v>342593</v>
      </c>
      <c r="H79" s="27">
        <f t="shared" si="55"/>
        <v>5204</v>
      </c>
      <c r="I79" s="25">
        <f t="shared" si="56"/>
        <v>347797</v>
      </c>
      <c r="J79" s="27">
        <f t="shared" si="57"/>
        <v>13216</v>
      </c>
      <c r="K79" s="25">
        <f t="shared" si="58"/>
        <v>361013</v>
      </c>
      <c r="L79" s="27">
        <f t="shared" si="59"/>
        <v>13718</v>
      </c>
      <c r="M79" s="25">
        <f t="shared" si="60"/>
        <v>374731</v>
      </c>
      <c r="N79" s="25">
        <f t="shared" si="61"/>
        <v>32138</v>
      </c>
      <c r="O79" s="25"/>
      <c r="P79" s="25">
        <f t="shared" si="62"/>
        <v>374731</v>
      </c>
      <c r="Q79" s="26"/>
      <c r="R79" s="25">
        <f t="shared" si="63"/>
        <v>0</v>
      </c>
      <c r="S79" s="25">
        <f t="shared" si="64"/>
        <v>30861</v>
      </c>
      <c r="T79" s="25">
        <f t="shared" si="65"/>
        <v>0</v>
      </c>
    </row>
    <row r="80" spans="3:20" ht="12.75">
      <c r="C80" s="2">
        <v>591</v>
      </c>
      <c r="D80" s="2" t="s">
        <v>55</v>
      </c>
      <c r="E80" s="25">
        <f>'ElLabor$'!N82</f>
        <v>48999</v>
      </c>
      <c r="F80" s="25"/>
      <c r="G80" s="25">
        <f t="shared" si="54"/>
        <v>48999</v>
      </c>
      <c r="H80" s="28">
        <f t="shared" si="55"/>
        <v>832</v>
      </c>
      <c r="I80" s="25">
        <f t="shared" si="56"/>
        <v>49831</v>
      </c>
      <c r="J80" s="28">
        <f t="shared" si="57"/>
        <v>1993</v>
      </c>
      <c r="K80" s="25">
        <f t="shared" si="58"/>
        <v>51824</v>
      </c>
      <c r="L80" s="28">
        <f t="shared" si="59"/>
        <v>1969</v>
      </c>
      <c r="M80" s="25">
        <f t="shared" si="60"/>
        <v>53793</v>
      </c>
      <c r="N80" s="25">
        <f t="shared" si="61"/>
        <v>4794</v>
      </c>
      <c r="O80" s="25"/>
      <c r="P80" s="25">
        <f t="shared" si="62"/>
        <v>53793</v>
      </c>
      <c r="Q80" s="26"/>
      <c r="R80" s="25">
        <f t="shared" si="63"/>
        <v>0</v>
      </c>
      <c r="S80" s="25">
        <f t="shared" si="64"/>
        <v>4414</v>
      </c>
      <c r="T80" s="25">
        <f t="shared" si="65"/>
        <v>0</v>
      </c>
    </row>
    <row r="81" spans="3:20" ht="12.75">
      <c r="C81" s="2">
        <v>592</v>
      </c>
      <c r="D81" s="2" t="s">
        <v>92</v>
      </c>
      <c r="E81" s="25">
        <f>'ElLabor$'!N83</f>
        <v>305043</v>
      </c>
      <c r="F81" s="25"/>
      <c r="G81" s="25">
        <f t="shared" si="54"/>
        <v>305043</v>
      </c>
      <c r="H81" s="28">
        <f t="shared" si="55"/>
        <v>5180</v>
      </c>
      <c r="I81" s="25">
        <f t="shared" si="56"/>
        <v>310223</v>
      </c>
      <c r="J81" s="28">
        <f t="shared" si="57"/>
        <v>12409</v>
      </c>
      <c r="K81" s="25">
        <f t="shared" si="58"/>
        <v>322632</v>
      </c>
      <c r="L81" s="28">
        <f t="shared" si="59"/>
        <v>12260</v>
      </c>
      <c r="M81" s="25">
        <f t="shared" si="60"/>
        <v>334892</v>
      </c>
      <c r="N81" s="25">
        <f t="shared" si="61"/>
        <v>29849</v>
      </c>
      <c r="O81" s="25"/>
      <c r="P81" s="25">
        <f t="shared" si="62"/>
        <v>334892</v>
      </c>
      <c r="Q81" s="26"/>
      <c r="R81" s="25">
        <f t="shared" si="63"/>
        <v>0</v>
      </c>
      <c r="S81" s="25">
        <f t="shared" si="64"/>
        <v>27478</v>
      </c>
      <c r="T81" s="25">
        <f t="shared" si="65"/>
        <v>0</v>
      </c>
    </row>
    <row r="82" spans="3:20" ht="12.75">
      <c r="C82" s="2">
        <v>593</v>
      </c>
      <c r="D82" s="2" t="s">
        <v>83</v>
      </c>
      <c r="E82" s="25">
        <f>'ElLabor$'!N84</f>
        <v>1294950</v>
      </c>
      <c r="F82" s="25"/>
      <c r="G82" s="25">
        <f t="shared" si="54"/>
        <v>1294950</v>
      </c>
      <c r="H82" s="28">
        <f t="shared" si="55"/>
        <v>21988</v>
      </c>
      <c r="I82" s="25">
        <f t="shared" si="56"/>
        <v>1316938</v>
      </c>
      <c r="J82" s="28">
        <f t="shared" si="57"/>
        <v>52678</v>
      </c>
      <c r="K82" s="25">
        <f t="shared" si="58"/>
        <v>1369616</v>
      </c>
      <c r="L82" s="28">
        <f t="shared" si="59"/>
        <v>52045</v>
      </c>
      <c r="M82" s="25">
        <f t="shared" si="60"/>
        <v>1421661</v>
      </c>
      <c r="N82" s="25">
        <f t="shared" si="61"/>
        <v>126711</v>
      </c>
      <c r="O82" s="25"/>
      <c r="P82" s="25">
        <f t="shared" si="62"/>
        <v>1421661</v>
      </c>
      <c r="Q82" s="26"/>
      <c r="R82" s="25">
        <f t="shared" si="63"/>
        <v>0</v>
      </c>
      <c r="S82" s="25">
        <f t="shared" si="64"/>
        <v>116649</v>
      </c>
      <c r="T82" s="25">
        <f t="shared" si="65"/>
        <v>0</v>
      </c>
    </row>
    <row r="83" spans="3:20" ht="12.75">
      <c r="C83" s="2">
        <v>594</v>
      </c>
      <c r="D83" s="2" t="s">
        <v>93</v>
      </c>
      <c r="E83" s="25">
        <f>'ElLabor$'!N85</f>
        <v>443724</v>
      </c>
      <c r="F83" s="25"/>
      <c r="G83" s="25">
        <f t="shared" si="54"/>
        <v>443724</v>
      </c>
      <c r="H83" s="28">
        <f t="shared" si="55"/>
        <v>7534</v>
      </c>
      <c r="I83" s="25">
        <f t="shared" si="56"/>
        <v>451258</v>
      </c>
      <c r="J83" s="28">
        <f t="shared" si="57"/>
        <v>18050</v>
      </c>
      <c r="K83" s="25">
        <f t="shared" si="58"/>
        <v>469308</v>
      </c>
      <c r="L83" s="28">
        <f t="shared" si="59"/>
        <v>17834</v>
      </c>
      <c r="M83" s="25">
        <f t="shared" si="60"/>
        <v>487142</v>
      </c>
      <c r="N83" s="25">
        <f t="shared" si="61"/>
        <v>43418</v>
      </c>
      <c r="O83" s="25"/>
      <c r="P83" s="25">
        <f t="shared" si="62"/>
        <v>487142</v>
      </c>
      <c r="Q83" s="26"/>
      <c r="R83" s="25">
        <f t="shared" si="63"/>
        <v>0</v>
      </c>
      <c r="S83" s="25">
        <f t="shared" si="64"/>
        <v>39971</v>
      </c>
      <c r="T83" s="25">
        <f t="shared" si="65"/>
        <v>0</v>
      </c>
    </row>
    <row r="84" spans="3:20" ht="12.75">
      <c r="C84" s="2">
        <v>595</v>
      </c>
      <c r="D84" s="2" t="s">
        <v>94</v>
      </c>
      <c r="E84" s="25">
        <f>'ElLabor$'!N86</f>
        <v>310557</v>
      </c>
      <c r="F84" s="25"/>
      <c r="G84" s="25">
        <f t="shared" si="54"/>
        <v>310557</v>
      </c>
      <c r="H84" s="28">
        <f t="shared" si="55"/>
        <v>5273</v>
      </c>
      <c r="I84" s="25">
        <f t="shared" si="56"/>
        <v>315830</v>
      </c>
      <c r="J84" s="28">
        <f t="shared" si="57"/>
        <v>12633</v>
      </c>
      <c r="K84" s="25">
        <f t="shared" si="58"/>
        <v>328463</v>
      </c>
      <c r="L84" s="28">
        <f t="shared" si="59"/>
        <v>12482</v>
      </c>
      <c r="M84" s="25">
        <f t="shared" si="60"/>
        <v>340945</v>
      </c>
      <c r="N84" s="25">
        <f t="shared" si="61"/>
        <v>30388</v>
      </c>
      <c r="O84" s="25"/>
      <c r="P84" s="25">
        <f t="shared" si="62"/>
        <v>340945</v>
      </c>
      <c r="Q84" s="26"/>
      <c r="R84" s="25">
        <f t="shared" si="63"/>
        <v>0</v>
      </c>
      <c r="S84" s="25">
        <f t="shared" si="64"/>
        <v>27975</v>
      </c>
      <c r="T84" s="25">
        <f t="shared" si="65"/>
        <v>0</v>
      </c>
    </row>
    <row r="85" spans="3:20" ht="12.75">
      <c r="C85" s="2">
        <v>596</v>
      </c>
      <c r="D85" s="2" t="s">
        <v>95</v>
      </c>
      <c r="E85" s="25">
        <f>'ElLabor$'!N87</f>
        <v>187819</v>
      </c>
      <c r="F85" s="25"/>
      <c r="G85" s="25">
        <f t="shared" si="54"/>
        <v>187819</v>
      </c>
      <c r="H85" s="28">
        <f t="shared" si="55"/>
        <v>3189</v>
      </c>
      <c r="I85" s="25">
        <f t="shared" si="56"/>
        <v>191008</v>
      </c>
      <c r="J85" s="28">
        <f t="shared" si="57"/>
        <v>7640</v>
      </c>
      <c r="K85" s="25">
        <f t="shared" si="58"/>
        <v>198648</v>
      </c>
      <c r="L85" s="28">
        <f t="shared" si="59"/>
        <v>7549</v>
      </c>
      <c r="M85" s="25">
        <f t="shared" si="60"/>
        <v>206197</v>
      </c>
      <c r="N85" s="25">
        <f t="shared" si="61"/>
        <v>18378</v>
      </c>
      <c r="O85" s="25"/>
      <c r="P85" s="25">
        <f t="shared" si="62"/>
        <v>206197</v>
      </c>
      <c r="Q85" s="26"/>
      <c r="R85" s="25">
        <f t="shared" si="63"/>
        <v>0</v>
      </c>
      <c r="S85" s="25">
        <f t="shared" si="64"/>
        <v>16919</v>
      </c>
      <c r="T85" s="25">
        <f t="shared" si="65"/>
        <v>0</v>
      </c>
    </row>
    <row r="86" spans="3:20" ht="12.75">
      <c r="C86" s="2">
        <v>597</v>
      </c>
      <c r="D86" s="2" t="s">
        <v>96</v>
      </c>
      <c r="E86" s="25">
        <f>'ElLabor$'!N88</f>
        <v>56013</v>
      </c>
      <c r="F86" s="25"/>
      <c r="G86" s="25">
        <f t="shared" si="54"/>
        <v>56013</v>
      </c>
      <c r="H86" s="28">
        <f t="shared" si="55"/>
        <v>951</v>
      </c>
      <c r="I86" s="25">
        <f t="shared" si="56"/>
        <v>56964</v>
      </c>
      <c r="J86" s="28">
        <f t="shared" si="57"/>
        <v>2279</v>
      </c>
      <c r="K86" s="25">
        <f t="shared" si="58"/>
        <v>59243</v>
      </c>
      <c r="L86" s="28">
        <f t="shared" si="59"/>
        <v>2251</v>
      </c>
      <c r="M86" s="25">
        <f t="shared" si="60"/>
        <v>61494</v>
      </c>
      <c r="N86" s="25">
        <f t="shared" si="61"/>
        <v>5481</v>
      </c>
      <c r="O86" s="25"/>
      <c r="P86" s="25">
        <f t="shared" si="62"/>
        <v>61494</v>
      </c>
      <c r="Q86" s="26"/>
      <c r="R86" s="25">
        <f t="shared" si="63"/>
        <v>0</v>
      </c>
      <c r="S86" s="25">
        <f t="shared" si="64"/>
        <v>5046</v>
      </c>
      <c r="T86" s="25">
        <f t="shared" si="65"/>
        <v>0</v>
      </c>
    </row>
    <row r="87" spans="3:20" ht="12.75">
      <c r="C87" s="2">
        <v>598</v>
      </c>
      <c r="D87" s="2" t="s">
        <v>90</v>
      </c>
      <c r="E87" s="25">
        <f>'ElLabor$'!N89</f>
        <v>167765</v>
      </c>
      <c r="F87" s="25"/>
      <c r="G87" s="25">
        <f t="shared" si="54"/>
        <v>167765</v>
      </c>
      <c r="H87" s="28">
        <f t="shared" si="55"/>
        <v>2849</v>
      </c>
      <c r="I87" s="25">
        <f t="shared" si="56"/>
        <v>170614</v>
      </c>
      <c r="J87" s="28">
        <f t="shared" si="57"/>
        <v>6825</v>
      </c>
      <c r="K87" s="25">
        <f t="shared" si="58"/>
        <v>177439</v>
      </c>
      <c r="L87" s="28">
        <f t="shared" si="59"/>
        <v>6743</v>
      </c>
      <c r="M87" s="25">
        <f t="shared" si="60"/>
        <v>184182</v>
      </c>
      <c r="N87" s="25">
        <f t="shared" si="61"/>
        <v>16417</v>
      </c>
      <c r="O87" s="25"/>
      <c r="P87" s="25">
        <f t="shared" si="62"/>
        <v>184182</v>
      </c>
      <c r="Q87" s="26"/>
      <c r="R87" s="25">
        <f t="shared" si="63"/>
        <v>0</v>
      </c>
      <c r="S87" s="25">
        <f t="shared" si="64"/>
        <v>15112</v>
      </c>
      <c r="T87" s="25">
        <f t="shared" si="65"/>
        <v>0</v>
      </c>
    </row>
    <row r="88" spans="3:20" ht="12.75">
      <c r="C88" s="3" t="s">
        <v>8</v>
      </c>
      <c r="E88" s="55">
        <f aca="true" t="shared" si="66" ref="E88:T88">SUM(E69:E87)</f>
        <v>8640922</v>
      </c>
      <c r="F88" s="55">
        <f t="shared" si="66"/>
        <v>0</v>
      </c>
      <c r="G88" s="55">
        <f t="shared" si="66"/>
        <v>8640922</v>
      </c>
      <c r="H88" s="55">
        <f t="shared" si="66"/>
        <v>145035</v>
      </c>
      <c r="I88" s="55">
        <f t="shared" si="66"/>
        <v>8785957</v>
      </c>
      <c r="J88" s="55">
        <f t="shared" si="66"/>
        <v>349524</v>
      </c>
      <c r="K88" s="55">
        <f t="shared" si="66"/>
        <v>9135481</v>
      </c>
      <c r="L88" s="55">
        <f>SUM(L69:L87)</f>
        <v>347147</v>
      </c>
      <c r="M88" s="55">
        <f>SUM(M69:M87)</f>
        <v>9482628</v>
      </c>
      <c r="N88" s="55">
        <f t="shared" si="66"/>
        <v>841706</v>
      </c>
      <c r="O88" s="55">
        <f t="shared" si="66"/>
        <v>0</v>
      </c>
      <c r="P88" s="55">
        <f t="shared" si="66"/>
        <v>9482628</v>
      </c>
      <c r="Q88" s="26"/>
      <c r="R88" s="55">
        <f t="shared" si="66"/>
        <v>0</v>
      </c>
      <c r="S88" s="285">
        <f t="shared" si="66"/>
        <v>778373</v>
      </c>
      <c r="T88" s="285">
        <f t="shared" si="66"/>
        <v>0</v>
      </c>
    </row>
    <row r="89" spans="5:20" ht="12.75"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  <c r="R89" s="25"/>
      <c r="S89" s="25"/>
      <c r="T89" s="25"/>
    </row>
    <row r="90" spans="3:20" ht="12.75">
      <c r="C90" s="3" t="s">
        <v>9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  <c r="R90" s="25"/>
      <c r="S90" s="25"/>
      <c r="T90" s="25"/>
    </row>
    <row r="91" spans="2:20" ht="12.75">
      <c r="B91" s="3" t="s">
        <v>33</v>
      </c>
      <c r="C91" s="2">
        <v>901</v>
      </c>
      <c r="D91" s="2" t="s">
        <v>97</v>
      </c>
      <c r="E91" s="25">
        <f>'ElLabor$'!N93</f>
        <v>221076</v>
      </c>
      <c r="F91" s="25"/>
      <c r="G91" s="25">
        <f>F91+E91</f>
        <v>221076</v>
      </c>
      <c r="H91" s="27">
        <f>ROUND(IF($B91="a",G91*H$5,G91*H$6),0)</f>
        <v>3358</v>
      </c>
      <c r="I91" s="25">
        <f>G91+H91</f>
        <v>224434</v>
      </c>
      <c r="J91" s="27">
        <f>ROUND(IF($B91="a",I91*J$5,I91*J$6),0)</f>
        <v>8528</v>
      </c>
      <c r="K91" s="25">
        <f>I91+J91</f>
        <v>232962</v>
      </c>
      <c r="L91" s="27">
        <f>ROUND(IF($B91="a",K91*L$5,K91*L$6),0)</f>
        <v>8853</v>
      </c>
      <c r="M91" s="25">
        <f>K91+L91</f>
        <v>241815</v>
      </c>
      <c r="N91" s="25">
        <f>H91+J91+L91</f>
        <v>20739</v>
      </c>
      <c r="O91" s="25"/>
      <c r="P91" s="25">
        <f>M91+O91</f>
        <v>241815</v>
      </c>
      <c r="Q91" s="26"/>
      <c r="R91" s="25">
        <f>O91+F91</f>
        <v>0</v>
      </c>
      <c r="S91" s="25">
        <f>ROUND($S$128*E91/E$125,0)</f>
        <v>19914</v>
      </c>
      <c r="T91" s="25">
        <f>ROUND($T$128*F91/F$125,0)</f>
        <v>0</v>
      </c>
    </row>
    <row r="92" spans="3:20" ht="12.75">
      <c r="C92" s="2">
        <v>902</v>
      </c>
      <c r="D92" s="2" t="s">
        <v>98</v>
      </c>
      <c r="E92" s="25">
        <f>'ElLabor$'!N94</f>
        <v>1251744</v>
      </c>
      <c r="F92" s="25"/>
      <c r="G92" s="25">
        <f>F92+E92</f>
        <v>1251744</v>
      </c>
      <c r="H92" s="28">
        <f>ROUND(IF($B92="a",G92*H$5,G92*H$6),0)</f>
        <v>21255</v>
      </c>
      <c r="I92" s="25">
        <f>G92+H92</f>
        <v>1272999</v>
      </c>
      <c r="J92" s="28">
        <f>ROUND(IF($B92="a",I92*J$5,I92*J$6),0)</f>
        <v>50920</v>
      </c>
      <c r="K92" s="25">
        <f>I92+J92</f>
        <v>1323919</v>
      </c>
      <c r="L92" s="28">
        <f>ROUND(IF($B92="a",K92*L$5,K92*L$6),0)</f>
        <v>50309</v>
      </c>
      <c r="M92" s="25">
        <f>K92+L92</f>
        <v>1374228</v>
      </c>
      <c r="N92" s="25">
        <f>H92+J92+L92</f>
        <v>122484</v>
      </c>
      <c r="O92" s="25"/>
      <c r="P92" s="25">
        <f>M92+O92</f>
        <v>1374228</v>
      </c>
      <c r="Q92" s="26"/>
      <c r="R92" s="25">
        <f>O92+F92</f>
        <v>0</v>
      </c>
      <c r="S92" s="25">
        <f>ROUND($S$128*E92/E$125,0)</f>
        <v>112757</v>
      </c>
      <c r="T92" s="25">
        <f>ROUND($T$128*F92/F$125,0)</f>
        <v>0</v>
      </c>
    </row>
    <row r="93" spans="2:20" ht="12.75">
      <c r="B93" s="3" t="s">
        <v>33</v>
      </c>
      <c r="C93" s="2">
        <v>903</v>
      </c>
      <c r="D93" s="2" t="s">
        <v>99</v>
      </c>
      <c r="E93" s="25">
        <f>'ElLabor$'!N95</f>
        <v>2124985</v>
      </c>
      <c r="F93" s="25"/>
      <c r="G93" s="25">
        <f>F93+E93</f>
        <v>2124985</v>
      </c>
      <c r="H93" s="27">
        <f>ROUND(IF($B93="a",G93*H$5,G93*H$6),0)</f>
        <v>32279</v>
      </c>
      <c r="I93" s="25">
        <f>G93+H93</f>
        <v>2157264</v>
      </c>
      <c r="J93" s="27">
        <f>ROUND(IF($B93="a",I93*J$5,I93*J$6),0)</f>
        <v>81976</v>
      </c>
      <c r="K93" s="25">
        <f>I93+J93</f>
        <v>2239240</v>
      </c>
      <c r="L93" s="27">
        <f>ROUND(IF($B93="a",K93*L$5,K93*L$6),0)</f>
        <v>85091</v>
      </c>
      <c r="M93" s="25">
        <f>K93+L93</f>
        <v>2324331</v>
      </c>
      <c r="N93" s="25">
        <f>H93+J93+L93</f>
        <v>199346</v>
      </c>
      <c r="O93" s="25"/>
      <c r="P93" s="25">
        <f>M93+O93</f>
        <v>2324331</v>
      </c>
      <c r="Q93" s="26"/>
      <c r="R93" s="25">
        <f>O93+F93</f>
        <v>0</v>
      </c>
      <c r="S93" s="25">
        <f>ROUND($S$128*E93/E$125,0)</f>
        <v>191418</v>
      </c>
      <c r="T93" s="25">
        <f>ROUND($T$128*F93/F$125,0)</f>
        <v>0</v>
      </c>
    </row>
    <row r="94" spans="2:20" ht="12.75">
      <c r="B94" s="3" t="s">
        <v>33</v>
      </c>
      <c r="C94" s="2">
        <v>905</v>
      </c>
      <c r="D94" s="2" t="s">
        <v>100</v>
      </c>
      <c r="E94" s="25">
        <f>'ElLabor$'!N96</f>
        <v>59208</v>
      </c>
      <c r="F94" s="25"/>
      <c r="G94" s="25">
        <f>F94+E94</f>
        <v>59208</v>
      </c>
      <c r="H94" s="27">
        <f>ROUND(IF($B94="a",G94*H$5,G94*H$6),0)</f>
        <v>899</v>
      </c>
      <c r="I94" s="25">
        <f>G94+H94</f>
        <v>60107</v>
      </c>
      <c r="J94" s="27">
        <f>ROUND(IF($B94="a",I94*J$5,I94*J$6),0)</f>
        <v>2284</v>
      </c>
      <c r="K94" s="25">
        <f>I94+J94</f>
        <v>62391</v>
      </c>
      <c r="L94" s="27">
        <f>ROUND(IF($B94="a",K94*L$5,K94*L$6),0)</f>
        <v>2371</v>
      </c>
      <c r="M94" s="25">
        <f>K94+L94</f>
        <v>64762</v>
      </c>
      <c r="N94" s="25">
        <f>H94+J94+L94</f>
        <v>5554</v>
      </c>
      <c r="O94" s="25"/>
      <c r="P94" s="25">
        <f>M94+O94</f>
        <v>64762</v>
      </c>
      <c r="Q94" s="26"/>
      <c r="R94" s="25">
        <f>O94+F94</f>
        <v>0</v>
      </c>
      <c r="S94" s="25">
        <f>ROUND($S$128*E94/E$125,0)</f>
        <v>5333</v>
      </c>
      <c r="T94" s="25">
        <f>ROUND($T$128*F94/F$125,0)</f>
        <v>0</v>
      </c>
    </row>
    <row r="95" spans="3:20" ht="12.75">
      <c r="C95" s="3" t="s">
        <v>10</v>
      </c>
      <c r="E95" s="55">
        <f aca="true" t="shared" si="67" ref="E95:T95">SUM(E91:E94)</f>
        <v>3657013</v>
      </c>
      <c r="F95" s="55">
        <f t="shared" si="67"/>
        <v>0</v>
      </c>
      <c r="G95" s="55">
        <f t="shared" si="67"/>
        <v>3657013</v>
      </c>
      <c r="H95" s="55">
        <f t="shared" si="67"/>
        <v>57791</v>
      </c>
      <c r="I95" s="55">
        <f t="shared" si="67"/>
        <v>3714804</v>
      </c>
      <c r="J95" s="55">
        <f t="shared" si="67"/>
        <v>143708</v>
      </c>
      <c r="K95" s="55">
        <f t="shared" si="67"/>
        <v>3858512</v>
      </c>
      <c r="L95" s="55">
        <f>SUM(L91:L94)</f>
        <v>146624</v>
      </c>
      <c r="M95" s="55">
        <f>SUM(M91:M94)</f>
        <v>4005136</v>
      </c>
      <c r="N95" s="197">
        <f t="shared" si="67"/>
        <v>348123</v>
      </c>
      <c r="O95" s="55">
        <f t="shared" si="67"/>
        <v>0</v>
      </c>
      <c r="P95" s="55">
        <f t="shared" si="67"/>
        <v>4005136</v>
      </c>
      <c r="Q95" s="26"/>
      <c r="R95" s="55">
        <f t="shared" si="67"/>
        <v>0</v>
      </c>
      <c r="S95" s="285">
        <f t="shared" si="67"/>
        <v>329422</v>
      </c>
      <c r="T95" s="285">
        <f t="shared" si="67"/>
        <v>0</v>
      </c>
    </row>
    <row r="96" spans="5:20" ht="12.75"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6"/>
      <c r="R96" s="25"/>
      <c r="S96" s="25"/>
      <c r="T96" s="25"/>
    </row>
    <row r="97" spans="3:20" ht="12.75">
      <c r="C97" s="3" t="s">
        <v>11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6"/>
      <c r="R97" s="25"/>
      <c r="S97" s="25"/>
      <c r="T97" s="25"/>
    </row>
    <row r="98" spans="2:20" ht="12.75">
      <c r="B98" s="3" t="s">
        <v>33</v>
      </c>
      <c r="C98" s="2">
        <v>907</v>
      </c>
      <c r="D98" s="2" t="s">
        <v>97</v>
      </c>
      <c r="E98" s="25">
        <f>'ElLabor$'!N100</f>
        <v>0</v>
      </c>
      <c r="F98" s="25"/>
      <c r="G98" s="25">
        <f>F98+E98</f>
        <v>0</v>
      </c>
      <c r="H98" s="27">
        <f>ROUND(IF($B98="a",G98*H$5,G98*H$6),0)</f>
        <v>0</v>
      </c>
      <c r="I98" s="25">
        <f>G98+H98</f>
        <v>0</v>
      </c>
      <c r="J98" s="27">
        <f>ROUND(IF($B98="a",I98*J$5,I98*J$6),0)</f>
        <v>0</v>
      </c>
      <c r="K98" s="25">
        <f>I98+J98</f>
        <v>0</v>
      </c>
      <c r="L98" s="27">
        <f>ROUND(IF($B98="a",K98*L$5,K98*L$6),0)</f>
        <v>0</v>
      </c>
      <c r="M98" s="25">
        <f>K98+L98</f>
        <v>0</v>
      </c>
      <c r="N98" s="25">
        <f>H98+J98+L98</f>
        <v>0</v>
      </c>
      <c r="O98" s="25"/>
      <c r="P98" s="25">
        <f>M98+O98</f>
        <v>0</v>
      </c>
      <c r="Q98" s="26"/>
      <c r="R98" s="25">
        <f>O98+F98</f>
        <v>0</v>
      </c>
      <c r="S98" s="25">
        <f>ROUND($S$128*E98/E$125,0)</f>
        <v>0</v>
      </c>
      <c r="T98" s="25">
        <f>ROUND($T$128*F98/F$125,0)</f>
        <v>0</v>
      </c>
    </row>
    <row r="99" spans="2:20" ht="12.75">
      <c r="B99" s="3" t="s">
        <v>33</v>
      </c>
      <c r="C99" s="2">
        <v>908</v>
      </c>
      <c r="D99" s="2" t="s">
        <v>101</v>
      </c>
      <c r="E99" s="25">
        <f>'ElLabor$'!N101</f>
        <v>198765</v>
      </c>
      <c r="F99" s="25"/>
      <c r="G99" s="25">
        <f>F99+E99</f>
        <v>198765</v>
      </c>
      <c r="H99" s="27">
        <f>ROUND(IF($B99="a",G99*H$5,G99*H$6),0)</f>
        <v>3019</v>
      </c>
      <c r="I99" s="25">
        <f>G99+H99</f>
        <v>201784</v>
      </c>
      <c r="J99" s="27">
        <f>ROUND(IF($B99="a",I99*J$5,I99*J$6),0)</f>
        <v>7668</v>
      </c>
      <c r="K99" s="25">
        <f>I99+J99</f>
        <v>209452</v>
      </c>
      <c r="L99" s="27">
        <f>ROUND(IF($B99="a",K99*L$5,K99*L$6),0)</f>
        <v>7959</v>
      </c>
      <c r="M99" s="25">
        <f>K99+L99</f>
        <v>217411</v>
      </c>
      <c r="N99" s="25">
        <f>H99+J99+L99</f>
        <v>18646</v>
      </c>
      <c r="O99" s="25"/>
      <c r="P99" s="25">
        <f>M99+O99</f>
        <v>217411</v>
      </c>
      <c r="Q99" s="26"/>
      <c r="R99" s="25">
        <f>O99+F99</f>
        <v>0</v>
      </c>
      <c r="S99" s="25">
        <f>ROUND($S$128*E99/E$125,0)</f>
        <v>17905</v>
      </c>
      <c r="T99" s="25">
        <f>ROUND($T$128*F99/F$125,0)</f>
        <v>0</v>
      </c>
    </row>
    <row r="100" spans="2:20" ht="12.75">
      <c r="B100" s="3" t="s">
        <v>33</v>
      </c>
      <c r="C100" s="2">
        <v>909</v>
      </c>
      <c r="D100" s="2" t="s">
        <v>102</v>
      </c>
      <c r="E100" s="25">
        <f>'ElLabor$'!N102</f>
        <v>10617</v>
      </c>
      <c r="F100" s="25"/>
      <c r="G100" s="25">
        <f>F100+E100</f>
        <v>10617</v>
      </c>
      <c r="H100" s="27">
        <f>ROUND(IF($B100="a",G100*H$5,G100*H$6),0)</f>
        <v>161</v>
      </c>
      <c r="I100" s="25">
        <f>G100+H100</f>
        <v>10778</v>
      </c>
      <c r="J100" s="27">
        <f>ROUND(IF($B100="a",I100*J$5,I100*J$6),0)</f>
        <v>410</v>
      </c>
      <c r="K100" s="25">
        <f>I100+J100</f>
        <v>11188</v>
      </c>
      <c r="L100" s="27">
        <f>ROUND(IF($B100="a",K100*L$5,K100*L$6),0)</f>
        <v>425</v>
      </c>
      <c r="M100" s="25">
        <f>K100+L100</f>
        <v>11613</v>
      </c>
      <c r="N100" s="25">
        <f>H100+J100+L100</f>
        <v>996</v>
      </c>
      <c r="O100" s="25"/>
      <c r="P100" s="25">
        <f>M100+O100</f>
        <v>11613</v>
      </c>
      <c r="Q100" s="26"/>
      <c r="R100" s="25">
        <f>O100+F100</f>
        <v>0</v>
      </c>
      <c r="S100" s="25">
        <f>ROUND($S$128*E100/E$125,0)</f>
        <v>956</v>
      </c>
      <c r="T100" s="25">
        <f>ROUND($T$128*F100/F$125,0)</f>
        <v>0</v>
      </c>
    </row>
    <row r="101" spans="2:20" ht="12.75">
      <c r="B101" s="3" t="s">
        <v>33</v>
      </c>
      <c r="C101" s="2">
        <v>910</v>
      </c>
      <c r="D101" s="2" t="s">
        <v>103</v>
      </c>
      <c r="E101" s="25">
        <f>'ElLabor$'!N103</f>
        <v>87</v>
      </c>
      <c r="F101" s="25"/>
      <c r="G101" s="25">
        <f>F101+E101</f>
        <v>87</v>
      </c>
      <c r="H101" s="27">
        <f>ROUND(IF($B101="a",G101*H$5,G101*H$6),0)</f>
        <v>1</v>
      </c>
      <c r="I101" s="25">
        <f>G101+H101</f>
        <v>88</v>
      </c>
      <c r="J101" s="27">
        <f>ROUND(IF($B101="a",I101*J$5,I101*J$6),0)</f>
        <v>3</v>
      </c>
      <c r="K101" s="25">
        <f>I101+J101</f>
        <v>91</v>
      </c>
      <c r="L101" s="27">
        <f>ROUND(IF($B101="a",K101*L$5,K101*L$6),0)</f>
        <v>3</v>
      </c>
      <c r="M101" s="25">
        <f>K101+L101</f>
        <v>94</v>
      </c>
      <c r="N101" s="25">
        <f>H101+J101+L101</f>
        <v>7</v>
      </c>
      <c r="O101" s="25"/>
      <c r="P101" s="25">
        <f>M101+O101</f>
        <v>94</v>
      </c>
      <c r="Q101" s="26"/>
      <c r="R101" s="25">
        <f>O101+F101</f>
        <v>0</v>
      </c>
      <c r="S101" s="25">
        <f>ROUND($S$128*E101/E$125,0)</f>
        <v>8</v>
      </c>
      <c r="T101" s="25">
        <f>ROUND($T$128*F101/F$125,0)</f>
        <v>0</v>
      </c>
    </row>
    <row r="102" spans="3:20" ht="12.75">
      <c r="C102" s="3" t="s">
        <v>12</v>
      </c>
      <c r="E102" s="55">
        <f aca="true" t="shared" si="68" ref="E102:T102">SUM(E98:E101)</f>
        <v>209469</v>
      </c>
      <c r="F102" s="55">
        <f t="shared" si="68"/>
        <v>0</v>
      </c>
      <c r="G102" s="55">
        <f t="shared" si="68"/>
        <v>209469</v>
      </c>
      <c r="H102" s="55">
        <f t="shared" si="68"/>
        <v>3181</v>
      </c>
      <c r="I102" s="55">
        <f t="shared" si="68"/>
        <v>212650</v>
      </c>
      <c r="J102" s="55">
        <f t="shared" si="68"/>
        <v>8081</v>
      </c>
      <c r="K102" s="55">
        <f t="shared" si="68"/>
        <v>220731</v>
      </c>
      <c r="L102" s="55">
        <f>SUM(L98:L101)</f>
        <v>8387</v>
      </c>
      <c r="M102" s="55">
        <f>SUM(M98:M101)</f>
        <v>229118</v>
      </c>
      <c r="N102" s="197">
        <f t="shared" si="68"/>
        <v>19649</v>
      </c>
      <c r="O102" s="55">
        <f t="shared" si="68"/>
        <v>0</v>
      </c>
      <c r="P102" s="55">
        <f t="shared" si="68"/>
        <v>229118</v>
      </c>
      <c r="Q102" s="26"/>
      <c r="R102" s="55">
        <f t="shared" si="68"/>
        <v>0</v>
      </c>
      <c r="S102" s="285">
        <f t="shared" si="68"/>
        <v>18869</v>
      </c>
      <c r="T102" s="285">
        <f t="shared" si="68"/>
        <v>0</v>
      </c>
    </row>
    <row r="103" spans="5:20" ht="12.75"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  <c r="R103" s="25"/>
      <c r="S103" s="25"/>
      <c r="T103" s="25"/>
    </row>
    <row r="104" spans="3:20" ht="12.75">
      <c r="C104" s="3" t="s">
        <v>13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  <c r="R104" s="25"/>
      <c r="S104" s="25"/>
      <c r="T104" s="25"/>
    </row>
    <row r="105" spans="2:20" ht="12.75">
      <c r="B105" s="3" t="s">
        <v>33</v>
      </c>
      <c r="C105" s="3">
        <v>911</v>
      </c>
      <c r="D105" s="3" t="s">
        <v>97</v>
      </c>
      <c r="E105" s="25">
        <f>'ElLabor$'!N107</f>
        <v>0</v>
      </c>
      <c r="F105" s="25"/>
      <c r="G105" s="25">
        <f>F105+E105</f>
        <v>0</v>
      </c>
      <c r="H105" s="27">
        <f>ROUND(IF($B105="a",G105*H$5,G105*H$6),0)</f>
        <v>0</v>
      </c>
      <c r="I105" s="25">
        <f>G105+H105</f>
        <v>0</v>
      </c>
      <c r="J105" s="27">
        <f>ROUND(IF($B105="a",I105*J$5,I105*J$6),0)</f>
        <v>0</v>
      </c>
      <c r="K105" s="25">
        <f>I105+J105</f>
        <v>0</v>
      </c>
      <c r="L105" s="27">
        <f>ROUND(IF($B105="a",K105*L$5,K105*L$6),0)</f>
        <v>0</v>
      </c>
      <c r="M105" s="25">
        <f>K105+L105</f>
        <v>0</v>
      </c>
      <c r="N105" s="25">
        <f>H105+J105+L105</f>
        <v>0</v>
      </c>
      <c r="O105" s="25"/>
      <c r="P105" s="25">
        <f>M105+O105</f>
        <v>0</v>
      </c>
      <c r="Q105" s="26"/>
      <c r="R105" s="25">
        <f>O105+F105</f>
        <v>0</v>
      </c>
      <c r="S105" s="25">
        <f>ROUND($S$128*E105/E$125,0)</f>
        <v>0</v>
      </c>
      <c r="T105" s="25">
        <f>ROUND($T$128*F105/F$125,0)</f>
        <v>0</v>
      </c>
    </row>
    <row r="106" spans="2:20" ht="12.75">
      <c r="B106" s="3" t="s">
        <v>33</v>
      </c>
      <c r="C106" s="2">
        <v>912</v>
      </c>
      <c r="D106" s="2" t="s">
        <v>104</v>
      </c>
      <c r="E106" s="25">
        <f>'ElLabor$'!N108</f>
        <v>179975</v>
      </c>
      <c r="F106" s="25"/>
      <c r="G106" s="25">
        <f>F106+E106</f>
        <v>179975</v>
      </c>
      <c r="H106" s="27">
        <f>ROUND(IF($B106="a",G106*H$5,G106*H$6),0)</f>
        <v>2734</v>
      </c>
      <c r="I106" s="25">
        <f>G106+H106</f>
        <v>182709</v>
      </c>
      <c r="J106" s="27">
        <f>ROUND(IF($B106="a",I106*J$5,I106*J$6),0)</f>
        <v>6943</v>
      </c>
      <c r="K106" s="25">
        <f>I106+J106</f>
        <v>189652</v>
      </c>
      <c r="L106" s="27">
        <f>ROUND(IF($B106="a",K106*L$5,K106*L$6),0)</f>
        <v>7207</v>
      </c>
      <c r="M106" s="25">
        <f>K106+L106</f>
        <v>196859</v>
      </c>
      <c r="N106" s="25">
        <f>H106+J106+L106</f>
        <v>16884</v>
      </c>
      <c r="O106" s="25"/>
      <c r="P106" s="25">
        <f>M106+O106</f>
        <v>196859</v>
      </c>
      <c r="Q106" s="26"/>
      <c r="R106" s="25">
        <f>O106+F106</f>
        <v>0</v>
      </c>
      <c r="S106" s="25">
        <f>ROUND($S$128*E106/E$125,0)</f>
        <v>16212</v>
      </c>
      <c r="T106" s="25">
        <f>ROUND($T$128*F106/F$125,0)</f>
        <v>0</v>
      </c>
    </row>
    <row r="107" spans="2:20" ht="12.75">
      <c r="B107" s="3" t="s">
        <v>33</v>
      </c>
      <c r="C107" s="2">
        <v>913</v>
      </c>
      <c r="D107" s="2" t="s">
        <v>102</v>
      </c>
      <c r="E107" s="25">
        <f>'ElLabor$'!N109</f>
        <v>0</v>
      </c>
      <c r="F107" s="25"/>
      <c r="G107" s="25">
        <f>F107+E107</f>
        <v>0</v>
      </c>
      <c r="H107" s="27">
        <f>ROUND(IF($B107="a",G107*H$5,G107*H$6),0)</f>
        <v>0</v>
      </c>
      <c r="I107" s="25">
        <f>G107+H107</f>
        <v>0</v>
      </c>
      <c r="J107" s="27">
        <f>ROUND(IF($B107="a",I107*J$5,I107*J$6),0)</f>
        <v>0</v>
      </c>
      <c r="K107" s="25">
        <f>I107+J107</f>
        <v>0</v>
      </c>
      <c r="L107" s="27">
        <f>ROUND(IF($B107="a",K107*L$5,K107*L$6),0)</f>
        <v>0</v>
      </c>
      <c r="M107" s="25">
        <f>K107+L107</f>
        <v>0</v>
      </c>
      <c r="N107" s="25">
        <f>H107+J107+L107</f>
        <v>0</v>
      </c>
      <c r="O107" s="25"/>
      <c r="P107" s="25">
        <f>M107+O107</f>
        <v>0</v>
      </c>
      <c r="Q107" s="26"/>
      <c r="R107" s="25">
        <f>O107+F107</f>
        <v>0</v>
      </c>
      <c r="S107" s="25">
        <f>ROUND($S$128*E107/E$125,0)</f>
        <v>0</v>
      </c>
      <c r="T107" s="25">
        <f>ROUND($T$128*F107/F$125,0)</f>
        <v>0</v>
      </c>
    </row>
    <row r="108" spans="2:20" ht="12.75">
      <c r="B108" s="3" t="s">
        <v>33</v>
      </c>
      <c r="C108" s="2">
        <v>916</v>
      </c>
      <c r="D108" s="2" t="s">
        <v>105</v>
      </c>
      <c r="E108" s="25">
        <f>'ElLabor$'!N110</f>
        <v>146454</v>
      </c>
      <c r="F108" s="25"/>
      <c r="G108" s="25">
        <f>F108+E108</f>
        <v>146454</v>
      </c>
      <c r="H108" s="27">
        <f>ROUND(IF($B108="a",G108*H$5,G108*H$6),0)</f>
        <v>2225</v>
      </c>
      <c r="I108" s="25">
        <f>G108+H108</f>
        <v>148679</v>
      </c>
      <c r="J108" s="27">
        <f>ROUND(IF($B108="a",I108*J$5,I108*J$6),0)</f>
        <v>5650</v>
      </c>
      <c r="K108" s="25">
        <f>I108+J108</f>
        <v>154329</v>
      </c>
      <c r="L108" s="27">
        <f>ROUND(IF($B108="a",K108*L$5,K108*L$6),0)</f>
        <v>5865</v>
      </c>
      <c r="M108" s="25">
        <f>K108+L108</f>
        <v>160194</v>
      </c>
      <c r="N108" s="25">
        <f>H108+J108+L108</f>
        <v>13740</v>
      </c>
      <c r="O108" s="25"/>
      <c r="P108" s="25">
        <f>M108+O108</f>
        <v>160194</v>
      </c>
      <c r="Q108" s="26"/>
      <c r="R108" s="25">
        <f>O108+F108</f>
        <v>0</v>
      </c>
      <c r="S108" s="25">
        <f>ROUND($S$128*E108/E$125,0)</f>
        <v>13193</v>
      </c>
      <c r="T108" s="25">
        <f>ROUND($T$128*F108/F$125,0)</f>
        <v>0</v>
      </c>
    </row>
    <row r="109" spans="3:20" ht="12.75">
      <c r="C109" s="3" t="s">
        <v>14</v>
      </c>
      <c r="E109" s="55">
        <f aca="true" t="shared" si="69" ref="E109:T109">SUM(E105:E108)</f>
        <v>326429</v>
      </c>
      <c r="F109" s="55">
        <f t="shared" si="69"/>
        <v>0</v>
      </c>
      <c r="G109" s="55">
        <f t="shared" si="69"/>
        <v>326429</v>
      </c>
      <c r="H109" s="55">
        <f t="shared" si="69"/>
        <v>4959</v>
      </c>
      <c r="I109" s="55">
        <f t="shared" si="69"/>
        <v>331388</v>
      </c>
      <c r="J109" s="55">
        <f t="shared" si="69"/>
        <v>12593</v>
      </c>
      <c r="K109" s="55">
        <f t="shared" si="69"/>
        <v>343981</v>
      </c>
      <c r="L109" s="55">
        <f>SUM(L105:L108)</f>
        <v>13072</v>
      </c>
      <c r="M109" s="55">
        <f>SUM(M105:M108)</f>
        <v>357053</v>
      </c>
      <c r="N109" s="197">
        <f t="shared" si="69"/>
        <v>30624</v>
      </c>
      <c r="O109" s="55">
        <f t="shared" si="69"/>
        <v>0</v>
      </c>
      <c r="P109" s="55">
        <f t="shared" si="69"/>
        <v>357053</v>
      </c>
      <c r="Q109" s="26"/>
      <c r="R109" s="55">
        <f t="shared" si="69"/>
        <v>0</v>
      </c>
      <c r="S109" s="285">
        <f t="shared" si="69"/>
        <v>29405</v>
      </c>
      <c r="T109" s="285">
        <f t="shared" si="69"/>
        <v>0</v>
      </c>
    </row>
    <row r="110" spans="5:20" ht="12.75"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6"/>
      <c r="R110" s="25"/>
      <c r="S110" s="25"/>
      <c r="T110" s="25"/>
    </row>
    <row r="111" spans="3:20" ht="12.75">
      <c r="C111" s="3" t="s">
        <v>15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6"/>
      <c r="R111" s="25"/>
      <c r="S111" s="25"/>
      <c r="T111" s="25"/>
    </row>
    <row r="112" spans="2:20" ht="12.75">
      <c r="B112" s="3" t="s">
        <v>33</v>
      </c>
      <c r="C112" s="2">
        <v>920</v>
      </c>
      <c r="D112" s="2" t="s">
        <v>106</v>
      </c>
      <c r="E112" s="25">
        <f>'ElLabor$'!N114</f>
        <v>7181131</v>
      </c>
      <c r="F112" s="25">
        <f>-RemoveExec!F17</f>
        <v>-1301176</v>
      </c>
      <c r="G112" s="25">
        <f aca="true" t="shared" si="70" ref="G112:G122">F112+E112</f>
        <v>5879955</v>
      </c>
      <c r="H112" s="27">
        <f aca="true" t="shared" si="71" ref="H112:H122">ROUND(IF($B112="a",G112*H$5,G112*H$6),0)</f>
        <v>89317</v>
      </c>
      <c r="I112" s="25">
        <f aca="true" t="shared" si="72" ref="I112:I122">G112+H112</f>
        <v>5969272</v>
      </c>
      <c r="J112" s="27">
        <f aca="true" t="shared" si="73" ref="J112:J122">ROUND(IF($B112="a",I112*J$5,I112*J$6),0)</f>
        <v>226832</v>
      </c>
      <c r="K112" s="25">
        <f aca="true" t="shared" si="74" ref="K112:K122">I112+J112</f>
        <v>6196104</v>
      </c>
      <c r="L112" s="27">
        <f aca="true" t="shared" si="75" ref="L112:L122">ROUND(IF($B112="a",K112*L$5,K112*L$6),0)</f>
        <v>235452</v>
      </c>
      <c r="M112" s="25">
        <f aca="true" t="shared" si="76" ref="M112:M122">K112+L112</f>
        <v>6431556</v>
      </c>
      <c r="N112" s="25">
        <f aca="true" t="shared" si="77" ref="N112:N122">H112+J112+L112</f>
        <v>551601</v>
      </c>
      <c r="O112" s="25">
        <f>'Pro Forma Spread'!G35</f>
        <v>1531372</v>
      </c>
      <c r="P112" s="25">
        <f aca="true" t="shared" si="78" ref="P112:P122">M112+O112</f>
        <v>7962928</v>
      </c>
      <c r="Q112" s="26"/>
      <c r="R112" s="25">
        <f aca="true" t="shared" si="79" ref="R112:R122">O112+F112</f>
        <v>230196</v>
      </c>
      <c r="S112" s="25">
        <f>ROUND($S$128*E112/E$125,0)+1</f>
        <v>646876</v>
      </c>
      <c r="T112" s="25">
        <f>ROUND($T$128*F112/F$125,0)</f>
        <v>967123</v>
      </c>
    </row>
    <row r="113" spans="2:20" ht="12.75">
      <c r="B113" s="3" t="s">
        <v>33</v>
      </c>
      <c r="C113" s="2">
        <v>921</v>
      </c>
      <c r="D113" s="2" t="s">
        <v>107</v>
      </c>
      <c r="E113" s="25">
        <f>'ElLabor$'!N115</f>
        <v>20490</v>
      </c>
      <c r="F113" s="25"/>
      <c r="G113" s="25">
        <f t="shared" si="70"/>
        <v>20490</v>
      </c>
      <c r="H113" s="27">
        <f t="shared" si="71"/>
        <v>311</v>
      </c>
      <c r="I113" s="25">
        <f t="shared" si="72"/>
        <v>20801</v>
      </c>
      <c r="J113" s="27">
        <f t="shared" si="73"/>
        <v>790</v>
      </c>
      <c r="K113" s="25">
        <f t="shared" si="74"/>
        <v>21591</v>
      </c>
      <c r="L113" s="27">
        <f t="shared" si="75"/>
        <v>820</v>
      </c>
      <c r="M113" s="25">
        <f t="shared" si="76"/>
        <v>22411</v>
      </c>
      <c r="N113" s="25">
        <f t="shared" si="77"/>
        <v>1921</v>
      </c>
      <c r="O113" s="25"/>
      <c r="P113" s="25">
        <f t="shared" si="78"/>
        <v>22411</v>
      </c>
      <c r="Q113" s="26"/>
      <c r="R113" s="25">
        <f t="shared" si="79"/>
        <v>0</v>
      </c>
      <c r="S113" s="25">
        <f>ROUND($S$128*E113/E$125,0)</f>
        <v>1846</v>
      </c>
      <c r="T113" s="25">
        <f>ROUND($T$128*F113/F$125,0)</f>
        <v>0</v>
      </c>
    </row>
    <row r="114" spans="2:20" ht="12.75">
      <c r="B114" s="3" t="s">
        <v>33</v>
      </c>
      <c r="C114" s="2">
        <v>923</v>
      </c>
      <c r="D114" s="2" t="s">
        <v>108</v>
      </c>
      <c r="E114" s="25">
        <f>'ElLabor$'!N116</f>
        <v>1739</v>
      </c>
      <c r="F114" s="25"/>
      <c r="G114" s="25">
        <f t="shared" si="70"/>
        <v>1739</v>
      </c>
      <c r="H114" s="27">
        <f t="shared" si="71"/>
        <v>26</v>
      </c>
      <c r="I114" s="25">
        <f t="shared" si="72"/>
        <v>1765</v>
      </c>
      <c r="J114" s="27">
        <f t="shared" si="73"/>
        <v>67</v>
      </c>
      <c r="K114" s="25">
        <f t="shared" si="74"/>
        <v>1832</v>
      </c>
      <c r="L114" s="27">
        <f t="shared" si="75"/>
        <v>70</v>
      </c>
      <c r="M114" s="25">
        <f t="shared" si="76"/>
        <v>1902</v>
      </c>
      <c r="N114" s="25">
        <f t="shared" si="77"/>
        <v>163</v>
      </c>
      <c r="O114" s="25"/>
      <c r="P114" s="25">
        <f t="shared" si="78"/>
        <v>1902</v>
      </c>
      <c r="Q114" s="26"/>
      <c r="R114" s="25">
        <f t="shared" si="79"/>
        <v>0</v>
      </c>
      <c r="S114" s="25">
        <f aca="true" t="shared" si="80" ref="S114:S122">ROUND($S$128*E114/E$125,0)</f>
        <v>157</v>
      </c>
      <c r="T114" s="25">
        <f aca="true" t="shared" si="81" ref="T114:T122">ROUND($T$128*F114/F$125,0)</f>
        <v>0</v>
      </c>
    </row>
    <row r="115" spans="2:20" ht="12.75">
      <c r="B115" s="3" t="s">
        <v>33</v>
      </c>
      <c r="C115" s="2">
        <v>924</v>
      </c>
      <c r="D115" s="2" t="s">
        <v>109</v>
      </c>
      <c r="E115" s="25">
        <f>'ElLabor$'!N117</f>
        <v>0</v>
      </c>
      <c r="F115" s="25"/>
      <c r="G115" s="25">
        <f t="shared" si="70"/>
        <v>0</v>
      </c>
      <c r="H115" s="27">
        <f t="shared" si="71"/>
        <v>0</v>
      </c>
      <c r="I115" s="25">
        <f t="shared" si="72"/>
        <v>0</v>
      </c>
      <c r="J115" s="27">
        <f t="shared" si="73"/>
        <v>0</v>
      </c>
      <c r="K115" s="25">
        <f t="shared" si="74"/>
        <v>0</v>
      </c>
      <c r="L115" s="27">
        <f t="shared" si="75"/>
        <v>0</v>
      </c>
      <c r="M115" s="25">
        <f t="shared" si="76"/>
        <v>0</v>
      </c>
      <c r="N115" s="25">
        <f t="shared" si="77"/>
        <v>0</v>
      </c>
      <c r="O115" s="25"/>
      <c r="P115" s="25">
        <f t="shared" si="78"/>
        <v>0</v>
      </c>
      <c r="Q115" s="26"/>
      <c r="R115" s="25">
        <f t="shared" si="79"/>
        <v>0</v>
      </c>
      <c r="S115" s="25">
        <f t="shared" si="80"/>
        <v>0</v>
      </c>
      <c r="T115" s="25">
        <f t="shared" si="81"/>
        <v>0</v>
      </c>
    </row>
    <row r="116" spans="2:20" ht="12.75">
      <c r="B116" s="3" t="s">
        <v>33</v>
      </c>
      <c r="C116" s="2">
        <v>925</v>
      </c>
      <c r="D116" s="2" t="s">
        <v>110</v>
      </c>
      <c r="E116" s="25">
        <f>'ElLabor$'!N118</f>
        <v>120821</v>
      </c>
      <c r="F116" s="25"/>
      <c r="G116" s="25">
        <f t="shared" si="70"/>
        <v>120821</v>
      </c>
      <c r="H116" s="27">
        <f t="shared" si="71"/>
        <v>1835</v>
      </c>
      <c r="I116" s="25">
        <f t="shared" si="72"/>
        <v>122656</v>
      </c>
      <c r="J116" s="27">
        <f t="shared" si="73"/>
        <v>4661</v>
      </c>
      <c r="K116" s="25">
        <f t="shared" si="74"/>
        <v>127317</v>
      </c>
      <c r="L116" s="27">
        <f t="shared" si="75"/>
        <v>4838</v>
      </c>
      <c r="M116" s="25">
        <f t="shared" si="76"/>
        <v>132155</v>
      </c>
      <c r="N116" s="25">
        <f t="shared" si="77"/>
        <v>11334</v>
      </c>
      <c r="O116" s="25"/>
      <c r="P116" s="25">
        <f t="shared" si="78"/>
        <v>132155</v>
      </c>
      <c r="Q116" s="26"/>
      <c r="R116" s="25">
        <f t="shared" si="79"/>
        <v>0</v>
      </c>
      <c r="S116" s="25">
        <f t="shared" si="80"/>
        <v>10884</v>
      </c>
      <c r="T116" s="25">
        <f t="shared" si="81"/>
        <v>0</v>
      </c>
    </row>
    <row r="117" spans="2:20" ht="12.75">
      <c r="B117" s="3" t="s">
        <v>33</v>
      </c>
      <c r="C117" s="2">
        <v>926</v>
      </c>
      <c r="D117" s="2" t="s">
        <v>111</v>
      </c>
      <c r="E117" s="25">
        <f>'ElLabor$'!N119</f>
        <v>0</v>
      </c>
      <c r="F117" s="25"/>
      <c r="G117" s="25">
        <f t="shared" si="70"/>
        <v>0</v>
      </c>
      <c r="H117" s="27">
        <f t="shared" si="71"/>
        <v>0</v>
      </c>
      <c r="I117" s="25">
        <f t="shared" si="72"/>
        <v>0</v>
      </c>
      <c r="J117" s="27">
        <f t="shared" si="73"/>
        <v>0</v>
      </c>
      <c r="K117" s="25">
        <f t="shared" si="74"/>
        <v>0</v>
      </c>
      <c r="L117" s="27">
        <f t="shared" si="75"/>
        <v>0</v>
      </c>
      <c r="M117" s="25">
        <f t="shared" si="76"/>
        <v>0</v>
      </c>
      <c r="N117" s="25">
        <f t="shared" si="77"/>
        <v>0</v>
      </c>
      <c r="O117" s="25"/>
      <c r="P117" s="25">
        <f t="shared" si="78"/>
        <v>0</v>
      </c>
      <c r="Q117" s="26"/>
      <c r="R117" s="25">
        <f t="shared" si="79"/>
        <v>0</v>
      </c>
      <c r="S117" s="25">
        <f t="shared" si="80"/>
        <v>0</v>
      </c>
      <c r="T117" s="25">
        <f t="shared" si="81"/>
        <v>0</v>
      </c>
    </row>
    <row r="118" spans="2:20" ht="12.75">
      <c r="B118" s="3" t="s">
        <v>33</v>
      </c>
      <c r="C118" s="2">
        <v>927</v>
      </c>
      <c r="D118" s="2" t="s">
        <v>112</v>
      </c>
      <c r="E118" s="25">
        <f>'ElLabor$'!N120</f>
        <v>0</v>
      </c>
      <c r="F118" s="25"/>
      <c r="G118" s="25">
        <f t="shared" si="70"/>
        <v>0</v>
      </c>
      <c r="H118" s="27">
        <f t="shared" si="71"/>
        <v>0</v>
      </c>
      <c r="I118" s="25">
        <f t="shared" si="72"/>
        <v>0</v>
      </c>
      <c r="J118" s="27">
        <f t="shared" si="73"/>
        <v>0</v>
      </c>
      <c r="K118" s="25">
        <f t="shared" si="74"/>
        <v>0</v>
      </c>
      <c r="L118" s="27">
        <f t="shared" si="75"/>
        <v>0</v>
      </c>
      <c r="M118" s="25">
        <f t="shared" si="76"/>
        <v>0</v>
      </c>
      <c r="N118" s="25">
        <f t="shared" si="77"/>
        <v>0</v>
      </c>
      <c r="O118" s="25"/>
      <c r="P118" s="25">
        <f t="shared" si="78"/>
        <v>0</v>
      </c>
      <c r="Q118" s="26"/>
      <c r="R118" s="25">
        <f t="shared" si="79"/>
        <v>0</v>
      </c>
      <c r="S118" s="25">
        <f t="shared" si="80"/>
        <v>0</v>
      </c>
      <c r="T118" s="25">
        <f t="shared" si="81"/>
        <v>0</v>
      </c>
    </row>
    <row r="119" spans="2:20" ht="12.75">
      <c r="B119" s="3" t="s">
        <v>33</v>
      </c>
      <c r="C119" s="2">
        <v>928</v>
      </c>
      <c r="D119" s="2" t="s">
        <v>113</v>
      </c>
      <c r="E119" s="25">
        <f>'ElLabor$'!N121</f>
        <v>506923</v>
      </c>
      <c r="F119" s="25"/>
      <c r="G119" s="25">
        <f t="shared" si="70"/>
        <v>506923</v>
      </c>
      <c r="H119" s="27">
        <f t="shared" si="71"/>
        <v>7700</v>
      </c>
      <c r="I119" s="25">
        <f t="shared" si="72"/>
        <v>514623</v>
      </c>
      <c r="J119" s="27">
        <f t="shared" si="73"/>
        <v>19556</v>
      </c>
      <c r="K119" s="25">
        <f t="shared" si="74"/>
        <v>534179</v>
      </c>
      <c r="L119" s="27">
        <f t="shared" si="75"/>
        <v>20299</v>
      </c>
      <c r="M119" s="25">
        <f t="shared" si="76"/>
        <v>554478</v>
      </c>
      <c r="N119" s="25">
        <f t="shared" si="77"/>
        <v>47555</v>
      </c>
      <c r="O119" s="25"/>
      <c r="P119" s="25">
        <f t="shared" si="78"/>
        <v>554478</v>
      </c>
      <c r="Q119" s="26"/>
      <c r="R119" s="25">
        <f t="shared" si="79"/>
        <v>0</v>
      </c>
      <c r="S119" s="25">
        <f t="shared" si="80"/>
        <v>45664</v>
      </c>
      <c r="T119" s="25">
        <f t="shared" si="81"/>
        <v>0</v>
      </c>
    </row>
    <row r="120" spans="2:20" ht="12.75">
      <c r="B120" s="3" t="s">
        <v>33</v>
      </c>
      <c r="C120" s="2">
        <v>930</v>
      </c>
      <c r="D120" s="2" t="s">
        <v>114</v>
      </c>
      <c r="E120" s="25">
        <f>'ElLabor$'!N122</f>
        <v>272019</v>
      </c>
      <c r="F120" s="25">
        <f>-RemoveExec!F18</f>
        <v>0</v>
      </c>
      <c r="G120" s="25">
        <f t="shared" si="70"/>
        <v>272019</v>
      </c>
      <c r="H120" s="27">
        <f t="shared" si="71"/>
        <v>4132</v>
      </c>
      <c r="I120" s="25">
        <f t="shared" si="72"/>
        <v>276151</v>
      </c>
      <c r="J120" s="27">
        <f t="shared" si="73"/>
        <v>10494</v>
      </c>
      <c r="K120" s="25">
        <f t="shared" si="74"/>
        <v>286645</v>
      </c>
      <c r="L120" s="27">
        <f t="shared" si="75"/>
        <v>10893</v>
      </c>
      <c r="M120" s="25">
        <f t="shared" si="76"/>
        <v>297538</v>
      </c>
      <c r="N120" s="25">
        <f t="shared" si="77"/>
        <v>25519</v>
      </c>
      <c r="O120" s="25"/>
      <c r="P120" s="25">
        <f t="shared" si="78"/>
        <v>297538</v>
      </c>
      <c r="Q120" s="26"/>
      <c r="R120" s="25">
        <f t="shared" si="79"/>
        <v>0</v>
      </c>
      <c r="S120" s="25">
        <f t="shared" si="80"/>
        <v>24503</v>
      </c>
      <c r="T120" s="25">
        <f t="shared" si="81"/>
        <v>0</v>
      </c>
    </row>
    <row r="121" spans="2:20" ht="12.75">
      <c r="B121" s="3" t="s">
        <v>33</v>
      </c>
      <c r="C121" s="2">
        <v>931</v>
      </c>
      <c r="D121" s="2" t="s">
        <v>115</v>
      </c>
      <c r="E121" s="25">
        <f>'ElLabor$'!N123</f>
        <v>0</v>
      </c>
      <c r="F121" s="25"/>
      <c r="G121" s="25">
        <f t="shared" si="70"/>
        <v>0</v>
      </c>
      <c r="H121" s="27">
        <f t="shared" si="71"/>
        <v>0</v>
      </c>
      <c r="I121" s="25">
        <f t="shared" si="72"/>
        <v>0</v>
      </c>
      <c r="J121" s="27">
        <f t="shared" si="73"/>
        <v>0</v>
      </c>
      <c r="K121" s="25">
        <f t="shared" si="74"/>
        <v>0</v>
      </c>
      <c r="L121" s="27">
        <f t="shared" si="75"/>
        <v>0</v>
      </c>
      <c r="M121" s="25">
        <f t="shared" si="76"/>
        <v>0</v>
      </c>
      <c r="N121" s="25">
        <f t="shared" si="77"/>
        <v>0</v>
      </c>
      <c r="O121" s="25"/>
      <c r="P121" s="25">
        <f t="shared" si="78"/>
        <v>0</v>
      </c>
      <c r="Q121" s="26"/>
      <c r="R121" s="25">
        <f t="shared" si="79"/>
        <v>0</v>
      </c>
      <c r="S121" s="25">
        <f t="shared" si="80"/>
        <v>0</v>
      </c>
      <c r="T121" s="25">
        <f t="shared" si="81"/>
        <v>0</v>
      </c>
    </row>
    <row r="122" spans="3:20" ht="12.75">
      <c r="C122" s="2">
        <v>935</v>
      </c>
      <c r="D122" s="2" t="s">
        <v>116</v>
      </c>
      <c r="E122" s="25">
        <f>'ElLabor$'!N124</f>
        <v>786972</v>
      </c>
      <c r="F122" s="25"/>
      <c r="G122" s="25">
        <f t="shared" si="70"/>
        <v>786972</v>
      </c>
      <c r="H122" s="28">
        <f t="shared" si="71"/>
        <v>13363</v>
      </c>
      <c r="I122" s="25">
        <f t="shared" si="72"/>
        <v>800335</v>
      </c>
      <c r="J122" s="28">
        <f t="shared" si="73"/>
        <v>32013</v>
      </c>
      <c r="K122" s="25">
        <f t="shared" si="74"/>
        <v>832348</v>
      </c>
      <c r="L122" s="28">
        <f t="shared" si="75"/>
        <v>31629</v>
      </c>
      <c r="M122" s="25">
        <f t="shared" si="76"/>
        <v>863977</v>
      </c>
      <c r="N122" s="25">
        <f t="shared" si="77"/>
        <v>77005</v>
      </c>
      <c r="O122" s="25"/>
      <c r="P122" s="25">
        <f t="shared" si="78"/>
        <v>863977</v>
      </c>
      <c r="Q122" s="26"/>
      <c r="R122" s="25">
        <f t="shared" si="79"/>
        <v>0</v>
      </c>
      <c r="S122" s="25">
        <f t="shared" si="80"/>
        <v>70890</v>
      </c>
      <c r="T122" s="25">
        <f t="shared" si="81"/>
        <v>0</v>
      </c>
    </row>
    <row r="123" spans="3:20" ht="12.75">
      <c r="C123" s="3" t="s">
        <v>16</v>
      </c>
      <c r="E123" s="55">
        <f aca="true" t="shared" si="82" ref="E123:T123">SUM(E112:E122)</f>
        <v>8890095</v>
      </c>
      <c r="F123" s="55">
        <f t="shared" si="82"/>
        <v>-1301176</v>
      </c>
      <c r="G123" s="55">
        <f t="shared" si="82"/>
        <v>7588919</v>
      </c>
      <c r="H123" s="55">
        <f t="shared" si="82"/>
        <v>116684</v>
      </c>
      <c r="I123" s="55">
        <f t="shared" si="82"/>
        <v>7705603</v>
      </c>
      <c r="J123" s="55">
        <f t="shared" si="82"/>
        <v>294413</v>
      </c>
      <c r="K123" s="55">
        <f t="shared" si="82"/>
        <v>8000016</v>
      </c>
      <c r="L123" s="55">
        <f>SUM(L112:L122)</f>
        <v>304001</v>
      </c>
      <c r="M123" s="55">
        <f>SUM(M112:M122)</f>
        <v>8304017</v>
      </c>
      <c r="N123" s="197">
        <f t="shared" si="82"/>
        <v>715098</v>
      </c>
      <c r="O123" s="55">
        <f t="shared" si="82"/>
        <v>1531372</v>
      </c>
      <c r="P123" s="55">
        <f t="shared" si="82"/>
        <v>9835389</v>
      </c>
      <c r="Q123" s="26"/>
      <c r="R123" s="55">
        <f t="shared" si="82"/>
        <v>230196</v>
      </c>
      <c r="S123" s="285">
        <f t="shared" si="82"/>
        <v>800820</v>
      </c>
      <c r="T123" s="285">
        <f t="shared" si="82"/>
        <v>967123</v>
      </c>
    </row>
    <row r="124" spans="5:20" ht="12.75"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6"/>
      <c r="R124" s="25"/>
      <c r="S124" s="25"/>
      <c r="T124" s="25"/>
    </row>
    <row r="125" spans="3:20" ht="12.75">
      <c r="C125" s="3" t="s">
        <v>117</v>
      </c>
      <c r="E125" s="55">
        <f aca="true" t="shared" si="83" ref="E125:O125">E123+E109+E102+E95+E88+E66+E50</f>
        <v>32545808</v>
      </c>
      <c r="F125" s="55">
        <f t="shared" si="83"/>
        <v>-1389585</v>
      </c>
      <c r="G125" s="55">
        <f t="shared" si="83"/>
        <v>31156223</v>
      </c>
      <c r="H125" s="55">
        <f t="shared" si="83"/>
        <v>501544</v>
      </c>
      <c r="I125" s="55">
        <f t="shared" si="83"/>
        <v>31657767</v>
      </c>
      <c r="J125" s="55">
        <f t="shared" si="83"/>
        <v>1235125</v>
      </c>
      <c r="K125" s="55">
        <f t="shared" si="83"/>
        <v>32892892</v>
      </c>
      <c r="L125" s="55">
        <f>L123+L109+L102+L95+L88+L66+L50</f>
        <v>1249929</v>
      </c>
      <c r="M125" s="55">
        <f>M123+M109+M102+M95+M88+M66+M50</f>
        <v>34142821</v>
      </c>
      <c r="N125" s="198">
        <f t="shared" si="83"/>
        <v>2986598</v>
      </c>
      <c r="O125" s="306">
        <f t="shared" si="83"/>
        <v>1629128</v>
      </c>
      <c r="P125" s="197">
        <f>P123+P109+P102+P95+P88+P66+P50</f>
        <v>35771949</v>
      </c>
      <c r="Q125" s="26"/>
      <c r="R125" s="55">
        <f>R123+R109+R102+R95+R88+R66+R50</f>
        <v>239543</v>
      </c>
      <c r="S125" s="285">
        <f>S123+S109+S102+S95+S88+S66+S50</f>
        <v>2931721</v>
      </c>
      <c r="T125" s="285">
        <f>T123+T109+T102+T95+T88+T66+T50</f>
        <v>1032835</v>
      </c>
    </row>
    <row r="126" ht="12.75">
      <c r="E126" s="25"/>
    </row>
    <row r="127" spans="5:18" ht="12.75">
      <c r="E127" s="25">
        <f>'ElLabor$'!N127</f>
        <v>32545808</v>
      </c>
      <c r="F127" s="176">
        <f>RemoveExec!F22</f>
        <v>1389585</v>
      </c>
      <c r="G127" s="7"/>
      <c r="O127" s="56"/>
      <c r="P127" s="56"/>
      <c r="Q127" s="132"/>
      <c r="R127" s="56"/>
    </row>
    <row r="128" spans="4:20" ht="12.75">
      <c r="D128" s="16"/>
      <c r="E128" s="26"/>
      <c r="F128" s="26"/>
      <c r="N128" s="25">
        <f>L125+J125+H125</f>
        <v>2986598</v>
      </c>
      <c r="O128" s="25">
        <f>'Pro Forma Spread'!G38</f>
        <v>1629128</v>
      </c>
      <c r="P128" s="25">
        <f>M125+O125</f>
        <v>35771949</v>
      </c>
      <c r="R128" s="25">
        <f>O128-F127</f>
        <v>239543</v>
      </c>
      <c r="S128" s="182">
        <f>Pension!G15</f>
        <v>2931720</v>
      </c>
      <c r="T128" s="182">
        <f>Pension!H15</f>
        <v>1032835</v>
      </c>
    </row>
    <row r="129" ht="12.75">
      <c r="P129" s="25">
        <f>P128-P125</f>
        <v>0</v>
      </c>
    </row>
  </sheetData>
  <printOptions/>
  <pageMargins left="0.6" right="0.28" top="0.55" bottom="0.42" header="0.64" footer="0.25"/>
  <pageSetup fitToHeight="2" horizontalDpi="300" verticalDpi="300" orientation="landscape" scale="60" r:id="rId3"/>
  <headerFooter alignWithMargins="0">
    <oddFooter>&amp;C&amp;F&amp;A&amp;R&amp;D&amp;T</oddFooter>
  </headerFooter>
  <rowBreaks count="1" manualBreakCount="1">
    <brk id="67" max="255" man="1"/>
  </rowBreaks>
  <colBreaks count="1" manualBreakCount="1">
    <brk id="1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1:T129"/>
  <sheetViews>
    <sheetView workbookViewId="0" topLeftCell="C1">
      <selection activeCell="V132" sqref="V132"/>
    </sheetView>
  </sheetViews>
  <sheetFormatPr defaultColWidth="9.33203125" defaultRowHeight="12.75"/>
  <cols>
    <col min="1" max="2" width="3.83203125" style="3" customWidth="1"/>
    <col min="3" max="3" width="4" style="3" customWidth="1"/>
    <col min="4" max="4" width="23.16015625" style="3" customWidth="1"/>
    <col min="5" max="5" width="10.83203125" style="3" customWidth="1"/>
    <col min="6" max="6" width="9.83203125" style="3" customWidth="1"/>
    <col min="7" max="7" width="12.33203125" style="3" bestFit="1" customWidth="1"/>
    <col min="8" max="8" width="14.33203125" style="3" customWidth="1"/>
    <col min="9" max="9" width="12.33203125" style="3" customWidth="1"/>
    <col min="10" max="10" width="14.33203125" style="3" customWidth="1"/>
    <col min="11" max="11" width="12.33203125" style="3" customWidth="1"/>
    <col min="12" max="12" width="14.66015625" style="3" customWidth="1"/>
    <col min="13" max="13" width="12.33203125" style="3" customWidth="1"/>
    <col min="14" max="14" width="13.5" style="3" customWidth="1"/>
    <col min="15" max="15" width="9.83203125" style="3" customWidth="1"/>
    <col min="16" max="16" width="10.5" style="3" customWidth="1"/>
    <col min="17" max="17" width="2.16015625" style="18" customWidth="1"/>
    <col min="18" max="18" width="13.66015625" style="3" customWidth="1"/>
    <col min="19" max="20" width="12.66015625" style="3" customWidth="1"/>
    <col min="21" max="16384" width="9.33203125" style="3" customWidth="1"/>
  </cols>
  <sheetData>
    <row r="1" spans="3:8" ht="12.75">
      <c r="C1" s="52" t="s">
        <v>30</v>
      </c>
      <c r="D1" s="2"/>
      <c r="H1" s="57"/>
    </row>
    <row r="2" spans="3:8" ht="12.75">
      <c r="C2" s="2" t="s">
        <v>118</v>
      </c>
      <c r="D2" s="2"/>
      <c r="H2" s="57"/>
    </row>
    <row r="3" spans="3:8" ht="12.75">
      <c r="C3" s="2" t="s">
        <v>406</v>
      </c>
      <c r="D3" s="2"/>
      <c r="H3" s="57"/>
    </row>
    <row r="4" spans="8:20" s="4" customFormat="1" ht="12.75">
      <c r="H4" s="4" t="s">
        <v>335</v>
      </c>
      <c r="J4" s="4" t="s">
        <v>344</v>
      </c>
      <c r="L4" s="389" t="s">
        <v>409</v>
      </c>
      <c r="N4" s="4" t="s">
        <v>0</v>
      </c>
      <c r="O4" s="4" t="s">
        <v>176</v>
      </c>
      <c r="P4" s="4" t="s">
        <v>411</v>
      </c>
      <c r="Q4" s="33"/>
      <c r="R4" s="4" t="s">
        <v>408</v>
      </c>
      <c r="S4" s="4" t="s">
        <v>37</v>
      </c>
      <c r="T4" s="4" t="s">
        <v>479</v>
      </c>
    </row>
    <row r="5" spans="6:20" s="4" customFormat="1" ht="12.75">
      <c r="F5" s="4" t="s">
        <v>145</v>
      </c>
      <c r="H5" s="149">
        <f>'LaborAdj%'!D26</f>
        <v>0.01519</v>
      </c>
      <c r="I5" s="4" t="s">
        <v>2</v>
      </c>
      <c r="J5" s="34">
        <f>'LaborAdj%'!D28</f>
        <v>0.038</v>
      </c>
      <c r="K5" s="4" t="s">
        <v>2</v>
      </c>
      <c r="L5" s="390">
        <f>'LaborAdj%'!D33</f>
        <v>0.01269</v>
      </c>
      <c r="M5" s="4" t="s">
        <v>2</v>
      </c>
      <c r="N5" s="53" t="s">
        <v>410</v>
      </c>
      <c r="O5" s="4" t="s">
        <v>45</v>
      </c>
      <c r="P5" s="4" t="s">
        <v>45</v>
      </c>
      <c r="Q5" s="33"/>
      <c r="R5" s="4" t="s">
        <v>345</v>
      </c>
      <c r="S5" s="4" t="s">
        <v>45</v>
      </c>
      <c r="T5" s="4" t="s">
        <v>45</v>
      </c>
    </row>
    <row r="6" spans="5:20" s="5" customFormat="1" ht="12.75">
      <c r="E6" s="6" t="s">
        <v>119</v>
      </c>
      <c r="F6" s="6" t="s">
        <v>146</v>
      </c>
      <c r="G6" s="6" t="s">
        <v>165</v>
      </c>
      <c r="H6" s="1">
        <f>'LaborAdj%'!D11</f>
        <v>0.01698</v>
      </c>
      <c r="I6" s="5" t="str">
        <f>H4</f>
        <v>2008 Increase</v>
      </c>
      <c r="J6" s="1">
        <f>'LaborAdj%'!D13</f>
        <v>0.04</v>
      </c>
      <c r="K6" s="5" t="str">
        <f>J4</f>
        <v>2009 Increase</v>
      </c>
      <c r="L6" s="391">
        <f>'LaborAdj%'!D18</f>
        <v>0.00999</v>
      </c>
      <c r="M6" s="5" t="str">
        <f>L4</f>
        <v>2010 Increase</v>
      </c>
      <c r="N6" s="5" t="s">
        <v>3</v>
      </c>
      <c r="O6" s="5" t="str">
        <f>ElWAAdj!O6</f>
        <v>2010 Exec</v>
      </c>
      <c r="P6" s="5" t="s">
        <v>163</v>
      </c>
      <c r="Q6" s="6"/>
      <c r="R6" s="5" t="s">
        <v>4</v>
      </c>
      <c r="S6" s="5" t="s">
        <v>4</v>
      </c>
      <c r="T6" s="5" t="s">
        <v>4</v>
      </c>
    </row>
    <row r="7" ht="12.75">
      <c r="C7" s="3" t="s">
        <v>48</v>
      </c>
    </row>
    <row r="8" spans="3:7" ht="12.75">
      <c r="C8" s="3" t="s">
        <v>49</v>
      </c>
      <c r="E8" s="54"/>
      <c r="F8" s="54"/>
      <c r="G8" s="54"/>
    </row>
    <row r="9" spans="2:20" ht="12.75">
      <c r="B9" s="3" t="s">
        <v>33</v>
      </c>
      <c r="C9" s="2">
        <v>500</v>
      </c>
      <c r="D9" s="2" t="s">
        <v>50</v>
      </c>
      <c r="E9" s="25">
        <f>ROUND('ElLabor$'!Q11,0)</f>
        <v>54937</v>
      </c>
      <c r="F9" s="25"/>
      <c r="G9" s="25">
        <f aca="true" t="shared" si="0" ref="G9:G18">F9+E9</f>
        <v>54937</v>
      </c>
      <c r="H9" s="27">
        <f aca="true" t="shared" si="1" ref="H9:H18">ROUND(IF($B9="a",G9*H$5,G9*H$6),0)</f>
        <v>834</v>
      </c>
      <c r="I9" s="25">
        <f aca="true" t="shared" si="2" ref="I9:I18">G9+H9</f>
        <v>55771</v>
      </c>
      <c r="J9" s="27">
        <f aca="true" t="shared" si="3" ref="J9:J18">ROUND(IF($B9="a",I9*J$5,I9*J$6),0)</f>
        <v>2119</v>
      </c>
      <c r="K9" s="25">
        <f aca="true" t="shared" si="4" ref="K9:M18">I9+J9</f>
        <v>57890</v>
      </c>
      <c r="L9" s="27">
        <f aca="true" t="shared" si="5" ref="L9:L18">ROUND(IF($B9="a",K9*L$5,K9*L$6),0)</f>
        <v>735</v>
      </c>
      <c r="M9" s="25">
        <f t="shared" si="4"/>
        <v>58625</v>
      </c>
      <c r="N9" s="25">
        <f>H9+J9+L9</f>
        <v>3688</v>
      </c>
      <c r="O9" s="25"/>
      <c r="P9" s="25">
        <f>M9+O9</f>
        <v>58625</v>
      </c>
      <c r="Q9" s="26"/>
      <c r="R9" s="25">
        <f aca="true" t="shared" si="6" ref="R9:R18">O9+F9</f>
        <v>0</v>
      </c>
      <c r="S9" s="25">
        <f aca="true" t="shared" si="7" ref="S9:S18">ROUND($S$128*E9/E$125,0)</f>
        <v>4949</v>
      </c>
      <c r="T9" s="25">
        <f>ROUND($T$128*F9/F$125,0)</f>
        <v>0</v>
      </c>
    </row>
    <row r="10" spans="3:20" ht="12.75">
      <c r="C10" s="2">
        <v>501</v>
      </c>
      <c r="D10" s="2" t="s">
        <v>51</v>
      </c>
      <c r="E10" s="25">
        <f>ROUND('ElLabor$'!Q12,0)</f>
        <v>235536</v>
      </c>
      <c r="F10" s="25"/>
      <c r="G10" s="25">
        <f t="shared" si="0"/>
        <v>235536</v>
      </c>
      <c r="H10" s="28">
        <f t="shared" si="1"/>
        <v>3999</v>
      </c>
      <c r="I10" s="25">
        <f t="shared" si="2"/>
        <v>239535</v>
      </c>
      <c r="J10" s="28">
        <f t="shared" si="3"/>
        <v>9581</v>
      </c>
      <c r="K10" s="25">
        <f t="shared" si="4"/>
        <v>249116</v>
      </c>
      <c r="L10" s="28">
        <f t="shared" si="5"/>
        <v>2489</v>
      </c>
      <c r="M10" s="25">
        <f t="shared" si="4"/>
        <v>251605</v>
      </c>
      <c r="N10" s="25">
        <f aca="true" t="shared" si="8" ref="N10:N18">H10+J10+L10</f>
        <v>16069</v>
      </c>
      <c r="O10" s="25"/>
      <c r="P10" s="25">
        <f aca="true" t="shared" si="9" ref="P10:P18">M10+O10</f>
        <v>251605</v>
      </c>
      <c r="Q10" s="26"/>
      <c r="R10" s="25">
        <f t="shared" si="6"/>
        <v>0</v>
      </c>
      <c r="S10" s="25">
        <f t="shared" si="7"/>
        <v>21218</v>
      </c>
      <c r="T10" s="25">
        <f aca="true" t="shared" si="10" ref="T10:T18">ROUND($T$128*F10/F$125,0)</f>
        <v>0</v>
      </c>
    </row>
    <row r="11" spans="3:20" ht="12.75">
      <c r="C11" s="2">
        <v>502</v>
      </c>
      <c r="D11" s="2" t="s">
        <v>52</v>
      </c>
      <c r="E11" s="25">
        <f>ROUND('ElLabor$'!Q13,0)</f>
        <v>136513</v>
      </c>
      <c r="F11" s="25"/>
      <c r="G11" s="25">
        <f t="shared" si="0"/>
        <v>136513</v>
      </c>
      <c r="H11" s="28">
        <f t="shared" si="1"/>
        <v>2318</v>
      </c>
      <c r="I11" s="25">
        <f t="shared" si="2"/>
        <v>138831</v>
      </c>
      <c r="J11" s="28">
        <f t="shared" si="3"/>
        <v>5553</v>
      </c>
      <c r="K11" s="25">
        <f t="shared" si="4"/>
        <v>144384</v>
      </c>
      <c r="L11" s="28">
        <f t="shared" si="5"/>
        <v>1442</v>
      </c>
      <c r="M11" s="25">
        <f t="shared" si="4"/>
        <v>145826</v>
      </c>
      <c r="N11" s="25">
        <f t="shared" si="8"/>
        <v>9313</v>
      </c>
      <c r="O11" s="25"/>
      <c r="P11" s="25">
        <f t="shared" si="9"/>
        <v>145826</v>
      </c>
      <c r="Q11" s="26"/>
      <c r="R11" s="25">
        <f t="shared" si="6"/>
        <v>0</v>
      </c>
      <c r="S11" s="25">
        <f t="shared" si="7"/>
        <v>12297</v>
      </c>
      <c r="T11" s="25">
        <f t="shared" si="10"/>
        <v>0</v>
      </c>
    </row>
    <row r="12" spans="3:20" ht="12.75">
      <c r="C12" s="2">
        <v>505</v>
      </c>
      <c r="D12" s="2" t="s">
        <v>53</v>
      </c>
      <c r="E12" s="25">
        <f>ROUND('ElLabor$'!Q14,0)</f>
        <v>152754</v>
      </c>
      <c r="F12" s="25"/>
      <c r="G12" s="25">
        <f t="shared" si="0"/>
        <v>152754</v>
      </c>
      <c r="H12" s="28">
        <f t="shared" si="1"/>
        <v>2594</v>
      </c>
      <c r="I12" s="25">
        <f t="shared" si="2"/>
        <v>155348</v>
      </c>
      <c r="J12" s="28">
        <f t="shared" si="3"/>
        <v>6214</v>
      </c>
      <c r="K12" s="25">
        <f t="shared" si="4"/>
        <v>161562</v>
      </c>
      <c r="L12" s="28">
        <f t="shared" si="5"/>
        <v>1614</v>
      </c>
      <c r="M12" s="25">
        <f t="shared" si="4"/>
        <v>163176</v>
      </c>
      <c r="N12" s="25">
        <f t="shared" si="8"/>
        <v>10422</v>
      </c>
      <c r="O12" s="25"/>
      <c r="P12" s="25">
        <f t="shared" si="9"/>
        <v>163176</v>
      </c>
      <c r="Q12" s="26"/>
      <c r="R12" s="25">
        <f t="shared" si="6"/>
        <v>0</v>
      </c>
      <c r="S12" s="25">
        <f t="shared" si="7"/>
        <v>13760</v>
      </c>
      <c r="T12" s="25">
        <f t="shared" si="10"/>
        <v>0</v>
      </c>
    </row>
    <row r="13" spans="3:20" ht="12.75">
      <c r="C13" s="2">
        <v>506</v>
      </c>
      <c r="D13" s="2" t="s">
        <v>54</v>
      </c>
      <c r="E13" s="25">
        <f>ROUND('ElLabor$'!Q15,0)</f>
        <v>45114</v>
      </c>
      <c r="F13" s="25"/>
      <c r="G13" s="25">
        <f t="shared" si="0"/>
        <v>45114</v>
      </c>
      <c r="H13" s="28">
        <f t="shared" si="1"/>
        <v>766</v>
      </c>
      <c r="I13" s="25">
        <f t="shared" si="2"/>
        <v>45880</v>
      </c>
      <c r="J13" s="28">
        <f t="shared" si="3"/>
        <v>1835</v>
      </c>
      <c r="K13" s="25">
        <f t="shared" si="4"/>
        <v>47715</v>
      </c>
      <c r="L13" s="28">
        <f t="shared" si="5"/>
        <v>477</v>
      </c>
      <c r="M13" s="25">
        <f t="shared" si="4"/>
        <v>48192</v>
      </c>
      <c r="N13" s="25">
        <f t="shared" si="8"/>
        <v>3078</v>
      </c>
      <c r="O13" s="25"/>
      <c r="P13" s="25">
        <f t="shared" si="9"/>
        <v>48192</v>
      </c>
      <c r="Q13" s="26"/>
      <c r="R13" s="25">
        <f t="shared" si="6"/>
        <v>0</v>
      </c>
      <c r="S13" s="25">
        <f t="shared" si="7"/>
        <v>4064</v>
      </c>
      <c r="T13" s="25">
        <f t="shared" si="10"/>
        <v>0</v>
      </c>
    </row>
    <row r="14" spans="2:20" ht="12.75">
      <c r="B14" s="3" t="s">
        <v>33</v>
      </c>
      <c r="C14" s="2">
        <v>510</v>
      </c>
      <c r="D14" s="2" t="s">
        <v>50</v>
      </c>
      <c r="E14" s="25">
        <f>ROUND('ElLabor$'!Q16,0)</f>
        <v>23643</v>
      </c>
      <c r="F14" s="25"/>
      <c r="G14" s="25">
        <f t="shared" si="0"/>
        <v>23643</v>
      </c>
      <c r="H14" s="27">
        <f t="shared" si="1"/>
        <v>359</v>
      </c>
      <c r="I14" s="25">
        <f t="shared" si="2"/>
        <v>24002</v>
      </c>
      <c r="J14" s="27">
        <f t="shared" si="3"/>
        <v>912</v>
      </c>
      <c r="K14" s="25">
        <f t="shared" si="4"/>
        <v>24914</v>
      </c>
      <c r="L14" s="27">
        <f t="shared" si="5"/>
        <v>316</v>
      </c>
      <c r="M14" s="25">
        <f t="shared" si="4"/>
        <v>25230</v>
      </c>
      <c r="N14" s="25">
        <f t="shared" si="8"/>
        <v>1587</v>
      </c>
      <c r="O14" s="25"/>
      <c r="P14" s="25">
        <f t="shared" si="9"/>
        <v>25230</v>
      </c>
      <c r="Q14" s="26"/>
      <c r="R14" s="25">
        <f t="shared" si="6"/>
        <v>0</v>
      </c>
      <c r="S14" s="25">
        <f t="shared" si="7"/>
        <v>2130</v>
      </c>
      <c r="T14" s="25">
        <f t="shared" si="10"/>
        <v>0</v>
      </c>
    </row>
    <row r="15" spans="3:20" ht="12.75">
      <c r="C15" s="2">
        <v>511</v>
      </c>
      <c r="D15" s="2" t="s">
        <v>55</v>
      </c>
      <c r="E15" s="25">
        <f>ROUND('ElLabor$'!Q17,0)</f>
        <v>1277</v>
      </c>
      <c r="F15" s="25"/>
      <c r="G15" s="25">
        <f t="shared" si="0"/>
        <v>1277</v>
      </c>
      <c r="H15" s="28">
        <f t="shared" si="1"/>
        <v>22</v>
      </c>
      <c r="I15" s="25">
        <f t="shared" si="2"/>
        <v>1299</v>
      </c>
      <c r="J15" s="28">
        <f t="shared" si="3"/>
        <v>52</v>
      </c>
      <c r="K15" s="25">
        <f t="shared" si="4"/>
        <v>1351</v>
      </c>
      <c r="L15" s="28">
        <f t="shared" si="5"/>
        <v>13</v>
      </c>
      <c r="M15" s="25">
        <f t="shared" si="4"/>
        <v>1364</v>
      </c>
      <c r="N15" s="25">
        <f t="shared" si="8"/>
        <v>87</v>
      </c>
      <c r="O15" s="25"/>
      <c r="P15" s="25">
        <f t="shared" si="9"/>
        <v>1364</v>
      </c>
      <c r="Q15" s="26"/>
      <c r="R15" s="25">
        <f t="shared" si="6"/>
        <v>0</v>
      </c>
      <c r="S15" s="25">
        <f t="shared" si="7"/>
        <v>115</v>
      </c>
      <c r="T15" s="25">
        <f t="shared" si="10"/>
        <v>0</v>
      </c>
    </row>
    <row r="16" spans="3:20" ht="12.75">
      <c r="C16" s="2">
        <v>512</v>
      </c>
      <c r="D16" s="2" t="s">
        <v>56</v>
      </c>
      <c r="E16" s="25">
        <f>ROUND('ElLabor$'!Q18,0)</f>
        <v>129716</v>
      </c>
      <c r="F16" s="25"/>
      <c r="G16" s="25">
        <f t="shared" si="0"/>
        <v>129716</v>
      </c>
      <c r="H16" s="28">
        <f t="shared" si="1"/>
        <v>2203</v>
      </c>
      <c r="I16" s="25">
        <f t="shared" si="2"/>
        <v>131919</v>
      </c>
      <c r="J16" s="28">
        <f t="shared" si="3"/>
        <v>5277</v>
      </c>
      <c r="K16" s="25">
        <f t="shared" si="4"/>
        <v>137196</v>
      </c>
      <c r="L16" s="28">
        <f t="shared" si="5"/>
        <v>1371</v>
      </c>
      <c r="M16" s="25">
        <f t="shared" si="4"/>
        <v>138567</v>
      </c>
      <c r="N16" s="25">
        <f t="shared" si="8"/>
        <v>8851</v>
      </c>
      <c r="O16" s="25"/>
      <c r="P16" s="25">
        <f t="shared" si="9"/>
        <v>138567</v>
      </c>
      <c r="Q16" s="26"/>
      <c r="R16" s="25">
        <f t="shared" si="6"/>
        <v>0</v>
      </c>
      <c r="S16" s="25">
        <f t="shared" si="7"/>
        <v>11685</v>
      </c>
      <c r="T16" s="25">
        <f t="shared" si="10"/>
        <v>0</v>
      </c>
    </row>
    <row r="17" spans="3:20" ht="12.75">
      <c r="C17" s="2">
        <v>513</v>
      </c>
      <c r="D17" s="2" t="s">
        <v>57</v>
      </c>
      <c r="E17" s="25">
        <f>ROUND('ElLabor$'!Q19,0)</f>
        <v>32673</v>
      </c>
      <c r="F17" s="25"/>
      <c r="G17" s="25">
        <f t="shared" si="0"/>
        <v>32673</v>
      </c>
      <c r="H17" s="28">
        <f t="shared" si="1"/>
        <v>555</v>
      </c>
      <c r="I17" s="25">
        <f t="shared" si="2"/>
        <v>33228</v>
      </c>
      <c r="J17" s="28">
        <f t="shared" si="3"/>
        <v>1329</v>
      </c>
      <c r="K17" s="25">
        <f t="shared" si="4"/>
        <v>34557</v>
      </c>
      <c r="L17" s="28">
        <f t="shared" si="5"/>
        <v>345</v>
      </c>
      <c r="M17" s="25">
        <f t="shared" si="4"/>
        <v>34902</v>
      </c>
      <c r="N17" s="25">
        <f t="shared" si="8"/>
        <v>2229</v>
      </c>
      <c r="O17" s="25"/>
      <c r="P17" s="25">
        <f t="shared" si="9"/>
        <v>34902</v>
      </c>
      <c r="Q17" s="26"/>
      <c r="R17" s="25">
        <f t="shared" si="6"/>
        <v>0</v>
      </c>
      <c r="S17" s="25">
        <f t="shared" si="7"/>
        <v>2943</v>
      </c>
      <c r="T17" s="25">
        <f t="shared" si="10"/>
        <v>0</v>
      </c>
    </row>
    <row r="18" spans="3:20" ht="12.75">
      <c r="C18" s="2">
        <v>514</v>
      </c>
      <c r="D18" s="2" t="s">
        <v>58</v>
      </c>
      <c r="E18" s="25">
        <f>ROUND('ElLabor$'!Q20,0)</f>
        <v>23591</v>
      </c>
      <c r="F18" s="25"/>
      <c r="G18" s="25">
        <f t="shared" si="0"/>
        <v>23591</v>
      </c>
      <c r="H18" s="28">
        <f t="shared" si="1"/>
        <v>401</v>
      </c>
      <c r="I18" s="25">
        <f t="shared" si="2"/>
        <v>23992</v>
      </c>
      <c r="J18" s="28">
        <f t="shared" si="3"/>
        <v>960</v>
      </c>
      <c r="K18" s="25">
        <f t="shared" si="4"/>
        <v>24952</v>
      </c>
      <c r="L18" s="28">
        <f t="shared" si="5"/>
        <v>249</v>
      </c>
      <c r="M18" s="25">
        <f t="shared" si="4"/>
        <v>25201</v>
      </c>
      <c r="N18" s="25">
        <f t="shared" si="8"/>
        <v>1610</v>
      </c>
      <c r="O18" s="25"/>
      <c r="P18" s="25">
        <f t="shared" si="9"/>
        <v>25201</v>
      </c>
      <c r="Q18" s="26"/>
      <c r="R18" s="25">
        <f t="shared" si="6"/>
        <v>0</v>
      </c>
      <c r="S18" s="25">
        <f t="shared" si="7"/>
        <v>2125</v>
      </c>
      <c r="T18" s="25">
        <f t="shared" si="10"/>
        <v>0</v>
      </c>
    </row>
    <row r="19" spans="3:20" ht="12.75">
      <c r="C19" s="3" t="s">
        <v>59</v>
      </c>
      <c r="E19" s="55">
        <f aca="true" t="shared" si="11" ref="E19:T19">SUM(E9:E18)</f>
        <v>835754</v>
      </c>
      <c r="F19" s="55">
        <f t="shared" si="11"/>
        <v>0</v>
      </c>
      <c r="G19" s="55">
        <f t="shared" si="11"/>
        <v>835754</v>
      </c>
      <c r="H19" s="55">
        <f t="shared" si="11"/>
        <v>14051</v>
      </c>
      <c r="I19" s="55">
        <f t="shared" si="11"/>
        <v>849805</v>
      </c>
      <c r="J19" s="55">
        <f>SUM(J9:J18)</f>
        <v>33832</v>
      </c>
      <c r="K19" s="55">
        <f>SUM(K9:K18)</f>
        <v>883637</v>
      </c>
      <c r="L19" s="55">
        <f>SUM(L9:L18)</f>
        <v>9051</v>
      </c>
      <c r="M19" s="55">
        <f>SUM(M9:M18)</f>
        <v>892688</v>
      </c>
      <c r="N19" s="55">
        <f t="shared" si="11"/>
        <v>56934</v>
      </c>
      <c r="O19" s="55">
        <f t="shared" si="11"/>
        <v>0</v>
      </c>
      <c r="P19" s="55">
        <f t="shared" si="11"/>
        <v>892688</v>
      </c>
      <c r="Q19" s="26"/>
      <c r="R19" s="55">
        <f t="shared" si="11"/>
        <v>0</v>
      </c>
      <c r="S19" s="55">
        <f t="shared" si="11"/>
        <v>75286</v>
      </c>
      <c r="T19" s="55">
        <f t="shared" si="11"/>
        <v>0</v>
      </c>
    </row>
    <row r="20" spans="5:20" ht="12.75"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5"/>
      <c r="S20" s="25"/>
      <c r="T20" s="25"/>
    </row>
    <row r="21" spans="3:20" ht="12.75">
      <c r="C21" s="3" t="s">
        <v>60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5"/>
      <c r="S21" s="25"/>
      <c r="T21" s="25"/>
    </row>
    <row r="22" spans="2:20" ht="12.75">
      <c r="B22" s="3" t="s">
        <v>33</v>
      </c>
      <c r="C22" s="2">
        <v>535</v>
      </c>
      <c r="D22" s="2" t="s">
        <v>50</v>
      </c>
      <c r="E22" s="25">
        <f>ROUND('ElLabor$'!Q24,0)</f>
        <v>345685</v>
      </c>
      <c r="F22" s="25"/>
      <c r="G22" s="25">
        <f aca="true" t="shared" si="12" ref="G22:G31">F22+E22</f>
        <v>345685</v>
      </c>
      <c r="H22" s="27">
        <f aca="true" t="shared" si="13" ref="H22:H31">ROUND(IF($B22="a",G22*H$5,G22*H$6),0)</f>
        <v>5251</v>
      </c>
      <c r="I22" s="25">
        <f aca="true" t="shared" si="14" ref="I22:I31">G22+H22</f>
        <v>350936</v>
      </c>
      <c r="J22" s="27">
        <f aca="true" t="shared" si="15" ref="J22:J31">ROUND(IF($B22="a",I22*J$5,I22*J$6),0)</f>
        <v>13336</v>
      </c>
      <c r="K22" s="25">
        <f aca="true" t="shared" si="16" ref="K22:M31">I22+J22</f>
        <v>364272</v>
      </c>
      <c r="L22" s="27">
        <f aca="true" t="shared" si="17" ref="L22:L31">ROUND(IF($B22="a",K22*L$5,K22*L$6),0)</f>
        <v>4623</v>
      </c>
      <c r="M22" s="25">
        <f t="shared" si="16"/>
        <v>368895</v>
      </c>
      <c r="N22" s="25">
        <f aca="true" t="shared" si="18" ref="N22:N31">H22+J22+L22</f>
        <v>23210</v>
      </c>
      <c r="O22" s="25"/>
      <c r="P22" s="25">
        <f aca="true" t="shared" si="19" ref="P22:P31">M22+O22</f>
        <v>368895</v>
      </c>
      <c r="Q22" s="26"/>
      <c r="R22" s="25">
        <f aca="true" t="shared" si="20" ref="R22:R31">O22+F22</f>
        <v>0</v>
      </c>
      <c r="S22" s="25">
        <f aca="true" t="shared" si="21" ref="S22:S31">ROUND($S$128*E22/E$125,0)</f>
        <v>31140</v>
      </c>
      <c r="T22" s="25">
        <f>ROUND($T$128*F22/F$125,0)</f>
        <v>0</v>
      </c>
    </row>
    <row r="23" spans="3:20" ht="12.75">
      <c r="C23" s="2">
        <v>536</v>
      </c>
      <c r="D23" s="2" t="s">
        <v>61</v>
      </c>
      <c r="E23" s="25">
        <f>ROUND('ElLabor$'!Q25,0)</f>
        <v>2735</v>
      </c>
      <c r="F23" s="25"/>
      <c r="G23" s="25">
        <f t="shared" si="12"/>
        <v>2735</v>
      </c>
      <c r="H23" s="28">
        <f t="shared" si="13"/>
        <v>46</v>
      </c>
      <c r="I23" s="25">
        <f t="shared" si="14"/>
        <v>2781</v>
      </c>
      <c r="J23" s="28">
        <f t="shared" si="15"/>
        <v>111</v>
      </c>
      <c r="K23" s="25">
        <f t="shared" si="16"/>
        <v>2892</v>
      </c>
      <c r="L23" s="28">
        <f t="shared" si="17"/>
        <v>29</v>
      </c>
      <c r="M23" s="25">
        <f t="shared" si="16"/>
        <v>2921</v>
      </c>
      <c r="N23" s="25">
        <f t="shared" si="18"/>
        <v>186</v>
      </c>
      <c r="O23" s="25"/>
      <c r="P23" s="25">
        <f t="shared" si="19"/>
        <v>2921</v>
      </c>
      <c r="Q23" s="26"/>
      <c r="R23" s="25">
        <f t="shared" si="20"/>
        <v>0</v>
      </c>
      <c r="S23" s="25">
        <f t="shared" si="21"/>
        <v>246</v>
      </c>
      <c r="T23" s="25">
        <f aca="true" t="shared" si="22" ref="T23:T31">ROUND($T$128*F23/F$125,0)</f>
        <v>0</v>
      </c>
    </row>
    <row r="24" spans="3:20" ht="12.75">
      <c r="C24" s="2">
        <v>537</v>
      </c>
      <c r="D24" s="2" t="s">
        <v>62</v>
      </c>
      <c r="E24" s="25">
        <f>ROUND('ElLabor$'!Q26,0)</f>
        <v>110642</v>
      </c>
      <c r="F24" s="25"/>
      <c r="G24" s="25">
        <f t="shared" si="12"/>
        <v>110642</v>
      </c>
      <c r="H24" s="28">
        <f t="shared" si="13"/>
        <v>1879</v>
      </c>
      <c r="I24" s="25">
        <f t="shared" si="14"/>
        <v>112521</v>
      </c>
      <c r="J24" s="28">
        <f t="shared" si="15"/>
        <v>4501</v>
      </c>
      <c r="K24" s="25">
        <f t="shared" si="16"/>
        <v>117022</v>
      </c>
      <c r="L24" s="28">
        <f t="shared" si="17"/>
        <v>1169</v>
      </c>
      <c r="M24" s="25">
        <f t="shared" si="16"/>
        <v>118191</v>
      </c>
      <c r="N24" s="25">
        <f t="shared" si="18"/>
        <v>7549</v>
      </c>
      <c r="O24" s="25"/>
      <c r="P24" s="25">
        <f t="shared" si="19"/>
        <v>118191</v>
      </c>
      <c r="Q24" s="26"/>
      <c r="R24" s="25">
        <f t="shared" si="20"/>
        <v>0</v>
      </c>
      <c r="S24" s="25">
        <f t="shared" si="21"/>
        <v>9967</v>
      </c>
      <c r="T24" s="25">
        <f t="shared" si="22"/>
        <v>0</v>
      </c>
    </row>
    <row r="25" spans="3:20" ht="12.75">
      <c r="C25" s="2">
        <v>538</v>
      </c>
      <c r="D25" s="2" t="s">
        <v>53</v>
      </c>
      <c r="E25" s="25">
        <f>ROUND('ElLabor$'!Q27,0)</f>
        <v>1125903</v>
      </c>
      <c r="F25" s="25"/>
      <c r="G25" s="25">
        <f t="shared" si="12"/>
        <v>1125903</v>
      </c>
      <c r="H25" s="28">
        <f t="shared" si="13"/>
        <v>19118</v>
      </c>
      <c r="I25" s="25">
        <f t="shared" si="14"/>
        <v>1145021</v>
      </c>
      <c r="J25" s="28">
        <f t="shared" si="15"/>
        <v>45801</v>
      </c>
      <c r="K25" s="25">
        <f t="shared" si="16"/>
        <v>1190822</v>
      </c>
      <c r="L25" s="28">
        <f t="shared" si="17"/>
        <v>11896</v>
      </c>
      <c r="M25" s="25">
        <f t="shared" si="16"/>
        <v>1202718</v>
      </c>
      <c r="N25" s="25">
        <f t="shared" si="18"/>
        <v>76815</v>
      </c>
      <c r="O25" s="25"/>
      <c r="P25" s="25">
        <f t="shared" si="19"/>
        <v>1202718</v>
      </c>
      <c r="Q25" s="26"/>
      <c r="R25" s="25">
        <f t="shared" si="20"/>
        <v>0</v>
      </c>
      <c r="S25" s="25">
        <f t="shared" si="21"/>
        <v>101424</v>
      </c>
      <c r="T25" s="25">
        <f t="shared" si="22"/>
        <v>0</v>
      </c>
    </row>
    <row r="26" spans="3:20" ht="12.75">
      <c r="C26" s="2">
        <v>539</v>
      </c>
      <c r="D26" s="2" t="s">
        <v>63</v>
      </c>
      <c r="E26" s="25">
        <f>ROUND('ElLabor$'!Q28,0)</f>
        <v>105940</v>
      </c>
      <c r="F26" s="25"/>
      <c r="G26" s="25">
        <f t="shared" si="12"/>
        <v>105940</v>
      </c>
      <c r="H26" s="28">
        <f t="shared" si="13"/>
        <v>1799</v>
      </c>
      <c r="I26" s="25">
        <f t="shared" si="14"/>
        <v>107739</v>
      </c>
      <c r="J26" s="28">
        <f t="shared" si="15"/>
        <v>4310</v>
      </c>
      <c r="K26" s="25">
        <f t="shared" si="16"/>
        <v>112049</v>
      </c>
      <c r="L26" s="28">
        <f t="shared" si="17"/>
        <v>1119</v>
      </c>
      <c r="M26" s="25">
        <f t="shared" si="16"/>
        <v>113168</v>
      </c>
      <c r="N26" s="25">
        <f t="shared" si="18"/>
        <v>7228</v>
      </c>
      <c r="O26" s="25"/>
      <c r="P26" s="25">
        <f t="shared" si="19"/>
        <v>113168</v>
      </c>
      <c r="Q26" s="26"/>
      <c r="R26" s="25">
        <f t="shared" si="20"/>
        <v>0</v>
      </c>
      <c r="S26" s="25">
        <f t="shared" si="21"/>
        <v>9543</v>
      </c>
      <c r="T26" s="25">
        <f t="shared" si="22"/>
        <v>0</v>
      </c>
    </row>
    <row r="27" spans="2:20" ht="12.75">
      <c r="B27" s="3" t="s">
        <v>33</v>
      </c>
      <c r="C27" s="2">
        <v>541</v>
      </c>
      <c r="D27" s="2" t="s">
        <v>50</v>
      </c>
      <c r="E27" s="25">
        <f>ROUND('ElLabor$'!Q29,0)</f>
        <v>50556</v>
      </c>
      <c r="F27" s="25"/>
      <c r="G27" s="25">
        <f t="shared" si="12"/>
        <v>50556</v>
      </c>
      <c r="H27" s="27">
        <f t="shared" si="13"/>
        <v>768</v>
      </c>
      <c r="I27" s="25">
        <f t="shared" si="14"/>
        <v>51324</v>
      </c>
      <c r="J27" s="27">
        <f t="shared" si="15"/>
        <v>1950</v>
      </c>
      <c r="K27" s="25">
        <f t="shared" si="16"/>
        <v>53274</v>
      </c>
      <c r="L27" s="27">
        <f t="shared" si="17"/>
        <v>676</v>
      </c>
      <c r="M27" s="25">
        <f t="shared" si="16"/>
        <v>53950</v>
      </c>
      <c r="N27" s="25">
        <f t="shared" si="18"/>
        <v>3394</v>
      </c>
      <c r="O27" s="25"/>
      <c r="P27" s="25">
        <f t="shared" si="19"/>
        <v>53950</v>
      </c>
      <c r="Q27" s="26"/>
      <c r="R27" s="25">
        <f t="shared" si="20"/>
        <v>0</v>
      </c>
      <c r="S27" s="25">
        <f t="shared" si="21"/>
        <v>4554</v>
      </c>
      <c r="T27" s="25">
        <f t="shared" si="22"/>
        <v>0</v>
      </c>
    </row>
    <row r="28" spans="3:20" ht="12.75">
      <c r="C28" s="2">
        <v>542</v>
      </c>
      <c r="D28" s="2" t="s">
        <v>55</v>
      </c>
      <c r="E28" s="25">
        <f>ROUND('ElLabor$'!Q30,0)</f>
        <v>50212</v>
      </c>
      <c r="F28" s="25"/>
      <c r="G28" s="25">
        <f t="shared" si="12"/>
        <v>50212</v>
      </c>
      <c r="H28" s="28">
        <f t="shared" si="13"/>
        <v>853</v>
      </c>
      <c r="I28" s="25">
        <f t="shared" si="14"/>
        <v>51065</v>
      </c>
      <c r="J28" s="28">
        <f t="shared" si="15"/>
        <v>2043</v>
      </c>
      <c r="K28" s="25">
        <f t="shared" si="16"/>
        <v>53108</v>
      </c>
      <c r="L28" s="28">
        <f t="shared" si="17"/>
        <v>531</v>
      </c>
      <c r="M28" s="25">
        <f t="shared" si="16"/>
        <v>53639</v>
      </c>
      <c r="N28" s="25">
        <f t="shared" si="18"/>
        <v>3427</v>
      </c>
      <c r="O28" s="25"/>
      <c r="P28" s="25">
        <f t="shared" si="19"/>
        <v>53639</v>
      </c>
      <c r="Q28" s="26"/>
      <c r="R28" s="25">
        <f t="shared" si="20"/>
        <v>0</v>
      </c>
      <c r="S28" s="25">
        <f t="shared" si="21"/>
        <v>4523</v>
      </c>
      <c r="T28" s="25">
        <f t="shared" si="22"/>
        <v>0</v>
      </c>
    </row>
    <row r="29" spans="3:20" ht="12.75">
      <c r="C29" s="2">
        <v>543</v>
      </c>
      <c r="D29" s="2" t="s">
        <v>64</v>
      </c>
      <c r="E29" s="25">
        <f>ROUND('ElLabor$'!Q31,0)</f>
        <v>139938</v>
      </c>
      <c r="F29" s="25"/>
      <c r="G29" s="25">
        <f t="shared" si="12"/>
        <v>139938</v>
      </c>
      <c r="H29" s="28">
        <f t="shared" si="13"/>
        <v>2376</v>
      </c>
      <c r="I29" s="25">
        <f t="shared" si="14"/>
        <v>142314</v>
      </c>
      <c r="J29" s="28">
        <f t="shared" si="15"/>
        <v>5693</v>
      </c>
      <c r="K29" s="25">
        <f t="shared" si="16"/>
        <v>148007</v>
      </c>
      <c r="L29" s="28">
        <f t="shared" si="17"/>
        <v>1479</v>
      </c>
      <c r="M29" s="25">
        <f t="shared" si="16"/>
        <v>149486</v>
      </c>
      <c r="N29" s="25">
        <f t="shared" si="18"/>
        <v>9548</v>
      </c>
      <c r="O29" s="25"/>
      <c r="P29" s="25">
        <f t="shared" si="19"/>
        <v>149486</v>
      </c>
      <c r="Q29" s="26"/>
      <c r="R29" s="25">
        <f t="shared" si="20"/>
        <v>0</v>
      </c>
      <c r="S29" s="25">
        <f t="shared" si="21"/>
        <v>12606</v>
      </c>
      <c r="T29" s="25">
        <f t="shared" si="22"/>
        <v>0</v>
      </c>
    </row>
    <row r="30" spans="3:20" ht="12.75">
      <c r="C30" s="2">
        <v>544</v>
      </c>
      <c r="D30" s="2" t="s">
        <v>57</v>
      </c>
      <c r="E30" s="25">
        <f>ROUND('ElLabor$'!Q32,0)</f>
        <v>399244</v>
      </c>
      <c r="F30" s="25"/>
      <c r="G30" s="25">
        <f t="shared" si="12"/>
        <v>399244</v>
      </c>
      <c r="H30" s="28">
        <f t="shared" si="13"/>
        <v>6779</v>
      </c>
      <c r="I30" s="25">
        <f t="shared" si="14"/>
        <v>406023</v>
      </c>
      <c r="J30" s="28">
        <f t="shared" si="15"/>
        <v>16241</v>
      </c>
      <c r="K30" s="25">
        <f t="shared" si="16"/>
        <v>422264</v>
      </c>
      <c r="L30" s="28">
        <f t="shared" si="17"/>
        <v>4218</v>
      </c>
      <c r="M30" s="25">
        <f t="shared" si="16"/>
        <v>426482</v>
      </c>
      <c r="N30" s="25">
        <f t="shared" si="18"/>
        <v>27238</v>
      </c>
      <c r="O30" s="25"/>
      <c r="P30" s="25">
        <f t="shared" si="19"/>
        <v>426482</v>
      </c>
      <c r="Q30" s="26"/>
      <c r="R30" s="25">
        <f t="shared" si="20"/>
        <v>0</v>
      </c>
      <c r="S30" s="25">
        <f t="shared" si="21"/>
        <v>35965</v>
      </c>
      <c r="T30" s="25">
        <f t="shared" si="22"/>
        <v>0</v>
      </c>
    </row>
    <row r="31" spans="3:20" ht="12.75">
      <c r="C31" s="2">
        <v>545</v>
      </c>
      <c r="D31" s="2" t="s">
        <v>65</v>
      </c>
      <c r="E31" s="25">
        <f>ROUND('ElLabor$'!Q33,0)</f>
        <v>44041</v>
      </c>
      <c r="F31" s="25"/>
      <c r="G31" s="25">
        <f t="shared" si="12"/>
        <v>44041</v>
      </c>
      <c r="H31" s="28">
        <f t="shared" si="13"/>
        <v>748</v>
      </c>
      <c r="I31" s="25">
        <f t="shared" si="14"/>
        <v>44789</v>
      </c>
      <c r="J31" s="28">
        <f t="shared" si="15"/>
        <v>1792</v>
      </c>
      <c r="K31" s="25">
        <f t="shared" si="16"/>
        <v>46581</v>
      </c>
      <c r="L31" s="28">
        <f t="shared" si="17"/>
        <v>465</v>
      </c>
      <c r="M31" s="25">
        <f t="shared" si="16"/>
        <v>47046</v>
      </c>
      <c r="N31" s="25">
        <f t="shared" si="18"/>
        <v>3005</v>
      </c>
      <c r="O31" s="25"/>
      <c r="P31" s="25">
        <f t="shared" si="19"/>
        <v>47046</v>
      </c>
      <c r="Q31" s="26"/>
      <c r="R31" s="25">
        <f t="shared" si="20"/>
        <v>0</v>
      </c>
      <c r="S31" s="25">
        <f t="shared" si="21"/>
        <v>3967</v>
      </c>
      <c r="T31" s="25">
        <f t="shared" si="22"/>
        <v>0</v>
      </c>
    </row>
    <row r="32" spans="3:20" ht="12.75">
      <c r="C32" s="3" t="s">
        <v>66</v>
      </c>
      <c r="E32" s="55">
        <f aca="true" t="shared" si="23" ref="E32:T32">SUM(E22:E31)</f>
        <v>2374896</v>
      </c>
      <c r="F32" s="55">
        <f t="shared" si="23"/>
        <v>0</v>
      </c>
      <c r="G32" s="55">
        <f t="shared" si="23"/>
        <v>2374896</v>
      </c>
      <c r="H32" s="55">
        <f t="shared" si="23"/>
        <v>39617</v>
      </c>
      <c r="I32" s="55">
        <f t="shared" si="23"/>
        <v>2414513</v>
      </c>
      <c r="J32" s="55">
        <f>SUM(J22:J31)</f>
        <v>95778</v>
      </c>
      <c r="K32" s="55">
        <f>SUM(K22:K31)</f>
        <v>2510291</v>
      </c>
      <c r="L32" s="55">
        <f>SUM(L22:L31)</f>
        <v>26205</v>
      </c>
      <c r="M32" s="55">
        <f>SUM(M22:M31)</f>
        <v>2536496</v>
      </c>
      <c r="N32" s="55">
        <f t="shared" si="23"/>
        <v>161600</v>
      </c>
      <c r="O32" s="55">
        <f t="shared" si="23"/>
        <v>0</v>
      </c>
      <c r="P32" s="55">
        <f t="shared" si="23"/>
        <v>2536496</v>
      </c>
      <c r="Q32" s="26"/>
      <c r="R32" s="55">
        <f t="shared" si="23"/>
        <v>0</v>
      </c>
      <c r="S32" s="55">
        <f t="shared" si="23"/>
        <v>213935</v>
      </c>
      <c r="T32" s="55">
        <f t="shared" si="23"/>
        <v>0</v>
      </c>
    </row>
    <row r="33" spans="5:20" ht="12.75"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5"/>
      <c r="S33" s="25"/>
      <c r="T33" s="25"/>
    </row>
    <row r="34" spans="3:20" ht="12.75">
      <c r="C34" s="3" t="s">
        <v>67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5"/>
      <c r="S34" s="25"/>
      <c r="T34" s="25"/>
    </row>
    <row r="35" spans="2:20" ht="12.75">
      <c r="B35" s="3" t="s">
        <v>33</v>
      </c>
      <c r="C35" s="2">
        <v>546</v>
      </c>
      <c r="D35" s="2" t="s">
        <v>50</v>
      </c>
      <c r="E35" s="25">
        <f>ROUND('ElLabor$'!Q37,0)</f>
        <v>69224</v>
      </c>
      <c r="F35" s="25"/>
      <c r="G35" s="25">
        <f aca="true" t="shared" si="24" ref="G35:G42">F35+E35</f>
        <v>69224</v>
      </c>
      <c r="H35" s="27">
        <f aca="true" t="shared" si="25" ref="H35:H42">ROUND(IF($B35="a",G35*H$5,G35*H$6),0)</f>
        <v>1052</v>
      </c>
      <c r="I35" s="25">
        <f aca="true" t="shared" si="26" ref="I35:I42">G35+H35</f>
        <v>70276</v>
      </c>
      <c r="J35" s="27">
        <f aca="true" t="shared" si="27" ref="J35:J42">ROUND(IF($B35="a",I35*J$5,I35*J$6),0)</f>
        <v>2670</v>
      </c>
      <c r="K35" s="25">
        <f aca="true" t="shared" si="28" ref="K35:M42">I35+J35</f>
        <v>72946</v>
      </c>
      <c r="L35" s="27">
        <f aca="true" t="shared" si="29" ref="L35:L42">ROUND(IF($B35="a",K35*L$5,K35*L$6),0)</f>
        <v>926</v>
      </c>
      <c r="M35" s="25">
        <f t="shared" si="28"/>
        <v>73872</v>
      </c>
      <c r="N35" s="25">
        <f aca="true" t="shared" si="30" ref="N35:N42">H35+J35+L35</f>
        <v>4648</v>
      </c>
      <c r="O35" s="25"/>
      <c r="P35" s="25">
        <f aca="true" t="shared" si="31" ref="P35:P42">M35+O35</f>
        <v>73872</v>
      </c>
      <c r="Q35" s="26"/>
      <c r="R35" s="25">
        <f aca="true" t="shared" si="32" ref="R35:R42">O35+F35</f>
        <v>0</v>
      </c>
      <c r="S35" s="25">
        <f aca="true" t="shared" si="33" ref="S35:S42">ROUND($S$128*E35/E$125,0)</f>
        <v>6236</v>
      </c>
      <c r="T35" s="25">
        <f>ROUND($T$128*F35/F$125,0)</f>
        <v>0</v>
      </c>
    </row>
    <row r="36" spans="3:20" ht="12.75">
      <c r="C36" s="2">
        <v>547</v>
      </c>
      <c r="D36" s="2" t="s">
        <v>51</v>
      </c>
      <c r="E36" s="25">
        <f>ROUND('ElLabor$'!Q38,0)</f>
        <v>0</v>
      </c>
      <c r="F36" s="25"/>
      <c r="G36" s="25">
        <f t="shared" si="24"/>
        <v>0</v>
      </c>
      <c r="H36" s="28">
        <f t="shared" si="25"/>
        <v>0</v>
      </c>
      <c r="I36" s="25">
        <f t="shared" si="26"/>
        <v>0</v>
      </c>
      <c r="J36" s="28">
        <f t="shared" si="27"/>
        <v>0</v>
      </c>
      <c r="K36" s="25">
        <f t="shared" si="28"/>
        <v>0</v>
      </c>
      <c r="L36" s="28">
        <f t="shared" si="29"/>
        <v>0</v>
      </c>
      <c r="M36" s="25">
        <f t="shared" si="28"/>
        <v>0</v>
      </c>
      <c r="N36" s="25">
        <f t="shared" si="30"/>
        <v>0</v>
      </c>
      <c r="O36" s="25"/>
      <c r="P36" s="25">
        <f t="shared" si="31"/>
        <v>0</v>
      </c>
      <c r="Q36" s="26"/>
      <c r="R36" s="25">
        <f t="shared" si="32"/>
        <v>0</v>
      </c>
      <c r="S36" s="25">
        <f t="shared" si="33"/>
        <v>0</v>
      </c>
      <c r="T36" s="25">
        <f aca="true" t="shared" si="34" ref="T36:T42">ROUND($T$128*F36/F$125,0)</f>
        <v>0</v>
      </c>
    </row>
    <row r="37" spans="3:20" ht="12.75">
      <c r="C37" s="2">
        <v>548</v>
      </c>
      <c r="D37" s="2" t="s">
        <v>68</v>
      </c>
      <c r="E37" s="25">
        <f>ROUND('ElLabor$'!Q39,0)</f>
        <v>69511</v>
      </c>
      <c r="F37" s="25"/>
      <c r="G37" s="25">
        <f t="shared" si="24"/>
        <v>69511</v>
      </c>
      <c r="H37" s="28">
        <f t="shared" si="25"/>
        <v>1180</v>
      </c>
      <c r="I37" s="25">
        <f t="shared" si="26"/>
        <v>70691</v>
      </c>
      <c r="J37" s="28">
        <f t="shared" si="27"/>
        <v>2828</v>
      </c>
      <c r="K37" s="25">
        <f t="shared" si="28"/>
        <v>73519</v>
      </c>
      <c r="L37" s="28">
        <f t="shared" si="29"/>
        <v>734</v>
      </c>
      <c r="M37" s="25">
        <f t="shared" si="28"/>
        <v>74253</v>
      </c>
      <c r="N37" s="25">
        <f t="shared" si="30"/>
        <v>4742</v>
      </c>
      <c r="O37" s="25"/>
      <c r="P37" s="25">
        <f t="shared" si="31"/>
        <v>74253</v>
      </c>
      <c r="Q37" s="26"/>
      <c r="R37" s="25">
        <f t="shared" si="32"/>
        <v>0</v>
      </c>
      <c r="S37" s="25">
        <f t="shared" si="33"/>
        <v>6262</v>
      </c>
      <c r="T37" s="25">
        <f t="shared" si="34"/>
        <v>0</v>
      </c>
    </row>
    <row r="38" spans="3:20" ht="12.75">
      <c r="C38" s="2">
        <v>549</v>
      </c>
      <c r="D38" s="2" t="s">
        <v>69</v>
      </c>
      <c r="E38" s="25">
        <f>ROUND('ElLabor$'!Q40,0)</f>
        <v>41371</v>
      </c>
      <c r="F38" s="25"/>
      <c r="G38" s="25">
        <f t="shared" si="24"/>
        <v>41371</v>
      </c>
      <c r="H38" s="28">
        <f t="shared" si="25"/>
        <v>702</v>
      </c>
      <c r="I38" s="25">
        <f t="shared" si="26"/>
        <v>42073</v>
      </c>
      <c r="J38" s="28">
        <f t="shared" si="27"/>
        <v>1683</v>
      </c>
      <c r="K38" s="25">
        <f t="shared" si="28"/>
        <v>43756</v>
      </c>
      <c r="L38" s="28">
        <f t="shared" si="29"/>
        <v>437</v>
      </c>
      <c r="M38" s="25">
        <f t="shared" si="28"/>
        <v>44193</v>
      </c>
      <c r="N38" s="25">
        <f t="shared" si="30"/>
        <v>2822</v>
      </c>
      <c r="O38" s="25"/>
      <c r="P38" s="25">
        <f t="shared" si="31"/>
        <v>44193</v>
      </c>
      <c r="Q38" s="26"/>
      <c r="R38" s="25">
        <f t="shared" si="32"/>
        <v>0</v>
      </c>
      <c r="S38" s="25">
        <f t="shared" si="33"/>
        <v>3727</v>
      </c>
      <c r="T38" s="25">
        <f t="shared" si="34"/>
        <v>0</v>
      </c>
    </row>
    <row r="39" spans="2:20" ht="12.75">
      <c r="B39" s="3" t="s">
        <v>33</v>
      </c>
      <c r="C39" s="2">
        <v>551</v>
      </c>
      <c r="D39" s="2" t="s">
        <v>50</v>
      </c>
      <c r="E39" s="25">
        <f>ROUND('ElLabor$'!Q41,0)</f>
        <v>32071</v>
      </c>
      <c r="F39" s="25"/>
      <c r="G39" s="25">
        <f t="shared" si="24"/>
        <v>32071</v>
      </c>
      <c r="H39" s="27">
        <f t="shared" si="25"/>
        <v>487</v>
      </c>
      <c r="I39" s="25">
        <f t="shared" si="26"/>
        <v>32558</v>
      </c>
      <c r="J39" s="27">
        <f t="shared" si="27"/>
        <v>1237</v>
      </c>
      <c r="K39" s="25">
        <f t="shared" si="28"/>
        <v>33795</v>
      </c>
      <c r="L39" s="27">
        <f t="shared" si="29"/>
        <v>429</v>
      </c>
      <c r="M39" s="25">
        <f t="shared" si="28"/>
        <v>34224</v>
      </c>
      <c r="N39" s="25">
        <f t="shared" si="30"/>
        <v>2153</v>
      </c>
      <c r="O39" s="25"/>
      <c r="P39" s="25">
        <f t="shared" si="31"/>
        <v>34224</v>
      </c>
      <c r="Q39" s="26"/>
      <c r="R39" s="25">
        <f t="shared" si="32"/>
        <v>0</v>
      </c>
      <c r="S39" s="25">
        <f t="shared" si="33"/>
        <v>2889</v>
      </c>
      <c r="T39" s="25">
        <f t="shared" si="34"/>
        <v>0</v>
      </c>
    </row>
    <row r="40" spans="3:20" ht="12.75">
      <c r="C40" s="2">
        <v>552</v>
      </c>
      <c r="D40" s="2" t="s">
        <v>55</v>
      </c>
      <c r="E40" s="25">
        <f>ROUND('ElLabor$'!Q42,0)</f>
        <v>634</v>
      </c>
      <c r="F40" s="25"/>
      <c r="G40" s="25">
        <f t="shared" si="24"/>
        <v>634</v>
      </c>
      <c r="H40" s="28">
        <f t="shared" si="25"/>
        <v>11</v>
      </c>
      <c r="I40" s="25">
        <f t="shared" si="26"/>
        <v>645</v>
      </c>
      <c r="J40" s="28">
        <f t="shared" si="27"/>
        <v>26</v>
      </c>
      <c r="K40" s="25">
        <f t="shared" si="28"/>
        <v>671</v>
      </c>
      <c r="L40" s="28">
        <f t="shared" si="29"/>
        <v>7</v>
      </c>
      <c r="M40" s="25">
        <f t="shared" si="28"/>
        <v>678</v>
      </c>
      <c r="N40" s="25">
        <f t="shared" si="30"/>
        <v>44</v>
      </c>
      <c r="O40" s="25"/>
      <c r="P40" s="25">
        <f t="shared" si="31"/>
        <v>678</v>
      </c>
      <c r="Q40" s="26"/>
      <c r="R40" s="25">
        <f t="shared" si="32"/>
        <v>0</v>
      </c>
      <c r="S40" s="25">
        <f t="shared" si="33"/>
        <v>57</v>
      </c>
      <c r="T40" s="25">
        <f t="shared" si="34"/>
        <v>0</v>
      </c>
    </row>
    <row r="41" spans="3:20" ht="12.75">
      <c r="C41" s="2">
        <v>553</v>
      </c>
      <c r="D41" s="2" t="s">
        <v>70</v>
      </c>
      <c r="E41" s="25">
        <f>ROUND('ElLabor$'!Q43,0)</f>
        <v>56982</v>
      </c>
      <c r="F41" s="25"/>
      <c r="G41" s="25">
        <f t="shared" si="24"/>
        <v>56982</v>
      </c>
      <c r="H41" s="28">
        <f t="shared" si="25"/>
        <v>968</v>
      </c>
      <c r="I41" s="25">
        <f t="shared" si="26"/>
        <v>57950</v>
      </c>
      <c r="J41" s="28">
        <f t="shared" si="27"/>
        <v>2318</v>
      </c>
      <c r="K41" s="25">
        <f t="shared" si="28"/>
        <v>60268</v>
      </c>
      <c r="L41" s="28">
        <f t="shared" si="29"/>
        <v>602</v>
      </c>
      <c r="M41" s="25">
        <f t="shared" si="28"/>
        <v>60870</v>
      </c>
      <c r="N41" s="25">
        <f t="shared" si="30"/>
        <v>3888</v>
      </c>
      <c r="O41" s="25"/>
      <c r="P41" s="25">
        <f t="shared" si="31"/>
        <v>60870</v>
      </c>
      <c r="Q41" s="26"/>
      <c r="R41" s="25">
        <f t="shared" si="32"/>
        <v>0</v>
      </c>
      <c r="S41" s="25">
        <f t="shared" si="33"/>
        <v>5133</v>
      </c>
      <c r="T41" s="25">
        <f t="shared" si="34"/>
        <v>0</v>
      </c>
    </row>
    <row r="42" spans="3:20" ht="12.75">
      <c r="C42" s="2">
        <v>554</v>
      </c>
      <c r="D42" s="2" t="s">
        <v>71</v>
      </c>
      <c r="E42" s="25">
        <f>ROUND('ElLabor$'!Q44,0)</f>
        <v>23961</v>
      </c>
      <c r="F42" s="25"/>
      <c r="G42" s="25">
        <f t="shared" si="24"/>
        <v>23961</v>
      </c>
      <c r="H42" s="28">
        <f t="shared" si="25"/>
        <v>407</v>
      </c>
      <c r="I42" s="25">
        <f t="shared" si="26"/>
        <v>24368</v>
      </c>
      <c r="J42" s="28">
        <f t="shared" si="27"/>
        <v>975</v>
      </c>
      <c r="K42" s="25">
        <f t="shared" si="28"/>
        <v>25343</v>
      </c>
      <c r="L42" s="28">
        <f t="shared" si="29"/>
        <v>253</v>
      </c>
      <c r="M42" s="25">
        <f t="shared" si="28"/>
        <v>25596</v>
      </c>
      <c r="N42" s="25">
        <f t="shared" si="30"/>
        <v>1635</v>
      </c>
      <c r="O42" s="25"/>
      <c r="P42" s="25">
        <f t="shared" si="31"/>
        <v>25596</v>
      </c>
      <c r="Q42" s="26"/>
      <c r="R42" s="25">
        <f t="shared" si="32"/>
        <v>0</v>
      </c>
      <c r="S42" s="25">
        <f t="shared" si="33"/>
        <v>2158</v>
      </c>
      <c r="T42" s="25">
        <f t="shared" si="34"/>
        <v>0</v>
      </c>
    </row>
    <row r="43" spans="3:20" ht="12.75">
      <c r="C43" s="3" t="s">
        <v>72</v>
      </c>
      <c r="E43" s="55">
        <f aca="true" t="shared" si="35" ref="E43:T43">SUM(E35:E42)</f>
        <v>293754</v>
      </c>
      <c r="F43" s="55">
        <f t="shared" si="35"/>
        <v>0</v>
      </c>
      <c r="G43" s="55">
        <f t="shared" si="35"/>
        <v>293754</v>
      </c>
      <c r="H43" s="55">
        <f t="shared" si="35"/>
        <v>4807</v>
      </c>
      <c r="I43" s="55">
        <f t="shared" si="35"/>
        <v>298561</v>
      </c>
      <c r="J43" s="55">
        <f>SUM(J35:J42)</f>
        <v>11737</v>
      </c>
      <c r="K43" s="55">
        <f>SUM(K35:K42)</f>
        <v>310298</v>
      </c>
      <c r="L43" s="55">
        <f>SUM(L35:L42)</f>
        <v>3388</v>
      </c>
      <c r="M43" s="55">
        <f>SUM(M35:M42)</f>
        <v>313686</v>
      </c>
      <c r="N43" s="55">
        <f t="shared" si="35"/>
        <v>19932</v>
      </c>
      <c r="O43" s="55">
        <f t="shared" si="35"/>
        <v>0</v>
      </c>
      <c r="P43" s="55">
        <f t="shared" si="35"/>
        <v>313686</v>
      </c>
      <c r="Q43" s="26"/>
      <c r="R43" s="55">
        <f t="shared" si="35"/>
        <v>0</v>
      </c>
      <c r="S43" s="55">
        <f t="shared" si="35"/>
        <v>26462</v>
      </c>
      <c r="T43" s="55">
        <f t="shared" si="35"/>
        <v>0</v>
      </c>
    </row>
    <row r="44" spans="5:20" ht="12.7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R44" s="25"/>
      <c r="S44" s="25"/>
      <c r="T44" s="25"/>
    </row>
    <row r="45" spans="3:20" ht="12.75">
      <c r="C45" s="3" t="s">
        <v>73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5"/>
      <c r="S45" s="25"/>
      <c r="T45" s="25"/>
    </row>
    <row r="46" spans="2:20" ht="12.75">
      <c r="B46" s="3" t="s">
        <v>33</v>
      </c>
      <c r="C46" s="2">
        <v>556</v>
      </c>
      <c r="D46" s="2" t="s">
        <v>74</v>
      </c>
      <c r="E46" s="25">
        <f>ROUND('ElLabor$'!Q48,0)</f>
        <v>88259</v>
      </c>
      <c r="F46" s="25"/>
      <c r="G46" s="25">
        <f>F46+E46</f>
        <v>88259</v>
      </c>
      <c r="H46" s="27">
        <f>ROUND(IF($B46="a",G46*H$5,G46*H$6),0)</f>
        <v>1341</v>
      </c>
      <c r="I46" s="25">
        <f>G46+H46</f>
        <v>89600</v>
      </c>
      <c r="J46" s="27">
        <f>ROUND(IF($B46="a",I46*J$5,I46*J$6),0)</f>
        <v>3405</v>
      </c>
      <c r="K46" s="25">
        <f>I46+J46</f>
        <v>93005</v>
      </c>
      <c r="L46" s="27">
        <f>ROUND(IF($B46="a",K46*L$5,K46*L$6),0)</f>
        <v>1180</v>
      </c>
      <c r="M46" s="25">
        <f>K46+L46</f>
        <v>94185</v>
      </c>
      <c r="N46" s="25">
        <f>H46+J46+L46</f>
        <v>5926</v>
      </c>
      <c r="O46" s="25"/>
      <c r="P46" s="25">
        <f>M46+O46</f>
        <v>94185</v>
      </c>
      <c r="Q46" s="26"/>
      <c r="R46" s="25">
        <f>O46+F46</f>
        <v>0</v>
      </c>
      <c r="S46" s="25">
        <f>ROUND($S$128*E46/E$125,0)</f>
        <v>7951</v>
      </c>
      <c r="T46" s="25">
        <f>ROUND($T$128*F46/F$125,0)</f>
        <v>0</v>
      </c>
    </row>
    <row r="47" spans="2:20" ht="12.75">
      <c r="B47" s="3" t="s">
        <v>33</v>
      </c>
      <c r="C47" s="2">
        <v>557</v>
      </c>
      <c r="D47" s="2" t="s">
        <v>75</v>
      </c>
      <c r="E47" s="25">
        <f>ROUND('ElLabor$'!Q49,0)</f>
        <v>1010931</v>
      </c>
      <c r="F47" s="25">
        <f>-RemoveExec!G16</f>
        <v>-48468</v>
      </c>
      <c r="G47" s="25">
        <f>F47+E47</f>
        <v>962463</v>
      </c>
      <c r="H47" s="27">
        <f>ROUND(IF($B47="a",G47*H$5,G47*H$6),0)</f>
        <v>14620</v>
      </c>
      <c r="I47" s="25">
        <f>G47+H47</f>
        <v>977083</v>
      </c>
      <c r="J47" s="27">
        <f>ROUND(IF($B47="a",I47*J$5,I47*J$6),0)</f>
        <v>37129</v>
      </c>
      <c r="K47" s="25">
        <f>I47+J47</f>
        <v>1014212</v>
      </c>
      <c r="L47" s="27">
        <f>ROUND(IF($B47="a",K47*L$5,K47*L$6),0)</f>
        <v>12870</v>
      </c>
      <c r="M47" s="25">
        <f>K47+L47</f>
        <v>1027082</v>
      </c>
      <c r="N47" s="25">
        <f>H47+J47+L47</f>
        <v>64619</v>
      </c>
      <c r="O47" s="25">
        <f>'Pro Forma Spread'!H36</f>
        <v>53593</v>
      </c>
      <c r="P47" s="25">
        <f>M47+O47</f>
        <v>1080675</v>
      </c>
      <c r="Q47" s="26"/>
      <c r="R47" s="25">
        <f>O47+F47</f>
        <v>5125</v>
      </c>
      <c r="S47" s="25">
        <f>ROUND($S$128*E47/E$125,0)</f>
        <v>91067</v>
      </c>
      <c r="T47" s="25">
        <f>ROUND($T$128*F47/F$125,0)</f>
        <v>34436</v>
      </c>
    </row>
    <row r="48" spans="3:20" ht="12.75">
      <c r="C48" s="3" t="s">
        <v>76</v>
      </c>
      <c r="E48" s="55">
        <f aca="true" t="shared" si="36" ref="E48:T48">SUM(E46:E47)</f>
        <v>1099190</v>
      </c>
      <c r="F48" s="55">
        <f t="shared" si="36"/>
        <v>-48468</v>
      </c>
      <c r="G48" s="55">
        <f t="shared" si="36"/>
        <v>1050722</v>
      </c>
      <c r="H48" s="55">
        <f t="shared" si="36"/>
        <v>15961</v>
      </c>
      <c r="I48" s="55">
        <f t="shared" si="36"/>
        <v>1066683</v>
      </c>
      <c r="J48" s="55">
        <f>SUM(J46:J47)</f>
        <v>40534</v>
      </c>
      <c r="K48" s="55">
        <f>SUM(K46:K47)</f>
        <v>1107217</v>
      </c>
      <c r="L48" s="55">
        <f>SUM(L46:L47)</f>
        <v>14050</v>
      </c>
      <c r="M48" s="55">
        <f>SUM(M46:M47)</f>
        <v>1121267</v>
      </c>
      <c r="N48" s="55">
        <f t="shared" si="36"/>
        <v>70545</v>
      </c>
      <c r="O48" s="55">
        <f t="shared" si="36"/>
        <v>53593</v>
      </c>
      <c r="P48" s="55">
        <f t="shared" si="36"/>
        <v>1174860</v>
      </c>
      <c r="Q48" s="26"/>
      <c r="R48" s="55">
        <f t="shared" si="36"/>
        <v>5125</v>
      </c>
      <c r="S48" s="55">
        <f t="shared" si="36"/>
        <v>99018</v>
      </c>
      <c r="T48" s="55">
        <f t="shared" si="36"/>
        <v>34436</v>
      </c>
    </row>
    <row r="49" spans="5:20" ht="12.75"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5"/>
      <c r="S49" s="25"/>
      <c r="T49" s="25"/>
    </row>
    <row r="50" spans="3:20" ht="12.75">
      <c r="C50" s="3" t="s">
        <v>39</v>
      </c>
      <c r="E50" s="55">
        <f aca="true" t="shared" si="37" ref="E50:N50">E19+E32+E43+E48</f>
        <v>4603594</v>
      </c>
      <c r="F50" s="55">
        <f t="shared" si="37"/>
        <v>-48468</v>
      </c>
      <c r="G50" s="55">
        <f t="shared" si="37"/>
        <v>4555126</v>
      </c>
      <c r="H50" s="55">
        <f t="shared" si="37"/>
        <v>74436</v>
      </c>
      <c r="I50" s="55">
        <f t="shared" si="37"/>
        <v>4629562</v>
      </c>
      <c r="J50" s="55">
        <f>J19+J32+J43+J48</f>
        <v>181881</v>
      </c>
      <c r="K50" s="55">
        <f>K19+K32+K43+K48</f>
        <v>4811443</v>
      </c>
      <c r="L50" s="55">
        <f>L19+L32+L43+L48</f>
        <v>52694</v>
      </c>
      <c r="M50" s="55">
        <f>M19+M32+M43+M48</f>
        <v>4864137</v>
      </c>
      <c r="N50" s="55">
        <f t="shared" si="37"/>
        <v>309011</v>
      </c>
      <c r="O50" s="55">
        <f>O19+O32+O43+O48</f>
        <v>53593</v>
      </c>
      <c r="P50" s="55">
        <f>P19+P32+P43+P48</f>
        <v>4917730</v>
      </c>
      <c r="Q50" s="26"/>
      <c r="R50" s="55">
        <f>R19+R32+R43+R48</f>
        <v>5125</v>
      </c>
      <c r="S50" s="285">
        <f>S19+S32+S43+S48</f>
        <v>414701</v>
      </c>
      <c r="T50" s="285">
        <f>T19+T32+T43+T48</f>
        <v>34436</v>
      </c>
    </row>
    <row r="51" spans="5:20" ht="12.75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5"/>
      <c r="S51" s="25"/>
      <c r="T51" s="25"/>
    </row>
    <row r="52" spans="3:20" ht="12.75">
      <c r="C52" s="3" t="s">
        <v>5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5"/>
      <c r="S52" s="25"/>
      <c r="T52" s="25"/>
    </row>
    <row r="53" spans="2:20" ht="12.75">
      <c r="B53" s="3" t="s">
        <v>33</v>
      </c>
      <c r="C53" s="2">
        <v>560</v>
      </c>
      <c r="D53" s="2" t="s">
        <v>50</v>
      </c>
      <c r="E53" s="25">
        <f>ROUND('ElLabor$'!Q55,0)</f>
        <v>399136</v>
      </c>
      <c r="F53" s="25"/>
      <c r="G53" s="25">
        <f aca="true" t="shared" si="38" ref="G53:G65">F53+E53</f>
        <v>399136</v>
      </c>
      <c r="H53" s="27">
        <f aca="true" t="shared" si="39" ref="H53:H65">ROUND(IF($B53="a",G53*H$5,G53*H$6),0)</f>
        <v>6063</v>
      </c>
      <c r="I53" s="25">
        <f aca="true" t="shared" si="40" ref="I53:I65">G53+H53</f>
        <v>405199</v>
      </c>
      <c r="J53" s="27">
        <f aca="true" t="shared" si="41" ref="J53:J65">ROUND(IF($B53="a",I53*J$5,I53*J$6),0)</f>
        <v>15398</v>
      </c>
      <c r="K53" s="25">
        <f aca="true" t="shared" si="42" ref="K53:M65">I53+J53</f>
        <v>420597</v>
      </c>
      <c r="L53" s="27">
        <f aca="true" t="shared" si="43" ref="L53:L65">ROUND(IF($B53="a",K53*L$5,K53*L$6),0)</f>
        <v>5337</v>
      </c>
      <c r="M53" s="25">
        <f t="shared" si="42"/>
        <v>425934</v>
      </c>
      <c r="N53" s="25">
        <f aca="true" t="shared" si="44" ref="N53:N65">H53+J53+L53</f>
        <v>26798</v>
      </c>
      <c r="O53" s="25"/>
      <c r="P53" s="25">
        <f aca="true" t="shared" si="45" ref="P53:P65">M53+O53</f>
        <v>425934</v>
      </c>
      <c r="Q53" s="26"/>
      <c r="R53" s="25">
        <f aca="true" t="shared" si="46" ref="R53:R65">O53+F53</f>
        <v>0</v>
      </c>
      <c r="S53" s="25">
        <f>ROUND($S$128*E53/E$125,0)</f>
        <v>35955</v>
      </c>
      <c r="T53" s="25">
        <f aca="true" t="shared" si="47" ref="T53:T65">ROUND($S$128*F53/F$125,0)</f>
        <v>0</v>
      </c>
    </row>
    <row r="54" spans="2:20" ht="12.75">
      <c r="B54" s="3" t="s">
        <v>33</v>
      </c>
      <c r="C54" s="2">
        <v>561</v>
      </c>
      <c r="D54" s="2" t="s">
        <v>77</v>
      </c>
      <c r="E54" s="25">
        <f>ROUND('ElLabor$'!Q56,0)</f>
        <v>445886</v>
      </c>
      <c r="F54" s="25"/>
      <c r="G54" s="25">
        <f t="shared" si="38"/>
        <v>445886</v>
      </c>
      <c r="H54" s="27">
        <f t="shared" si="39"/>
        <v>6773</v>
      </c>
      <c r="I54" s="25">
        <f t="shared" si="40"/>
        <v>452659</v>
      </c>
      <c r="J54" s="27">
        <f t="shared" si="41"/>
        <v>17201</v>
      </c>
      <c r="K54" s="25">
        <f t="shared" si="42"/>
        <v>469860</v>
      </c>
      <c r="L54" s="27">
        <f t="shared" si="43"/>
        <v>5963</v>
      </c>
      <c r="M54" s="25">
        <f t="shared" si="42"/>
        <v>475823</v>
      </c>
      <c r="N54" s="25">
        <f t="shared" si="44"/>
        <v>29937</v>
      </c>
      <c r="O54" s="25"/>
      <c r="P54" s="25">
        <f t="shared" si="45"/>
        <v>475823</v>
      </c>
      <c r="Q54" s="26"/>
      <c r="R54" s="25">
        <f t="shared" si="46"/>
        <v>0</v>
      </c>
      <c r="S54" s="25">
        <f aca="true" t="shared" si="48" ref="S54:S65">ROUND($S$128*E54/E$125,0)</f>
        <v>40167</v>
      </c>
      <c r="T54" s="25">
        <f t="shared" si="47"/>
        <v>0</v>
      </c>
    </row>
    <row r="55" spans="3:20" ht="12.75">
      <c r="C55" s="2">
        <v>562</v>
      </c>
      <c r="D55" s="2" t="s">
        <v>78</v>
      </c>
      <c r="E55" s="25">
        <f>ROUND('ElLabor$'!Q57,0)</f>
        <v>33985</v>
      </c>
      <c r="F55" s="25"/>
      <c r="G55" s="25">
        <f t="shared" si="38"/>
        <v>33985</v>
      </c>
      <c r="H55" s="28">
        <f t="shared" si="39"/>
        <v>577</v>
      </c>
      <c r="I55" s="25">
        <f t="shared" si="40"/>
        <v>34562</v>
      </c>
      <c r="J55" s="28">
        <f t="shared" si="41"/>
        <v>1382</v>
      </c>
      <c r="K55" s="25">
        <f t="shared" si="42"/>
        <v>35944</v>
      </c>
      <c r="L55" s="28">
        <f t="shared" si="43"/>
        <v>359</v>
      </c>
      <c r="M55" s="25">
        <f t="shared" si="42"/>
        <v>36303</v>
      </c>
      <c r="N55" s="25">
        <f t="shared" si="44"/>
        <v>2318</v>
      </c>
      <c r="O55" s="25"/>
      <c r="P55" s="25">
        <f t="shared" si="45"/>
        <v>36303</v>
      </c>
      <c r="Q55" s="26"/>
      <c r="R55" s="25">
        <f t="shared" si="46"/>
        <v>0</v>
      </c>
      <c r="S55" s="25">
        <f t="shared" si="48"/>
        <v>3061</v>
      </c>
      <c r="T55" s="25">
        <f t="shared" si="47"/>
        <v>0</v>
      </c>
    </row>
    <row r="56" spans="3:20" ht="12.75">
      <c r="C56" s="2">
        <v>563</v>
      </c>
      <c r="D56" s="2" t="s">
        <v>79</v>
      </c>
      <c r="E56" s="25">
        <f>ROUND('ElLabor$'!Q58,0)</f>
        <v>34293</v>
      </c>
      <c r="F56" s="25"/>
      <c r="G56" s="25">
        <f t="shared" si="38"/>
        <v>34293</v>
      </c>
      <c r="H56" s="28">
        <f t="shared" si="39"/>
        <v>582</v>
      </c>
      <c r="I56" s="25">
        <f t="shared" si="40"/>
        <v>34875</v>
      </c>
      <c r="J56" s="28">
        <f t="shared" si="41"/>
        <v>1395</v>
      </c>
      <c r="K56" s="25">
        <f t="shared" si="42"/>
        <v>36270</v>
      </c>
      <c r="L56" s="28">
        <f t="shared" si="43"/>
        <v>362</v>
      </c>
      <c r="M56" s="25">
        <f t="shared" si="42"/>
        <v>36632</v>
      </c>
      <c r="N56" s="25">
        <f t="shared" si="44"/>
        <v>2339</v>
      </c>
      <c r="O56" s="25"/>
      <c r="P56" s="25">
        <f t="shared" si="45"/>
        <v>36632</v>
      </c>
      <c r="Q56" s="26"/>
      <c r="R56" s="25">
        <f t="shared" si="46"/>
        <v>0</v>
      </c>
      <c r="S56" s="25">
        <f t="shared" si="48"/>
        <v>3089</v>
      </c>
      <c r="T56" s="25">
        <f t="shared" si="47"/>
        <v>0</v>
      </c>
    </row>
    <row r="57" spans="3:20" ht="12.75">
      <c r="C57" s="2">
        <v>564</v>
      </c>
      <c r="D57" s="2" t="s">
        <v>80</v>
      </c>
      <c r="E57" s="25">
        <f>ROUND('ElLabor$'!Q59,0)</f>
        <v>0</v>
      </c>
      <c r="F57" s="25"/>
      <c r="G57" s="25">
        <f t="shared" si="38"/>
        <v>0</v>
      </c>
      <c r="H57" s="28">
        <f t="shared" si="39"/>
        <v>0</v>
      </c>
      <c r="I57" s="25">
        <f t="shared" si="40"/>
        <v>0</v>
      </c>
      <c r="J57" s="28">
        <f t="shared" si="41"/>
        <v>0</v>
      </c>
      <c r="K57" s="25">
        <f t="shared" si="42"/>
        <v>0</v>
      </c>
      <c r="L57" s="28">
        <f t="shared" si="43"/>
        <v>0</v>
      </c>
      <c r="M57" s="25">
        <f t="shared" si="42"/>
        <v>0</v>
      </c>
      <c r="N57" s="25">
        <f t="shared" si="44"/>
        <v>0</v>
      </c>
      <c r="O57" s="25"/>
      <c r="P57" s="25">
        <f t="shared" si="45"/>
        <v>0</v>
      </c>
      <c r="Q57" s="26"/>
      <c r="R57" s="25">
        <f t="shared" si="46"/>
        <v>0</v>
      </c>
      <c r="S57" s="25">
        <f t="shared" si="48"/>
        <v>0</v>
      </c>
      <c r="T57" s="25">
        <f t="shared" si="47"/>
        <v>0</v>
      </c>
    </row>
    <row r="58" spans="3:20" ht="12.75">
      <c r="C58" s="2">
        <v>566</v>
      </c>
      <c r="D58" s="2" t="s">
        <v>81</v>
      </c>
      <c r="E58" s="25">
        <f>ROUND('ElLabor$'!Q60,0)</f>
        <v>95272</v>
      </c>
      <c r="F58" s="25"/>
      <c r="G58" s="25">
        <f t="shared" si="38"/>
        <v>95272</v>
      </c>
      <c r="H58" s="28">
        <f t="shared" si="39"/>
        <v>1618</v>
      </c>
      <c r="I58" s="25">
        <f t="shared" si="40"/>
        <v>96890</v>
      </c>
      <c r="J58" s="28">
        <f t="shared" si="41"/>
        <v>3876</v>
      </c>
      <c r="K58" s="25">
        <f t="shared" si="42"/>
        <v>100766</v>
      </c>
      <c r="L58" s="28">
        <f t="shared" si="43"/>
        <v>1007</v>
      </c>
      <c r="M58" s="25">
        <f t="shared" si="42"/>
        <v>101773</v>
      </c>
      <c r="N58" s="25">
        <f t="shared" si="44"/>
        <v>6501</v>
      </c>
      <c r="O58" s="25"/>
      <c r="P58" s="25">
        <f t="shared" si="45"/>
        <v>101773</v>
      </c>
      <c r="Q58" s="26"/>
      <c r="R58" s="25">
        <f t="shared" si="46"/>
        <v>0</v>
      </c>
      <c r="S58" s="25">
        <f t="shared" si="48"/>
        <v>8582</v>
      </c>
      <c r="T58" s="25">
        <f t="shared" si="47"/>
        <v>0</v>
      </c>
    </row>
    <row r="59" spans="2:20" ht="12.75">
      <c r="B59" s="178"/>
      <c r="C59" s="177">
        <v>567</v>
      </c>
      <c r="D59" s="177"/>
      <c r="E59" s="25">
        <f>ROUND('ElLabor$'!Q61,0)</f>
        <v>189</v>
      </c>
      <c r="F59" s="25"/>
      <c r="G59" s="25">
        <f t="shared" si="38"/>
        <v>189</v>
      </c>
      <c r="H59" s="28">
        <f t="shared" si="39"/>
        <v>3</v>
      </c>
      <c r="I59" s="25">
        <f t="shared" si="40"/>
        <v>192</v>
      </c>
      <c r="J59" s="28">
        <f t="shared" si="41"/>
        <v>8</v>
      </c>
      <c r="K59" s="25">
        <f t="shared" si="42"/>
        <v>200</v>
      </c>
      <c r="L59" s="28">
        <f t="shared" si="43"/>
        <v>2</v>
      </c>
      <c r="M59" s="25">
        <f t="shared" si="42"/>
        <v>202</v>
      </c>
      <c r="N59" s="25">
        <f t="shared" si="44"/>
        <v>13</v>
      </c>
      <c r="O59" s="25"/>
      <c r="P59" s="25">
        <f t="shared" si="45"/>
        <v>202</v>
      </c>
      <c r="Q59" s="26"/>
      <c r="R59" s="25">
        <f t="shared" si="46"/>
        <v>0</v>
      </c>
      <c r="S59" s="25">
        <f t="shared" si="48"/>
        <v>17</v>
      </c>
      <c r="T59" s="25">
        <f t="shared" si="47"/>
        <v>0</v>
      </c>
    </row>
    <row r="60" spans="2:20" ht="12.75">
      <c r="B60" s="3" t="s">
        <v>33</v>
      </c>
      <c r="C60" s="2">
        <v>568</v>
      </c>
      <c r="D60" s="2" t="s">
        <v>50</v>
      </c>
      <c r="E60" s="25">
        <f>ROUND('ElLabor$'!Q62,0)</f>
        <v>90121</v>
      </c>
      <c r="F60" s="25"/>
      <c r="G60" s="25">
        <f t="shared" si="38"/>
        <v>90121</v>
      </c>
      <c r="H60" s="27">
        <f t="shared" si="39"/>
        <v>1369</v>
      </c>
      <c r="I60" s="25">
        <f t="shared" si="40"/>
        <v>91490</v>
      </c>
      <c r="J60" s="27">
        <f t="shared" si="41"/>
        <v>3477</v>
      </c>
      <c r="K60" s="25">
        <f t="shared" si="42"/>
        <v>94967</v>
      </c>
      <c r="L60" s="27">
        <f t="shared" si="43"/>
        <v>1205</v>
      </c>
      <c r="M60" s="25">
        <f t="shared" si="42"/>
        <v>96172</v>
      </c>
      <c r="N60" s="25">
        <f t="shared" si="44"/>
        <v>6051</v>
      </c>
      <c r="O60" s="25"/>
      <c r="P60" s="25">
        <f t="shared" si="45"/>
        <v>96172</v>
      </c>
      <c r="Q60" s="26"/>
      <c r="R60" s="25">
        <f t="shared" si="46"/>
        <v>0</v>
      </c>
      <c r="S60" s="25">
        <f t="shared" si="48"/>
        <v>8118</v>
      </c>
      <c r="T60" s="25">
        <f t="shared" si="47"/>
        <v>0</v>
      </c>
    </row>
    <row r="61" spans="3:20" ht="12.75">
      <c r="C61" s="2">
        <v>569</v>
      </c>
      <c r="D61" s="2" t="s">
        <v>55</v>
      </c>
      <c r="E61" s="25">
        <f>ROUND('ElLabor$'!Q63,0)</f>
        <v>40941</v>
      </c>
      <c r="F61" s="25"/>
      <c r="G61" s="25">
        <f t="shared" si="38"/>
        <v>40941</v>
      </c>
      <c r="H61" s="28">
        <f t="shared" si="39"/>
        <v>695</v>
      </c>
      <c r="I61" s="25">
        <f t="shared" si="40"/>
        <v>41636</v>
      </c>
      <c r="J61" s="28">
        <f t="shared" si="41"/>
        <v>1665</v>
      </c>
      <c r="K61" s="25">
        <f t="shared" si="42"/>
        <v>43301</v>
      </c>
      <c r="L61" s="28">
        <f t="shared" si="43"/>
        <v>433</v>
      </c>
      <c r="M61" s="25">
        <f t="shared" si="42"/>
        <v>43734</v>
      </c>
      <c r="N61" s="25">
        <f t="shared" si="44"/>
        <v>2793</v>
      </c>
      <c r="O61" s="25"/>
      <c r="P61" s="25">
        <f t="shared" si="45"/>
        <v>43734</v>
      </c>
      <c r="Q61" s="26"/>
      <c r="R61" s="25">
        <f t="shared" si="46"/>
        <v>0</v>
      </c>
      <c r="S61" s="25">
        <f t="shared" si="48"/>
        <v>3688</v>
      </c>
      <c r="T61" s="25">
        <f t="shared" si="47"/>
        <v>0</v>
      </c>
    </row>
    <row r="62" spans="3:20" ht="12.75">
      <c r="C62" s="2">
        <v>570</v>
      </c>
      <c r="D62" s="2" t="s">
        <v>82</v>
      </c>
      <c r="E62" s="25">
        <f>ROUND('ElLabor$'!Q64,0)</f>
        <v>165969</v>
      </c>
      <c r="F62" s="25"/>
      <c r="G62" s="25">
        <f t="shared" si="38"/>
        <v>165969</v>
      </c>
      <c r="H62" s="28">
        <f t="shared" si="39"/>
        <v>2818</v>
      </c>
      <c r="I62" s="25">
        <f t="shared" si="40"/>
        <v>168787</v>
      </c>
      <c r="J62" s="28">
        <f t="shared" si="41"/>
        <v>6751</v>
      </c>
      <c r="K62" s="25">
        <f t="shared" si="42"/>
        <v>175538</v>
      </c>
      <c r="L62" s="28">
        <f t="shared" si="43"/>
        <v>1754</v>
      </c>
      <c r="M62" s="25">
        <f t="shared" si="42"/>
        <v>177292</v>
      </c>
      <c r="N62" s="25">
        <f t="shared" si="44"/>
        <v>11323</v>
      </c>
      <c r="O62" s="25"/>
      <c r="P62" s="25">
        <f t="shared" si="45"/>
        <v>177292</v>
      </c>
      <c r="Q62" s="26"/>
      <c r="R62" s="25">
        <f t="shared" si="46"/>
        <v>0</v>
      </c>
      <c r="S62" s="25">
        <f t="shared" si="48"/>
        <v>14951</v>
      </c>
      <c r="T62" s="25">
        <f t="shared" si="47"/>
        <v>0</v>
      </c>
    </row>
    <row r="63" spans="3:20" ht="12.75">
      <c r="C63" s="2">
        <v>571</v>
      </c>
      <c r="D63" s="2" t="s">
        <v>83</v>
      </c>
      <c r="E63" s="25">
        <f>ROUND('ElLabor$'!Q65,0)</f>
        <v>16560</v>
      </c>
      <c r="F63" s="25"/>
      <c r="G63" s="25">
        <f t="shared" si="38"/>
        <v>16560</v>
      </c>
      <c r="H63" s="28">
        <f t="shared" si="39"/>
        <v>281</v>
      </c>
      <c r="I63" s="25">
        <f t="shared" si="40"/>
        <v>16841</v>
      </c>
      <c r="J63" s="28">
        <f t="shared" si="41"/>
        <v>674</v>
      </c>
      <c r="K63" s="25">
        <f t="shared" si="42"/>
        <v>17515</v>
      </c>
      <c r="L63" s="28">
        <f t="shared" si="43"/>
        <v>175</v>
      </c>
      <c r="M63" s="25">
        <f t="shared" si="42"/>
        <v>17690</v>
      </c>
      <c r="N63" s="25">
        <f t="shared" si="44"/>
        <v>1130</v>
      </c>
      <c r="O63" s="25"/>
      <c r="P63" s="25">
        <f t="shared" si="45"/>
        <v>17690</v>
      </c>
      <c r="Q63" s="26"/>
      <c r="R63" s="25">
        <f t="shared" si="46"/>
        <v>0</v>
      </c>
      <c r="S63" s="25">
        <f t="shared" si="48"/>
        <v>1492</v>
      </c>
      <c r="T63" s="25">
        <f t="shared" si="47"/>
        <v>0</v>
      </c>
    </row>
    <row r="64" spans="3:20" ht="12.75">
      <c r="C64" s="2">
        <v>572</v>
      </c>
      <c r="D64" s="2" t="s">
        <v>84</v>
      </c>
      <c r="E64" s="25">
        <f>ROUND('ElLabor$'!Q66,0)</f>
        <v>1452</v>
      </c>
      <c r="F64" s="25"/>
      <c r="G64" s="25">
        <f t="shared" si="38"/>
        <v>1452</v>
      </c>
      <c r="H64" s="28">
        <f t="shared" si="39"/>
        <v>25</v>
      </c>
      <c r="I64" s="25">
        <f t="shared" si="40"/>
        <v>1477</v>
      </c>
      <c r="J64" s="28">
        <f t="shared" si="41"/>
        <v>59</v>
      </c>
      <c r="K64" s="25">
        <f t="shared" si="42"/>
        <v>1536</v>
      </c>
      <c r="L64" s="28">
        <f t="shared" si="43"/>
        <v>15</v>
      </c>
      <c r="M64" s="25">
        <f t="shared" si="42"/>
        <v>1551</v>
      </c>
      <c r="N64" s="25">
        <f t="shared" si="44"/>
        <v>99</v>
      </c>
      <c r="O64" s="25"/>
      <c r="P64" s="25">
        <f t="shared" si="45"/>
        <v>1551</v>
      </c>
      <c r="Q64" s="26"/>
      <c r="R64" s="25">
        <f t="shared" si="46"/>
        <v>0</v>
      </c>
      <c r="S64" s="25">
        <f t="shared" si="48"/>
        <v>131</v>
      </c>
      <c r="T64" s="25">
        <f t="shared" si="47"/>
        <v>0</v>
      </c>
    </row>
    <row r="65" spans="3:20" ht="12.75">
      <c r="C65" s="2">
        <v>573</v>
      </c>
      <c r="D65" s="2" t="s">
        <v>85</v>
      </c>
      <c r="E65" s="25">
        <f>ROUND('ElLabor$'!Q67,0)</f>
        <v>6548</v>
      </c>
      <c r="F65" s="25"/>
      <c r="G65" s="25">
        <f t="shared" si="38"/>
        <v>6548</v>
      </c>
      <c r="H65" s="28">
        <f t="shared" si="39"/>
        <v>111</v>
      </c>
      <c r="I65" s="25">
        <f t="shared" si="40"/>
        <v>6659</v>
      </c>
      <c r="J65" s="28">
        <f t="shared" si="41"/>
        <v>266</v>
      </c>
      <c r="K65" s="25">
        <f t="shared" si="42"/>
        <v>6925</v>
      </c>
      <c r="L65" s="28">
        <f t="shared" si="43"/>
        <v>69</v>
      </c>
      <c r="M65" s="25">
        <f t="shared" si="42"/>
        <v>6994</v>
      </c>
      <c r="N65" s="25">
        <f t="shared" si="44"/>
        <v>446</v>
      </c>
      <c r="O65" s="25"/>
      <c r="P65" s="25">
        <f t="shared" si="45"/>
        <v>6994</v>
      </c>
      <c r="Q65" s="26"/>
      <c r="R65" s="25">
        <f t="shared" si="46"/>
        <v>0</v>
      </c>
      <c r="S65" s="25">
        <f t="shared" si="48"/>
        <v>590</v>
      </c>
      <c r="T65" s="25">
        <f t="shared" si="47"/>
        <v>0</v>
      </c>
    </row>
    <row r="66" spans="3:20" ht="12.75">
      <c r="C66" s="3" t="s">
        <v>6</v>
      </c>
      <c r="E66" s="55">
        <f aca="true" t="shared" si="49" ref="E66:T66">SUM(E53:E65)</f>
        <v>1330352</v>
      </c>
      <c r="F66" s="55">
        <f t="shared" si="49"/>
        <v>0</v>
      </c>
      <c r="G66" s="55">
        <f t="shared" si="49"/>
        <v>1330352</v>
      </c>
      <c r="H66" s="55">
        <f t="shared" si="49"/>
        <v>20915</v>
      </c>
      <c r="I66" s="55">
        <f t="shared" si="49"/>
        <v>1351267</v>
      </c>
      <c r="J66" s="55">
        <f>SUM(J53:J65)</f>
        <v>52152</v>
      </c>
      <c r="K66" s="55">
        <f>SUM(K53:K65)</f>
        <v>1403419</v>
      </c>
      <c r="L66" s="55">
        <f>SUM(L53:L65)</f>
        <v>16681</v>
      </c>
      <c r="M66" s="55">
        <f>SUM(M53:M65)</f>
        <v>1420100</v>
      </c>
      <c r="N66" s="55">
        <f t="shared" si="49"/>
        <v>89748</v>
      </c>
      <c r="O66" s="55">
        <f t="shared" si="49"/>
        <v>0</v>
      </c>
      <c r="P66" s="55">
        <f t="shared" si="49"/>
        <v>1420100</v>
      </c>
      <c r="Q66" s="26"/>
      <c r="R66" s="55">
        <f t="shared" si="49"/>
        <v>0</v>
      </c>
      <c r="S66" s="285">
        <f t="shared" si="49"/>
        <v>119841</v>
      </c>
      <c r="T66" s="285">
        <f t="shared" si="49"/>
        <v>0</v>
      </c>
    </row>
    <row r="67" spans="5:20" ht="12.75"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  <c r="R67" s="25"/>
      <c r="S67" s="25"/>
      <c r="T67" s="25"/>
    </row>
    <row r="68" spans="3:20" ht="12.75">
      <c r="C68" s="3" t="s">
        <v>7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/>
      <c r="R68" s="25"/>
      <c r="S68" s="25"/>
      <c r="T68" s="25"/>
    </row>
    <row r="69" spans="2:20" ht="12.75">
      <c r="B69" s="3" t="s">
        <v>33</v>
      </c>
      <c r="C69" s="2">
        <v>580</v>
      </c>
      <c r="D69" s="2" t="s">
        <v>50</v>
      </c>
      <c r="E69" s="25">
        <f>ROUND('ElLabor$'!Q71,0)</f>
        <v>300592</v>
      </c>
      <c r="F69" s="25"/>
      <c r="G69" s="25">
        <f aca="true" t="shared" si="50" ref="G69:G87">F69+E69</f>
        <v>300592</v>
      </c>
      <c r="H69" s="27">
        <f aca="true" t="shared" si="51" ref="H69:H87">ROUND(IF($B69="a",G69*H$5,G69*H$6),0)</f>
        <v>4566</v>
      </c>
      <c r="I69" s="25">
        <f aca="true" t="shared" si="52" ref="I69:I87">G69+H69</f>
        <v>305158</v>
      </c>
      <c r="J69" s="27">
        <f aca="true" t="shared" si="53" ref="J69:J87">ROUND(IF($B69="a",I69*J$5,I69*J$6),0)</f>
        <v>11596</v>
      </c>
      <c r="K69" s="25">
        <f aca="true" t="shared" si="54" ref="K69:M87">I69+J69</f>
        <v>316754</v>
      </c>
      <c r="L69" s="27">
        <f aca="true" t="shared" si="55" ref="L69:L87">ROUND(IF($B69="a",K69*L$5,K69*L$6),0)</f>
        <v>4020</v>
      </c>
      <c r="M69" s="25">
        <f t="shared" si="54"/>
        <v>320774</v>
      </c>
      <c r="N69" s="25">
        <f aca="true" t="shared" si="56" ref="N69:N87">H69+J69+L69</f>
        <v>20182</v>
      </c>
      <c r="O69" s="25"/>
      <c r="P69" s="25">
        <f aca="true" t="shared" si="57" ref="P69:P87">M69+O69</f>
        <v>320774</v>
      </c>
      <c r="Q69" s="26"/>
      <c r="R69" s="25">
        <f aca="true" t="shared" si="58" ref="R69:R87">O69+F69</f>
        <v>0</v>
      </c>
      <c r="S69" s="25">
        <f aca="true" t="shared" si="59" ref="S69:S87">ROUND($S$128*E69/E$125,0)</f>
        <v>27078</v>
      </c>
      <c r="T69" s="25">
        <f>ROUND($T$128*F69/F$125,0)</f>
        <v>0</v>
      </c>
    </row>
    <row r="70" spans="2:20" ht="12.75">
      <c r="B70" s="3" t="s">
        <v>33</v>
      </c>
      <c r="C70" s="2">
        <v>581</v>
      </c>
      <c r="D70" s="2" t="s">
        <v>77</v>
      </c>
      <c r="E70" s="25">
        <f>ROUND('ElLabor$'!Q72,0)</f>
        <v>0</v>
      </c>
      <c r="F70" s="25"/>
      <c r="G70" s="25">
        <f t="shared" si="50"/>
        <v>0</v>
      </c>
      <c r="H70" s="27">
        <f t="shared" si="51"/>
        <v>0</v>
      </c>
      <c r="I70" s="25">
        <f t="shared" si="52"/>
        <v>0</v>
      </c>
      <c r="J70" s="27">
        <f t="shared" si="53"/>
        <v>0</v>
      </c>
      <c r="K70" s="25">
        <f t="shared" si="54"/>
        <v>0</v>
      </c>
      <c r="L70" s="27">
        <f t="shared" si="55"/>
        <v>0</v>
      </c>
      <c r="M70" s="25">
        <f t="shared" si="54"/>
        <v>0</v>
      </c>
      <c r="N70" s="25">
        <f t="shared" si="56"/>
        <v>0</v>
      </c>
      <c r="O70" s="25"/>
      <c r="P70" s="25">
        <f t="shared" si="57"/>
        <v>0</v>
      </c>
      <c r="Q70" s="26"/>
      <c r="R70" s="25">
        <f t="shared" si="58"/>
        <v>0</v>
      </c>
      <c r="S70" s="25">
        <f t="shared" si="59"/>
        <v>0</v>
      </c>
      <c r="T70" s="25">
        <f aca="true" t="shared" si="60" ref="T70:T87">ROUND($T$128*F70/F$125,0)</f>
        <v>0</v>
      </c>
    </row>
    <row r="71" spans="3:20" ht="12.75">
      <c r="C71" s="2">
        <v>582</v>
      </c>
      <c r="D71" s="2" t="s">
        <v>78</v>
      </c>
      <c r="E71" s="25">
        <f>ROUND('ElLabor$'!Q73,0)</f>
        <v>128942</v>
      </c>
      <c r="F71" s="25"/>
      <c r="G71" s="25">
        <f t="shared" si="50"/>
        <v>128942</v>
      </c>
      <c r="H71" s="28">
        <f t="shared" si="51"/>
        <v>2189</v>
      </c>
      <c r="I71" s="25">
        <f t="shared" si="52"/>
        <v>131131</v>
      </c>
      <c r="J71" s="28">
        <f t="shared" si="53"/>
        <v>5245</v>
      </c>
      <c r="K71" s="25">
        <f t="shared" si="54"/>
        <v>136376</v>
      </c>
      <c r="L71" s="28">
        <f t="shared" si="55"/>
        <v>1362</v>
      </c>
      <c r="M71" s="25">
        <f t="shared" si="54"/>
        <v>137738</v>
      </c>
      <c r="N71" s="25">
        <f t="shared" si="56"/>
        <v>8796</v>
      </c>
      <c r="O71" s="25"/>
      <c r="P71" s="25">
        <f t="shared" si="57"/>
        <v>137738</v>
      </c>
      <c r="Q71" s="26"/>
      <c r="R71" s="25">
        <f t="shared" si="58"/>
        <v>0</v>
      </c>
      <c r="S71" s="25">
        <f t="shared" si="59"/>
        <v>11615</v>
      </c>
      <c r="T71" s="25">
        <f t="shared" si="60"/>
        <v>0</v>
      </c>
    </row>
    <row r="72" spans="3:20" ht="12.75">
      <c r="C72" s="2">
        <v>583</v>
      </c>
      <c r="D72" s="2" t="s">
        <v>79</v>
      </c>
      <c r="E72" s="25">
        <f>ROUND('ElLabor$'!Q74,0)</f>
        <v>631683</v>
      </c>
      <c r="F72" s="25"/>
      <c r="G72" s="25">
        <f t="shared" si="50"/>
        <v>631683</v>
      </c>
      <c r="H72" s="28">
        <f t="shared" si="51"/>
        <v>10726</v>
      </c>
      <c r="I72" s="25">
        <f t="shared" si="52"/>
        <v>642409</v>
      </c>
      <c r="J72" s="28">
        <f t="shared" si="53"/>
        <v>25696</v>
      </c>
      <c r="K72" s="25">
        <f t="shared" si="54"/>
        <v>668105</v>
      </c>
      <c r="L72" s="28">
        <f t="shared" si="55"/>
        <v>6674</v>
      </c>
      <c r="M72" s="25">
        <f t="shared" si="54"/>
        <v>674779</v>
      </c>
      <c r="N72" s="25">
        <f t="shared" si="56"/>
        <v>43096</v>
      </c>
      <c r="O72" s="25"/>
      <c r="P72" s="25">
        <f t="shared" si="57"/>
        <v>674779</v>
      </c>
      <c r="Q72" s="26"/>
      <c r="R72" s="25">
        <f t="shared" si="58"/>
        <v>0</v>
      </c>
      <c r="S72" s="25">
        <f t="shared" si="59"/>
        <v>56904</v>
      </c>
      <c r="T72" s="25">
        <f t="shared" si="60"/>
        <v>0</v>
      </c>
    </row>
    <row r="73" spans="3:20" ht="12.75">
      <c r="C73" s="2">
        <v>584</v>
      </c>
      <c r="D73" s="2" t="s">
        <v>86</v>
      </c>
      <c r="E73" s="25">
        <f>ROUND('ElLabor$'!Q75,0)</f>
        <v>243885</v>
      </c>
      <c r="F73" s="25"/>
      <c r="G73" s="25">
        <f t="shared" si="50"/>
        <v>243885</v>
      </c>
      <c r="H73" s="28">
        <f t="shared" si="51"/>
        <v>4141</v>
      </c>
      <c r="I73" s="25">
        <f t="shared" si="52"/>
        <v>248026</v>
      </c>
      <c r="J73" s="28">
        <f t="shared" si="53"/>
        <v>9921</v>
      </c>
      <c r="K73" s="25">
        <f t="shared" si="54"/>
        <v>257947</v>
      </c>
      <c r="L73" s="28">
        <f t="shared" si="55"/>
        <v>2577</v>
      </c>
      <c r="M73" s="25">
        <f t="shared" si="54"/>
        <v>260524</v>
      </c>
      <c r="N73" s="25">
        <f t="shared" si="56"/>
        <v>16639</v>
      </c>
      <c r="O73" s="25"/>
      <c r="P73" s="25">
        <f t="shared" si="57"/>
        <v>260524</v>
      </c>
      <c r="Q73" s="26"/>
      <c r="R73" s="25">
        <f t="shared" si="58"/>
        <v>0</v>
      </c>
      <c r="S73" s="25">
        <f t="shared" si="59"/>
        <v>21970</v>
      </c>
      <c r="T73" s="25">
        <f t="shared" si="60"/>
        <v>0</v>
      </c>
    </row>
    <row r="74" spans="3:20" ht="12.75">
      <c r="C74" s="2">
        <v>585</v>
      </c>
      <c r="D74" s="2" t="s">
        <v>87</v>
      </c>
      <c r="E74" s="25">
        <f>ROUND('ElLabor$'!Q76,0)</f>
        <v>75269</v>
      </c>
      <c r="F74" s="25"/>
      <c r="G74" s="25">
        <f t="shared" si="50"/>
        <v>75269</v>
      </c>
      <c r="H74" s="28">
        <f t="shared" si="51"/>
        <v>1278</v>
      </c>
      <c r="I74" s="25">
        <f t="shared" si="52"/>
        <v>76547</v>
      </c>
      <c r="J74" s="28">
        <f t="shared" si="53"/>
        <v>3062</v>
      </c>
      <c r="K74" s="25">
        <f t="shared" si="54"/>
        <v>79609</v>
      </c>
      <c r="L74" s="28">
        <f t="shared" si="55"/>
        <v>795</v>
      </c>
      <c r="M74" s="25">
        <f t="shared" si="54"/>
        <v>80404</v>
      </c>
      <c r="N74" s="25">
        <f t="shared" si="56"/>
        <v>5135</v>
      </c>
      <c r="O74" s="25"/>
      <c r="P74" s="25">
        <f t="shared" si="57"/>
        <v>80404</v>
      </c>
      <c r="Q74" s="26"/>
      <c r="R74" s="25">
        <f t="shared" si="58"/>
        <v>0</v>
      </c>
      <c r="S74" s="25">
        <f t="shared" si="59"/>
        <v>6780</v>
      </c>
      <c r="T74" s="25">
        <f t="shared" si="60"/>
        <v>0</v>
      </c>
    </row>
    <row r="75" spans="3:20" ht="12.75">
      <c r="C75" s="2">
        <v>586</v>
      </c>
      <c r="D75" s="2" t="s">
        <v>88</v>
      </c>
      <c r="E75" s="25">
        <f>ROUND('ElLabor$'!Q77,0)</f>
        <v>76563</v>
      </c>
      <c r="F75" s="25"/>
      <c r="G75" s="25">
        <f t="shared" si="50"/>
        <v>76563</v>
      </c>
      <c r="H75" s="28">
        <f t="shared" si="51"/>
        <v>1300</v>
      </c>
      <c r="I75" s="25">
        <f t="shared" si="52"/>
        <v>77863</v>
      </c>
      <c r="J75" s="28">
        <f t="shared" si="53"/>
        <v>3115</v>
      </c>
      <c r="K75" s="25">
        <f t="shared" si="54"/>
        <v>80978</v>
      </c>
      <c r="L75" s="28">
        <f t="shared" si="55"/>
        <v>809</v>
      </c>
      <c r="M75" s="25">
        <f t="shared" si="54"/>
        <v>81787</v>
      </c>
      <c r="N75" s="25">
        <f t="shared" si="56"/>
        <v>5224</v>
      </c>
      <c r="O75" s="25"/>
      <c r="P75" s="25">
        <f t="shared" si="57"/>
        <v>81787</v>
      </c>
      <c r="Q75" s="26"/>
      <c r="R75" s="25">
        <f t="shared" si="58"/>
        <v>0</v>
      </c>
      <c r="S75" s="25">
        <f t="shared" si="59"/>
        <v>6897</v>
      </c>
      <c r="T75" s="25">
        <f t="shared" si="60"/>
        <v>0</v>
      </c>
    </row>
    <row r="76" spans="3:20" ht="12.75">
      <c r="C76" s="2">
        <v>587</v>
      </c>
      <c r="D76" s="2" t="s">
        <v>89</v>
      </c>
      <c r="E76" s="25">
        <f>ROUND('ElLabor$'!Q78,0)</f>
        <v>290425</v>
      </c>
      <c r="F76" s="25"/>
      <c r="G76" s="25">
        <f t="shared" si="50"/>
        <v>290425</v>
      </c>
      <c r="H76" s="28">
        <f t="shared" si="51"/>
        <v>4931</v>
      </c>
      <c r="I76" s="25">
        <f t="shared" si="52"/>
        <v>295356</v>
      </c>
      <c r="J76" s="28">
        <f t="shared" si="53"/>
        <v>11814</v>
      </c>
      <c r="K76" s="25">
        <f t="shared" si="54"/>
        <v>307170</v>
      </c>
      <c r="L76" s="28">
        <f t="shared" si="55"/>
        <v>3069</v>
      </c>
      <c r="M76" s="25">
        <f t="shared" si="54"/>
        <v>310239</v>
      </c>
      <c r="N76" s="25">
        <f t="shared" si="56"/>
        <v>19814</v>
      </c>
      <c r="O76" s="25"/>
      <c r="P76" s="25">
        <f t="shared" si="57"/>
        <v>310239</v>
      </c>
      <c r="Q76" s="26"/>
      <c r="R76" s="25">
        <f t="shared" si="58"/>
        <v>0</v>
      </c>
      <c r="S76" s="25">
        <f t="shared" si="59"/>
        <v>26162</v>
      </c>
      <c r="T76" s="25">
        <f t="shared" si="60"/>
        <v>0</v>
      </c>
    </row>
    <row r="77" spans="3:20" ht="12.75">
      <c r="C77" s="2">
        <v>588</v>
      </c>
      <c r="D77" s="2" t="s">
        <v>90</v>
      </c>
      <c r="E77" s="25">
        <f>ROUND('ElLabor$'!Q79,0)</f>
        <v>956861</v>
      </c>
      <c r="F77" s="25"/>
      <c r="G77" s="25">
        <f t="shared" si="50"/>
        <v>956861</v>
      </c>
      <c r="H77" s="28">
        <f t="shared" si="51"/>
        <v>16247</v>
      </c>
      <c r="I77" s="25">
        <f t="shared" si="52"/>
        <v>973108</v>
      </c>
      <c r="J77" s="28">
        <f t="shared" si="53"/>
        <v>38924</v>
      </c>
      <c r="K77" s="25">
        <f t="shared" si="54"/>
        <v>1012032</v>
      </c>
      <c r="L77" s="28">
        <f t="shared" si="55"/>
        <v>10110</v>
      </c>
      <c r="M77" s="25">
        <f t="shared" si="54"/>
        <v>1022142</v>
      </c>
      <c r="N77" s="25">
        <f t="shared" si="56"/>
        <v>65281</v>
      </c>
      <c r="O77" s="25"/>
      <c r="P77" s="25">
        <f t="shared" si="57"/>
        <v>1022142</v>
      </c>
      <c r="Q77" s="26"/>
      <c r="R77" s="25">
        <f t="shared" si="58"/>
        <v>0</v>
      </c>
      <c r="S77" s="25">
        <f t="shared" si="59"/>
        <v>86197</v>
      </c>
      <c r="T77" s="25">
        <f t="shared" si="60"/>
        <v>0</v>
      </c>
    </row>
    <row r="78" spans="3:20" ht="12.75">
      <c r="C78" s="2">
        <v>589</v>
      </c>
      <c r="D78" s="2" t="s">
        <v>91</v>
      </c>
      <c r="E78" s="25">
        <f>ROUND('ElLabor$'!Q80,0)</f>
        <v>129</v>
      </c>
      <c r="F78" s="25"/>
      <c r="G78" s="25">
        <f t="shared" si="50"/>
        <v>129</v>
      </c>
      <c r="H78" s="28">
        <f t="shared" si="51"/>
        <v>2</v>
      </c>
      <c r="I78" s="25">
        <f t="shared" si="52"/>
        <v>131</v>
      </c>
      <c r="J78" s="28">
        <f t="shared" si="53"/>
        <v>5</v>
      </c>
      <c r="K78" s="25">
        <f t="shared" si="54"/>
        <v>136</v>
      </c>
      <c r="L78" s="28">
        <f t="shared" si="55"/>
        <v>1</v>
      </c>
      <c r="M78" s="25">
        <f t="shared" si="54"/>
        <v>137</v>
      </c>
      <c r="N78" s="25">
        <f t="shared" si="56"/>
        <v>8</v>
      </c>
      <c r="O78" s="25"/>
      <c r="P78" s="25">
        <f t="shared" si="57"/>
        <v>137</v>
      </c>
      <c r="Q78" s="26"/>
      <c r="R78" s="25">
        <f t="shared" si="58"/>
        <v>0</v>
      </c>
      <c r="S78" s="25">
        <f t="shared" si="59"/>
        <v>12</v>
      </c>
      <c r="T78" s="25">
        <f t="shared" si="60"/>
        <v>0</v>
      </c>
    </row>
    <row r="79" spans="2:20" ht="12.75">
      <c r="B79" s="3" t="s">
        <v>33</v>
      </c>
      <c r="C79" s="2">
        <v>590</v>
      </c>
      <c r="D79" s="2" t="s">
        <v>50</v>
      </c>
      <c r="E79" s="25">
        <f>ROUND('ElLabor$'!Q81,0)</f>
        <v>174263</v>
      </c>
      <c r="F79" s="25"/>
      <c r="G79" s="25">
        <f t="shared" si="50"/>
        <v>174263</v>
      </c>
      <c r="H79" s="27">
        <f t="shared" si="51"/>
        <v>2647</v>
      </c>
      <c r="I79" s="25">
        <f t="shared" si="52"/>
        <v>176910</v>
      </c>
      <c r="J79" s="27">
        <f t="shared" si="53"/>
        <v>6723</v>
      </c>
      <c r="K79" s="25">
        <f t="shared" si="54"/>
        <v>183633</v>
      </c>
      <c r="L79" s="27">
        <f t="shared" si="55"/>
        <v>2330</v>
      </c>
      <c r="M79" s="25">
        <f t="shared" si="54"/>
        <v>185963</v>
      </c>
      <c r="N79" s="25">
        <f t="shared" si="56"/>
        <v>11700</v>
      </c>
      <c r="O79" s="25"/>
      <c r="P79" s="25">
        <f t="shared" si="57"/>
        <v>185963</v>
      </c>
      <c r="Q79" s="26"/>
      <c r="R79" s="25">
        <f t="shared" si="58"/>
        <v>0</v>
      </c>
      <c r="S79" s="25">
        <f t="shared" si="59"/>
        <v>15698</v>
      </c>
      <c r="T79" s="25">
        <f t="shared" si="60"/>
        <v>0</v>
      </c>
    </row>
    <row r="80" spans="3:20" ht="12.75">
      <c r="C80" s="2">
        <v>591</v>
      </c>
      <c r="D80" s="2" t="s">
        <v>55</v>
      </c>
      <c r="E80" s="25">
        <f>ROUND('ElLabor$'!Q82,0)</f>
        <v>17894</v>
      </c>
      <c r="F80" s="25"/>
      <c r="G80" s="25">
        <f t="shared" si="50"/>
        <v>17894</v>
      </c>
      <c r="H80" s="28">
        <f t="shared" si="51"/>
        <v>304</v>
      </c>
      <c r="I80" s="25">
        <f t="shared" si="52"/>
        <v>18198</v>
      </c>
      <c r="J80" s="28">
        <f t="shared" si="53"/>
        <v>728</v>
      </c>
      <c r="K80" s="25">
        <f t="shared" si="54"/>
        <v>18926</v>
      </c>
      <c r="L80" s="28">
        <f t="shared" si="55"/>
        <v>189</v>
      </c>
      <c r="M80" s="25">
        <f t="shared" si="54"/>
        <v>19115</v>
      </c>
      <c r="N80" s="25">
        <f t="shared" si="56"/>
        <v>1221</v>
      </c>
      <c r="O80" s="25"/>
      <c r="P80" s="25">
        <f t="shared" si="57"/>
        <v>19115</v>
      </c>
      <c r="Q80" s="26"/>
      <c r="R80" s="25">
        <f t="shared" si="58"/>
        <v>0</v>
      </c>
      <c r="S80" s="25">
        <f t="shared" si="59"/>
        <v>1612</v>
      </c>
      <c r="T80" s="25">
        <f t="shared" si="60"/>
        <v>0</v>
      </c>
    </row>
    <row r="81" spans="3:20" ht="12.75">
      <c r="C81" s="2">
        <v>592</v>
      </c>
      <c r="D81" s="2" t="s">
        <v>92</v>
      </c>
      <c r="E81" s="25">
        <f>ROUND('ElLabor$'!Q83,0)</f>
        <v>78885</v>
      </c>
      <c r="F81" s="25"/>
      <c r="G81" s="25">
        <f t="shared" si="50"/>
        <v>78885</v>
      </c>
      <c r="H81" s="28">
        <f t="shared" si="51"/>
        <v>1339</v>
      </c>
      <c r="I81" s="25">
        <f t="shared" si="52"/>
        <v>80224</v>
      </c>
      <c r="J81" s="28">
        <f t="shared" si="53"/>
        <v>3209</v>
      </c>
      <c r="K81" s="25">
        <f t="shared" si="54"/>
        <v>83433</v>
      </c>
      <c r="L81" s="28">
        <f t="shared" si="55"/>
        <v>833</v>
      </c>
      <c r="M81" s="25">
        <f t="shared" si="54"/>
        <v>84266</v>
      </c>
      <c r="N81" s="25">
        <f t="shared" si="56"/>
        <v>5381</v>
      </c>
      <c r="O81" s="25"/>
      <c r="P81" s="25">
        <f t="shared" si="57"/>
        <v>84266</v>
      </c>
      <c r="Q81" s="26"/>
      <c r="R81" s="25">
        <f t="shared" si="58"/>
        <v>0</v>
      </c>
      <c r="S81" s="25">
        <f t="shared" si="59"/>
        <v>7106</v>
      </c>
      <c r="T81" s="25">
        <f t="shared" si="60"/>
        <v>0</v>
      </c>
    </row>
    <row r="82" spans="3:20" ht="12.75">
      <c r="C82" s="2">
        <v>593</v>
      </c>
      <c r="D82" s="2" t="s">
        <v>83</v>
      </c>
      <c r="E82" s="25">
        <f>ROUND('ElLabor$'!Q84,0)</f>
        <v>911135</v>
      </c>
      <c r="F82" s="25"/>
      <c r="G82" s="25">
        <f t="shared" si="50"/>
        <v>911135</v>
      </c>
      <c r="H82" s="28">
        <f t="shared" si="51"/>
        <v>15471</v>
      </c>
      <c r="I82" s="25">
        <f t="shared" si="52"/>
        <v>926606</v>
      </c>
      <c r="J82" s="28">
        <f t="shared" si="53"/>
        <v>37064</v>
      </c>
      <c r="K82" s="25">
        <f t="shared" si="54"/>
        <v>963670</v>
      </c>
      <c r="L82" s="28">
        <f t="shared" si="55"/>
        <v>9627</v>
      </c>
      <c r="M82" s="25">
        <f t="shared" si="54"/>
        <v>973297</v>
      </c>
      <c r="N82" s="25">
        <f t="shared" si="56"/>
        <v>62162</v>
      </c>
      <c r="O82" s="25"/>
      <c r="P82" s="25">
        <f t="shared" si="57"/>
        <v>973297</v>
      </c>
      <c r="Q82" s="26"/>
      <c r="R82" s="25">
        <f t="shared" si="58"/>
        <v>0</v>
      </c>
      <c r="S82" s="25">
        <f t="shared" si="59"/>
        <v>82078</v>
      </c>
      <c r="T82" s="25">
        <f t="shared" si="60"/>
        <v>0</v>
      </c>
    </row>
    <row r="83" spans="3:20" ht="12.75">
      <c r="C83" s="2">
        <v>594</v>
      </c>
      <c r="D83" s="2" t="s">
        <v>93</v>
      </c>
      <c r="E83" s="25">
        <f>ROUND('ElLabor$'!Q85,0)</f>
        <v>184024</v>
      </c>
      <c r="F83" s="25"/>
      <c r="G83" s="25">
        <f t="shared" si="50"/>
        <v>184024</v>
      </c>
      <c r="H83" s="28">
        <f t="shared" si="51"/>
        <v>3125</v>
      </c>
      <c r="I83" s="25">
        <f t="shared" si="52"/>
        <v>187149</v>
      </c>
      <c r="J83" s="28">
        <f t="shared" si="53"/>
        <v>7486</v>
      </c>
      <c r="K83" s="25">
        <f t="shared" si="54"/>
        <v>194635</v>
      </c>
      <c r="L83" s="28">
        <f t="shared" si="55"/>
        <v>1944</v>
      </c>
      <c r="M83" s="25">
        <f t="shared" si="54"/>
        <v>196579</v>
      </c>
      <c r="N83" s="25">
        <f t="shared" si="56"/>
        <v>12555</v>
      </c>
      <c r="O83" s="25"/>
      <c r="P83" s="25">
        <f t="shared" si="57"/>
        <v>196579</v>
      </c>
      <c r="Q83" s="26"/>
      <c r="R83" s="25">
        <f t="shared" si="58"/>
        <v>0</v>
      </c>
      <c r="S83" s="25">
        <f t="shared" si="59"/>
        <v>16577</v>
      </c>
      <c r="T83" s="25">
        <f t="shared" si="60"/>
        <v>0</v>
      </c>
    </row>
    <row r="84" spans="3:20" ht="12.75">
      <c r="C84" s="2">
        <v>595</v>
      </c>
      <c r="D84" s="2" t="s">
        <v>94</v>
      </c>
      <c r="E84" s="25">
        <f>ROUND('ElLabor$'!Q86,0)</f>
        <v>67523</v>
      </c>
      <c r="F84" s="25"/>
      <c r="G84" s="25">
        <f t="shared" si="50"/>
        <v>67523</v>
      </c>
      <c r="H84" s="28">
        <f t="shared" si="51"/>
        <v>1147</v>
      </c>
      <c r="I84" s="25">
        <f t="shared" si="52"/>
        <v>68670</v>
      </c>
      <c r="J84" s="28">
        <f t="shared" si="53"/>
        <v>2747</v>
      </c>
      <c r="K84" s="25">
        <f t="shared" si="54"/>
        <v>71417</v>
      </c>
      <c r="L84" s="28">
        <f t="shared" si="55"/>
        <v>713</v>
      </c>
      <c r="M84" s="25">
        <f t="shared" si="54"/>
        <v>72130</v>
      </c>
      <c r="N84" s="25">
        <f t="shared" si="56"/>
        <v>4607</v>
      </c>
      <c r="O84" s="25"/>
      <c r="P84" s="25">
        <f t="shared" si="57"/>
        <v>72130</v>
      </c>
      <c r="Q84" s="26"/>
      <c r="R84" s="25">
        <f t="shared" si="58"/>
        <v>0</v>
      </c>
      <c r="S84" s="25">
        <f t="shared" si="59"/>
        <v>6083</v>
      </c>
      <c r="T84" s="25">
        <f t="shared" si="60"/>
        <v>0</v>
      </c>
    </row>
    <row r="85" spans="3:20" ht="12.75">
      <c r="C85" s="2">
        <v>596</v>
      </c>
      <c r="D85" s="2" t="s">
        <v>95</v>
      </c>
      <c r="E85" s="25">
        <f>ROUND('ElLabor$'!Q87,0)</f>
        <v>60719</v>
      </c>
      <c r="F85" s="25"/>
      <c r="G85" s="25">
        <f t="shared" si="50"/>
        <v>60719</v>
      </c>
      <c r="H85" s="28">
        <f t="shared" si="51"/>
        <v>1031</v>
      </c>
      <c r="I85" s="25">
        <f t="shared" si="52"/>
        <v>61750</v>
      </c>
      <c r="J85" s="28">
        <f t="shared" si="53"/>
        <v>2470</v>
      </c>
      <c r="K85" s="25">
        <f t="shared" si="54"/>
        <v>64220</v>
      </c>
      <c r="L85" s="28">
        <f t="shared" si="55"/>
        <v>642</v>
      </c>
      <c r="M85" s="25">
        <f t="shared" si="54"/>
        <v>64862</v>
      </c>
      <c r="N85" s="25">
        <f t="shared" si="56"/>
        <v>4143</v>
      </c>
      <c r="O85" s="25"/>
      <c r="P85" s="25">
        <f t="shared" si="57"/>
        <v>64862</v>
      </c>
      <c r="Q85" s="26"/>
      <c r="R85" s="25">
        <f t="shared" si="58"/>
        <v>0</v>
      </c>
      <c r="S85" s="25">
        <f t="shared" si="59"/>
        <v>5470</v>
      </c>
      <c r="T85" s="25">
        <f t="shared" si="60"/>
        <v>0</v>
      </c>
    </row>
    <row r="86" spans="3:20" ht="12.75">
      <c r="C86" s="2">
        <v>597</v>
      </c>
      <c r="D86" s="2" t="s">
        <v>96</v>
      </c>
      <c r="E86" s="25">
        <f>ROUND('ElLabor$'!Q88,0)</f>
        <v>33229</v>
      </c>
      <c r="F86" s="25"/>
      <c r="G86" s="25">
        <f t="shared" si="50"/>
        <v>33229</v>
      </c>
      <c r="H86" s="28">
        <f t="shared" si="51"/>
        <v>564</v>
      </c>
      <c r="I86" s="25">
        <f t="shared" si="52"/>
        <v>33793</v>
      </c>
      <c r="J86" s="28">
        <f t="shared" si="53"/>
        <v>1352</v>
      </c>
      <c r="K86" s="25">
        <f t="shared" si="54"/>
        <v>35145</v>
      </c>
      <c r="L86" s="28">
        <f t="shared" si="55"/>
        <v>351</v>
      </c>
      <c r="M86" s="25">
        <f t="shared" si="54"/>
        <v>35496</v>
      </c>
      <c r="N86" s="25">
        <f t="shared" si="56"/>
        <v>2267</v>
      </c>
      <c r="O86" s="25"/>
      <c r="P86" s="25">
        <f t="shared" si="57"/>
        <v>35496</v>
      </c>
      <c r="Q86" s="26"/>
      <c r="R86" s="25">
        <f t="shared" si="58"/>
        <v>0</v>
      </c>
      <c r="S86" s="25">
        <f t="shared" si="59"/>
        <v>2993</v>
      </c>
      <c r="T86" s="25">
        <f t="shared" si="60"/>
        <v>0</v>
      </c>
    </row>
    <row r="87" spans="3:20" ht="12.75">
      <c r="C87" s="2">
        <v>598</v>
      </c>
      <c r="D87" s="2" t="s">
        <v>90</v>
      </c>
      <c r="E87" s="25">
        <f>ROUND('ElLabor$'!Q89,0)</f>
        <v>88145</v>
      </c>
      <c r="F87" s="25"/>
      <c r="G87" s="25">
        <f t="shared" si="50"/>
        <v>88145</v>
      </c>
      <c r="H87" s="28">
        <f t="shared" si="51"/>
        <v>1497</v>
      </c>
      <c r="I87" s="25">
        <f t="shared" si="52"/>
        <v>89642</v>
      </c>
      <c r="J87" s="28">
        <f t="shared" si="53"/>
        <v>3586</v>
      </c>
      <c r="K87" s="25">
        <f t="shared" si="54"/>
        <v>93228</v>
      </c>
      <c r="L87" s="28">
        <f t="shared" si="55"/>
        <v>931</v>
      </c>
      <c r="M87" s="25">
        <f t="shared" si="54"/>
        <v>94159</v>
      </c>
      <c r="N87" s="25">
        <f t="shared" si="56"/>
        <v>6014</v>
      </c>
      <c r="O87" s="25"/>
      <c r="P87" s="25">
        <f t="shared" si="57"/>
        <v>94159</v>
      </c>
      <c r="Q87" s="26"/>
      <c r="R87" s="25">
        <f t="shared" si="58"/>
        <v>0</v>
      </c>
      <c r="S87" s="25">
        <f t="shared" si="59"/>
        <v>7940</v>
      </c>
      <c r="T87" s="25">
        <f t="shared" si="60"/>
        <v>0</v>
      </c>
    </row>
    <row r="88" spans="3:20" ht="12.75">
      <c r="C88" s="3" t="s">
        <v>8</v>
      </c>
      <c r="E88" s="55">
        <f aca="true" t="shared" si="61" ref="E88:T88">SUM(E69:E87)</f>
        <v>4320166</v>
      </c>
      <c r="F88" s="55">
        <f t="shared" si="61"/>
        <v>0</v>
      </c>
      <c r="G88" s="55">
        <f t="shared" si="61"/>
        <v>4320166</v>
      </c>
      <c r="H88" s="55">
        <f t="shared" si="61"/>
        <v>72505</v>
      </c>
      <c r="I88" s="55">
        <f t="shared" si="61"/>
        <v>4392671</v>
      </c>
      <c r="J88" s="55">
        <f>SUM(J69:J87)</f>
        <v>174743</v>
      </c>
      <c r="K88" s="55">
        <f>SUM(K69:K87)</f>
        <v>4567414</v>
      </c>
      <c r="L88" s="55">
        <f>SUM(L69:L87)</f>
        <v>46977</v>
      </c>
      <c r="M88" s="55">
        <f>SUM(M69:M87)</f>
        <v>4614391</v>
      </c>
      <c r="N88" s="55">
        <f t="shared" si="61"/>
        <v>294225</v>
      </c>
      <c r="O88" s="55">
        <f t="shared" si="61"/>
        <v>0</v>
      </c>
      <c r="P88" s="55">
        <f t="shared" si="61"/>
        <v>4614391</v>
      </c>
      <c r="Q88" s="26"/>
      <c r="R88" s="55">
        <f t="shared" si="61"/>
        <v>0</v>
      </c>
      <c r="S88" s="285">
        <f t="shared" si="61"/>
        <v>389172</v>
      </c>
      <c r="T88" s="285">
        <f t="shared" si="61"/>
        <v>0</v>
      </c>
    </row>
    <row r="89" spans="5:20" ht="12.75"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  <c r="R89" s="25"/>
      <c r="S89" s="25"/>
      <c r="T89" s="25"/>
    </row>
    <row r="90" spans="3:20" ht="12.75">
      <c r="C90" s="3" t="s">
        <v>9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  <c r="R90" s="25"/>
      <c r="S90" s="25"/>
      <c r="T90" s="25"/>
    </row>
    <row r="91" spans="2:20" ht="12.75">
      <c r="B91" s="3" t="s">
        <v>33</v>
      </c>
      <c r="C91" s="2">
        <v>901</v>
      </c>
      <c r="D91" s="2" t="s">
        <v>97</v>
      </c>
      <c r="E91" s="25">
        <f>ROUND('ElLabor$'!Q93,0)</f>
        <v>115142</v>
      </c>
      <c r="F91" s="25"/>
      <c r="G91" s="25">
        <f>F91+E91</f>
        <v>115142</v>
      </c>
      <c r="H91" s="27">
        <f>ROUND(IF($B91="a",G91*H$5,G91*H$6),0)</f>
        <v>1749</v>
      </c>
      <c r="I91" s="25">
        <f>G91+H91</f>
        <v>116891</v>
      </c>
      <c r="J91" s="27">
        <f>ROUND(IF($B91="a",I91*J$5,I91*J$6),0)</f>
        <v>4442</v>
      </c>
      <c r="K91" s="25">
        <f>I91+J91</f>
        <v>121333</v>
      </c>
      <c r="L91" s="27">
        <f>ROUND(IF($B91="a",K91*L$5,K91*L$6),0)</f>
        <v>1540</v>
      </c>
      <c r="M91" s="25">
        <f>K91+L91</f>
        <v>122873</v>
      </c>
      <c r="N91" s="25">
        <f>H91+J91+L91</f>
        <v>7731</v>
      </c>
      <c r="O91" s="25"/>
      <c r="P91" s="25">
        <f>M91+O91</f>
        <v>122873</v>
      </c>
      <c r="Q91" s="26"/>
      <c r="R91" s="25">
        <f>O91+F91</f>
        <v>0</v>
      </c>
      <c r="S91" s="25">
        <f>ROUND($S$128*E91/E$125,0)</f>
        <v>10372</v>
      </c>
      <c r="T91" s="25">
        <f>ROUND($T$128*F91/F$125,0)</f>
        <v>0</v>
      </c>
    </row>
    <row r="92" spans="3:20" ht="12.75">
      <c r="C92" s="2">
        <v>902</v>
      </c>
      <c r="D92" s="2" t="s">
        <v>98</v>
      </c>
      <c r="E92" s="25">
        <f>ROUND('ElLabor$'!Q94,0)</f>
        <v>179155</v>
      </c>
      <c r="F92" s="25"/>
      <c r="G92" s="25">
        <f>F92+E92</f>
        <v>179155</v>
      </c>
      <c r="H92" s="28">
        <f>ROUND(IF($B92="a",G92*H$5,G92*H$6),0)</f>
        <v>3042</v>
      </c>
      <c r="I92" s="25">
        <f>G92+H92</f>
        <v>182197</v>
      </c>
      <c r="J92" s="28">
        <f>ROUND(IF($B92="a",I92*J$5,I92*J$6),0)</f>
        <v>7288</v>
      </c>
      <c r="K92" s="25">
        <f>I92+J92</f>
        <v>189485</v>
      </c>
      <c r="L92" s="28">
        <f>ROUND(IF($B92="a",K92*L$5,K92*L$6),0)</f>
        <v>1893</v>
      </c>
      <c r="M92" s="25">
        <f>K92+L92</f>
        <v>191378</v>
      </c>
      <c r="N92" s="25">
        <f>H92+J92+L92</f>
        <v>12223</v>
      </c>
      <c r="O92" s="25"/>
      <c r="P92" s="25">
        <f>M92+O92</f>
        <v>191378</v>
      </c>
      <c r="Q92" s="26"/>
      <c r="R92" s="25">
        <f>O92+F92</f>
        <v>0</v>
      </c>
      <c r="S92" s="25">
        <f>ROUND($S$128*E92/E$125,0)</f>
        <v>16139</v>
      </c>
      <c r="T92" s="25">
        <f>ROUND($T$128*F92/F$125,0)</f>
        <v>0</v>
      </c>
    </row>
    <row r="93" spans="2:20" ht="12.75">
      <c r="B93" s="3" t="s">
        <v>33</v>
      </c>
      <c r="C93" s="2">
        <v>903</v>
      </c>
      <c r="D93" s="2" t="s">
        <v>99</v>
      </c>
      <c r="E93" s="25">
        <f>ROUND('ElLabor$'!Q95,0)</f>
        <v>1060076</v>
      </c>
      <c r="F93" s="25"/>
      <c r="G93" s="25">
        <f>F93+E93</f>
        <v>1060076</v>
      </c>
      <c r="H93" s="27">
        <f>ROUND(IF($B93="a",G93*H$5,G93*H$6),0)</f>
        <v>16103</v>
      </c>
      <c r="I93" s="25">
        <f>G93+H93</f>
        <v>1076179</v>
      </c>
      <c r="J93" s="27">
        <f>ROUND(IF($B93="a",I93*J$5,I93*J$6),0)</f>
        <v>40895</v>
      </c>
      <c r="K93" s="25">
        <f>I93+J93</f>
        <v>1117074</v>
      </c>
      <c r="L93" s="27">
        <f>ROUND(IF($B93="a",K93*L$5,K93*L$6),0)</f>
        <v>14176</v>
      </c>
      <c r="M93" s="25">
        <f>K93+L93</f>
        <v>1131250</v>
      </c>
      <c r="N93" s="25">
        <f>H93+J93+L93</f>
        <v>71174</v>
      </c>
      <c r="O93" s="25"/>
      <c r="P93" s="25">
        <f>M93+O93</f>
        <v>1131250</v>
      </c>
      <c r="Q93" s="26"/>
      <c r="R93" s="25">
        <f>O93+F93</f>
        <v>0</v>
      </c>
      <c r="S93" s="25">
        <f>ROUND($S$128*E93/E$125,0)</f>
        <v>95495</v>
      </c>
      <c r="T93" s="25">
        <f>ROUND($T$128*F93/F$125,0)</f>
        <v>0</v>
      </c>
    </row>
    <row r="94" spans="2:20" ht="12.75">
      <c r="B94" s="3" t="s">
        <v>33</v>
      </c>
      <c r="C94" s="2">
        <v>905</v>
      </c>
      <c r="D94" s="2" t="s">
        <v>100</v>
      </c>
      <c r="E94" s="25">
        <f>ROUND('ElLabor$'!Q96,0)</f>
        <v>30837</v>
      </c>
      <c r="F94" s="25"/>
      <c r="G94" s="25">
        <f>F94+E94</f>
        <v>30837</v>
      </c>
      <c r="H94" s="27">
        <f>ROUND(IF($B94="a",G94*H$5,G94*H$6),0)</f>
        <v>468</v>
      </c>
      <c r="I94" s="25">
        <f>G94+H94</f>
        <v>31305</v>
      </c>
      <c r="J94" s="27">
        <f>ROUND(IF($B94="a",I94*J$5,I94*J$6),0)</f>
        <v>1190</v>
      </c>
      <c r="K94" s="25">
        <f>I94+J94</f>
        <v>32495</v>
      </c>
      <c r="L94" s="27">
        <f>ROUND(IF($B94="a",K94*L$5,K94*L$6),0)</f>
        <v>412</v>
      </c>
      <c r="M94" s="25">
        <f>K94+L94</f>
        <v>32907</v>
      </c>
      <c r="N94" s="25">
        <f>H94+J94+L94</f>
        <v>2070</v>
      </c>
      <c r="O94" s="25"/>
      <c r="P94" s="25">
        <f>M94+O94</f>
        <v>32907</v>
      </c>
      <c r="Q94" s="26"/>
      <c r="R94" s="25">
        <f>O94+F94</f>
        <v>0</v>
      </c>
      <c r="S94" s="25">
        <f>ROUND($S$128*E94/E$125,0)</f>
        <v>2778</v>
      </c>
      <c r="T94" s="25">
        <f>ROUND($T$128*F94/F$125,0)</f>
        <v>0</v>
      </c>
    </row>
    <row r="95" spans="3:20" ht="12.75">
      <c r="C95" s="3" t="s">
        <v>10</v>
      </c>
      <c r="E95" s="55">
        <f aca="true" t="shared" si="62" ref="E95:T95">SUM(E91:E94)</f>
        <v>1385210</v>
      </c>
      <c r="F95" s="55">
        <f t="shared" si="62"/>
        <v>0</v>
      </c>
      <c r="G95" s="55">
        <f t="shared" si="62"/>
        <v>1385210</v>
      </c>
      <c r="H95" s="55">
        <f t="shared" si="62"/>
        <v>21362</v>
      </c>
      <c r="I95" s="55">
        <f t="shared" si="62"/>
        <v>1406572</v>
      </c>
      <c r="J95" s="55">
        <f>SUM(J91:J94)</f>
        <v>53815</v>
      </c>
      <c r="K95" s="55">
        <f>SUM(K91:K94)</f>
        <v>1460387</v>
      </c>
      <c r="L95" s="55">
        <f>SUM(L91:L94)</f>
        <v>18021</v>
      </c>
      <c r="M95" s="55">
        <f>SUM(M91:M94)</f>
        <v>1478408</v>
      </c>
      <c r="N95" s="55">
        <f t="shared" si="62"/>
        <v>93198</v>
      </c>
      <c r="O95" s="55">
        <f t="shared" si="62"/>
        <v>0</v>
      </c>
      <c r="P95" s="55">
        <f t="shared" si="62"/>
        <v>1478408</v>
      </c>
      <c r="Q95" s="26"/>
      <c r="R95" s="55">
        <f t="shared" si="62"/>
        <v>0</v>
      </c>
      <c r="S95" s="285">
        <f t="shared" si="62"/>
        <v>124784</v>
      </c>
      <c r="T95" s="285">
        <f t="shared" si="62"/>
        <v>0</v>
      </c>
    </row>
    <row r="96" spans="5:20" ht="12.75"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6"/>
      <c r="R96" s="25"/>
      <c r="S96" s="25"/>
      <c r="T96" s="25"/>
    </row>
    <row r="97" spans="3:20" ht="12.75">
      <c r="C97" s="3" t="s">
        <v>11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6"/>
      <c r="R97" s="25"/>
      <c r="S97" s="25"/>
      <c r="T97" s="25"/>
    </row>
    <row r="98" spans="2:20" ht="12.75">
      <c r="B98" s="3" t="s">
        <v>33</v>
      </c>
      <c r="C98" s="2">
        <v>907</v>
      </c>
      <c r="D98" s="2" t="s">
        <v>97</v>
      </c>
      <c r="E98" s="25">
        <f>ROUND('ElLabor$'!Q100,0)</f>
        <v>0</v>
      </c>
      <c r="F98" s="25"/>
      <c r="G98" s="25">
        <f>F98+E98</f>
        <v>0</v>
      </c>
      <c r="H98" s="27">
        <f>ROUND(IF($B98="a",G98*H$5,G98*H$6),0)</f>
        <v>0</v>
      </c>
      <c r="I98" s="25">
        <f>G98+H98</f>
        <v>0</v>
      </c>
      <c r="J98" s="27">
        <f>ROUND(IF($B98="a",I98*J$5,I98*J$6),0)</f>
        <v>0</v>
      </c>
      <c r="K98" s="25">
        <f>I98+J98</f>
        <v>0</v>
      </c>
      <c r="L98" s="27">
        <f>ROUND(IF($B98="a",K98*L$5,K98*L$6),0)</f>
        <v>0</v>
      </c>
      <c r="M98" s="25">
        <f>K98+L98</f>
        <v>0</v>
      </c>
      <c r="N98" s="25">
        <f>H98+J98+L98</f>
        <v>0</v>
      </c>
      <c r="O98" s="25"/>
      <c r="P98" s="25">
        <f>M98+O98</f>
        <v>0</v>
      </c>
      <c r="Q98" s="26"/>
      <c r="R98" s="25">
        <f>O98+F98</f>
        <v>0</v>
      </c>
      <c r="S98" s="25">
        <f>ROUND($S$128*E98/E$125,0)</f>
        <v>0</v>
      </c>
      <c r="T98" s="25">
        <f>ROUND($T$128*F98/F$125,0)</f>
        <v>0</v>
      </c>
    </row>
    <row r="99" spans="2:20" ht="12.75">
      <c r="B99" s="3" t="s">
        <v>33</v>
      </c>
      <c r="C99" s="2">
        <v>908</v>
      </c>
      <c r="D99" s="2" t="s">
        <v>101</v>
      </c>
      <c r="E99" s="25">
        <f>ROUND('ElLabor$'!Q101,0)</f>
        <v>103521</v>
      </c>
      <c r="F99" s="25"/>
      <c r="G99" s="25">
        <f>F99+E99</f>
        <v>103521</v>
      </c>
      <c r="H99" s="27">
        <f>ROUND(IF($B99="a",G99*H$5,G99*H$6),0)</f>
        <v>1572</v>
      </c>
      <c r="I99" s="25">
        <f>G99+H99</f>
        <v>105093</v>
      </c>
      <c r="J99" s="27">
        <f>ROUND(IF($B99="a",I99*J$5,I99*J$6),0)</f>
        <v>3994</v>
      </c>
      <c r="K99" s="25">
        <f>I99+J99</f>
        <v>109087</v>
      </c>
      <c r="L99" s="27">
        <f>ROUND(IF($B99="a",K99*L$5,K99*L$6),0)</f>
        <v>1384</v>
      </c>
      <c r="M99" s="25">
        <f>K99+L99</f>
        <v>110471</v>
      </c>
      <c r="N99" s="25">
        <f>H99+J99+L99</f>
        <v>6950</v>
      </c>
      <c r="O99" s="25"/>
      <c r="P99" s="25">
        <f>M99+O99</f>
        <v>110471</v>
      </c>
      <c r="Q99" s="26"/>
      <c r="R99" s="25">
        <f>O99+F99</f>
        <v>0</v>
      </c>
      <c r="S99" s="25">
        <f>ROUND($S$128*E99/E$125,0)</f>
        <v>9325</v>
      </c>
      <c r="T99" s="25">
        <f>ROUND($T$128*F99/F$125,0)</f>
        <v>0</v>
      </c>
    </row>
    <row r="100" spans="2:20" ht="12.75">
      <c r="B100" s="3" t="s">
        <v>33</v>
      </c>
      <c r="C100" s="2">
        <v>909</v>
      </c>
      <c r="D100" s="2" t="s">
        <v>102</v>
      </c>
      <c r="E100" s="25">
        <f>ROUND('ElLabor$'!Q102,0)</f>
        <v>5530</v>
      </c>
      <c r="F100" s="25"/>
      <c r="G100" s="25">
        <f>F100+E100</f>
        <v>5530</v>
      </c>
      <c r="H100" s="27">
        <f>ROUND(IF($B100="a",G100*H$5,G100*H$6),0)</f>
        <v>84</v>
      </c>
      <c r="I100" s="25">
        <f>G100+H100</f>
        <v>5614</v>
      </c>
      <c r="J100" s="27">
        <f>ROUND(IF($B100="a",I100*J$5,I100*J$6),0)</f>
        <v>213</v>
      </c>
      <c r="K100" s="25">
        <f>I100+J100</f>
        <v>5827</v>
      </c>
      <c r="L100" s="27">
        <f>ROUND(IF($B100="a",K100*L$5,K100*L$6),0)</f>
        <v>74</v>
      </c>
      <c r="M100" s="25">
        <f>K100+L100</f>
        <v>5901</v>
      </c>
      <c r="N100" s="25">
        <f>H100+J100+L100</f>
        <v>371</v>
      </c>
      <c r="O100" s="25"/>
      <c r="P100" s="25">
        <f>M100+O100</f>
        <v>5901</v>
      </c>
      <c r="Q100" s="26"/>
      <c r="R100" s="25">
        <f>O100+F100</f>
        <v>0</v>
      </c>
      <c r="S100" s="25">
        <f>ROUND($S$128*E100/E$125,0)</f>
        <v>498</v>
      </c>
      <c r="T100" s="25">
        <f>ROUND($T$128*F100/F$125,0)</f>
        <v>0</v>
      </c>
    </row>
    <row r="101" spans="2:20" ht="12.75">
      <c r="B101" s="3" t="s">
        <v>33</v>
      </c>
      <c r="C101" s="2">
        <v>910</v>
      </c>
      <c r="D101" s="2" t="s">
        <v>103</v>
      </c>
      <c r="E101" s="25">
        <f>ROUND('ElLabor$'!Q103,0)</f>
        <v>45</v>
      </c>
      <c r="F101" s="25"/>
      <c r="G101" s="25">
        <f>F101+E101</f>
        <v>45</v>
      </c>
      <c r="H101" s="27">
        <f>ROUND(IF($B101="a",G101*H$5,G101*H$6),0)</f>
        <v>1</v>
      </c>
      <c r="I101" s="25">
        <f>G101+H101</f>
        <v>46</v>
      </c>
      <c r="J101" s="27">
        <f>ROUND(IF($B101="a",I101*J$5,I101*J$6),0)</f>
        <v>2</v>
      </c>
      <c r="K101" s="25">
        <f>I101+J101</f>
        <v>48</v>
      </c>
      <c r="L101" s="27">
        <f>ROUND(IF($B101="a",K101*L$5,K101*L$6),0)</f>
        <v>1</v>
      </c>
      <c r="M101" s="25">
        <f>K101+L101</f>
        <v>49</v>
      </c>
      <c r="N101" s="25">
        <f>H101+J101+L101</f>
        <v>4</v>
      </c>
      <c r="O101" s="25"/>
      <c r="P101" s="25">
        <f>M101+O101</f>
        <v>49</v>
      </c>
      <c r="Q101" s="26"/>
      <c r="R101" s="25">
        <f>O101+F101</f>
        <v>0</v>
      </c>
      <c r="S101" s="25">
        <f>ROUND($S$128*E101/E$125,0)</f>
        <v>4</v>
      </c>
      <c r="T101" s="25">
        <f>ROUND($T$128*F101/F$125,0)</f>
        <v>0</v>
      </c>
    </row>
    <row r="102" spans="3:20" ht="12.75">
      <c r="C102" s="3" t="s">
        <v>12</v>
      </c>
      <c r="E102" s="55">
        <f aca="true" t="shared" si="63" ref="E102:T102">SUM(E98:E101)</f>
        <v>109096</v>
      </c>
      <c r="F102" s="55">
        <f t="shared" si="63"/>
        <v>0</v>
      </c>
      <c r="G102" s="55">
        <f t="shared" si="63"/>
        <v>109096</v>
      </c>
      <c r="H102" s="55">
        <f t="shared" si="63"/>
        <v>1657</v>
      </c>
      <c r="I102" s="55">
        <f t="shared" si="63"/>
        <v>110753</v>
      </c>
      <c r="J102" s="55">
        <f>SUM(J98:J101)</f>
        <v>4209</v>
      </c>
      <c r="K102" s="55">
        <f>SUM(K98:K101)</f>
        <v>114962</v>
      </c>
      <c r="L102" s="55">
        <f>SUM(L98:L101)</f>
        <v>1459</v>
      </c>
      <c r="M102" s="55">
        <f>SUM(M98:M101)</f>
        <v>116421</v>
      </c>
      <c r="N102" s="55">
        <f t="shared" si="63"/>
        <v>7325</v>
      </c>
      <c r="O102" s="55">
        <f t="shared" si="63"/>
        <v>0</v>
      </c>
      <c r="P102" s="55">
        <f t="shared" si="63"/>
        <v>116421</v>
      </c>
      <c r="Q102" s="26"/>
      <c r="R102" s="55">
        <f t="shared" si="63"/>
        <v>0</v>
      </c>
      <c r="S102" s="285">
        <f t="shared" si="63"/>
        <v>9827</v>
      </c>
      <c r="T102" s="285">
        <f t="shared" si="63"/>
        <v>0</v>
      </c>
    </row>
    <row r="103" spans="5:20" ht="12.75"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  <c r="R103" s="25"/>
      <c r="S103" s="25"/>
      <c r="T103" s="25"/>
    </row>
    <row r="104" spans="3:20" ht="12.75">
      <c r="C104" s="3" t="s">
        <v>13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  <c r="R104" s="25"/>
      <c r="S104" s="25"/>
      <c r="T104" s="25"/>
    </row>
    <row r="105" spans="2:20" ht="12.75">
      <c r="B105" s="3" t="s">
        <v>33</v>
      </c>
      <c r="C105" s="3">
        <v>911</v>
      </c>
      <c r="D105" s="3" t="s">
        <v>97</v>
      </c>
      <c r="E105" s="25">
        <f>ROUND('ElLabor$'!Q107,0)</f>
        <v>0</v>
      </c>
      <c r="F105" s="25"/>
      <c r="G105" s="25">
        <f>F105+E105</f>
        <v>0</v>
      </c>
      <c r="H105" s="27">
        <f>ROUND(IF($B105="a",G105*H$5,G105*H$6),0)</f>
        <v>0</v>
      </c>
      <c r="I105" s="25">
        <f>G105+H105</f>
        <v>0</v>
      </c>
      <c r="J105" s="27">
        <f>ROUND(IF($B105="a",I105*J$5,I105*J$6),0)</f>
        <v>0</v>
      </c>
      <c r="K105" s="25">
        <f>I105+J105</f>
        <v>0</v>
      </c>
      <c r="L105" s="27">
        <f>ROUND(IF($B105="a",K105*L$5,K105*L$6),0)</f>
        <v>0</v>
      </c>
      <c r="M105" s="25">
        <f>K105+L105</f>
        <v>0</v>
      </c>
      <c r="N105" s="25">
        <f>H105+J105+L105</f>
        <v>0</v>
      </c>
      <c r="O105" s="25"/>
      <c r="P105" s="25">
        <f>M105+O105</f>
        <v>0</v>
      </c>
      <c r="Q105" s="26"/>
      <c r="R105" s="25">
        <f>O105+F105</f>
        <v>0</v>
      </c>
      <c r="S105" s="25">
        <f>ROUND($S$128*E105/E$125,0)</f>
        <v>0</v>
      </c>
      <c r="T105" s="25">
        <f>ROUND($T$128*F105/F$125,0)</f>
        <v>0</v>
      </c>
    </row>
    <row r="106" spans="2:20" ht="12.75">
      <c r="B106" s="3" t="s">
        <v>33</v>
      </c>
      <c r="C106" s="2">
        <v>912</v>
      </c>
      <c r="D106" s="2" t="s">
        <v>104</v>
      </c>
      <c r="E106" s="25">
        <f>ROUND('ElLabor$'!Q108,0)</f>
        <v>103813</v>
      </c>
      <c r="F106" s="25"/>
      <c r="G106" s="25">
        <f>F106+E106</f>
        <v>103813</v>
      </c>
      <c r="H106" s="27">
        <f>ROUND(IF($B106="a",G106*H$5,G106*H$6),0)</f>
        <v>1577</v>
      </c>
      <c r="I106" s="25">
        <f>G106+H106</f>
        <v>105390</v>
      </c>
      <c r="J106" s="27">
        <f>ROUND(IF($B106="a",I106*J$5,I106*J$6),0)</f>
        <v>4005</v>
      </c>
      <c r="K106" s="25">
        <f>I106+J106</f>
        <v>109395</v>
      </c>
      <c r="L106" s="27">
        <f>ROUND(IF($B106="a",K106*L$5,K106*L$6),0)</f>
        <v>1388</v>
      </c>
      <c r="M106" s="25">
        <f>K106+L106</f>
        <v>110783</v>
      </c>
      <c r="N106" s="25">
        <f>H106+J106+L106</f>
        <v>6970</v>
      </c>
      <c r="O106" s="25"/>
      <c r="P106" s="25">
        <f>M106+O106</f>
        <v>110783</v>
      </c>
      <c r="Q106" s="26"/>
      <c r="R106" s="25">
        <f>O106+F106</f>
        <v>0</v>
      </c>
      <c r="S106" s="25">
        <f>ROUND($S$128*E106/E$125,0)</f>
        <v>9352</v>
      </c>
      <c r="T106" s="25">
        <f>ROUND($T$128*F106/F$125,0)</f>
        <v>0</v>
      </c>
    </row>
    <row r="107" spans="2:20" ht="12.75">
      <c r="B107" s="3" t="s">
        <v>33</v>
      </c>
      <c r="C107" s="2">
        <v>913</v>
      </c>
      <c r="D107" s="2" t="s">
        <v>102</v>
      </c>
      <c r="E107" s="25">
        <f>ROUND('ElLabor$'!Q109,0)</f>
        <v>0</v>
      </c>
      <c r="F107" s="25"/>
      <c r="G107" s="25">
        <f>F107+E107</f>
        <v>0</v>
      </c>
      <c r="H107" s="27">
        <f>ROUND(IF($B107="a",G107*H$5,G107*H$6),0)</f>
        <v>0</v>
      </c>
      <c r="I107" s="25">
        <f>G107+H107</f>
        <v>0</v>
      </c>
      <c r="J107" s="27">
        <f>ROUND(IF($B107="a",I107*J$5,I107*J$6),0)</f>
        <v>0</v>
      </c>
      <c r="K107" s="25">
        <f>I107+J107</f>
        <v>0</v>
      </c>
      <c r="L107" s="27">
        <f>ROUND(IF($B107="a",K107*L$5,K107*L$6),0)</f>
        <v>0</v>
      </c>
      <c r="M107" s="25">
        <f>K107+L107</f>
        <v>0</v>
      </c>
      <c r="N107" s="25">
        <f>H107+J107+L107</f>
        <v>0</v>
      </c>
      <c r="O107" s="25"/>
      <c r="P107" s="25">
        <f>M107+O107</f>
        <v>0</v>
      </c>
      <c r="Q107" s="26"/>
      <c r="R107" s="25">
        <f>O107+F107</f>
        <v>0</v>
      </c>
      <c r="S107" s="25">
        <f>ROUND($S$128*E107/E$125,0)</f>
        <v>0</v>
      </c>
      <c r="T107" s="25">
        <f>ROUND($T$128*F107/F$125,0)</f>
        <v>0</v>
      </c>
    </row>
    <row r="108" spans="2:20" ht="12.75">
      <c r="B108" s="3" t="s">
        <v>33</v>
      </c>
      <c r="C108" s="2">
        <v>916</v>
      </c>
      <c r="D108" s="2" t="s">
        <v>105</v>
      </c>
      <c r="E108" s="25">
        <f>ROUND('ElLabor$'!Q110,0)</f>
        <v>0</v>
      </c>
      <c r="F108" s="25"/>
      <c r="G108" s="25">
        <f>F108+E108</f>
        <v>0</v>
      </c>
      <c r="H108" s="27">
        <f>ROUND(IF($B108="a",G108*H$5,G108*H$6),0)</f>
        <v>0</v>
      </c>
      <c r="I108" s="25">
        <f>G108+H108</f>
        <v>0</v>
      </c>
      <c r="J108" s="27">
        <f>ROUND(IF($B108="a",I108*J$5,I108*J$6),0)</f>
        <v>0</v>
      </c>
      <c r="K108" s="25">
        <f>I108+J108</f>
        <v>0</v>
      </c>
      <c r="L108" s="27">
        <f>ROUND(IF($B108="a",K108*L$5,K108*L$6),0)</f>
        <v>0</v>
      </c>
      <c r="M108" s="25">
        <f>K108+L108</f>
        <v>0</v>
      </c>
      <c r="N108" s="25">
        <f>H108+J108+L108</f>
        <v>0</v>
      </c>
      <c r="O108" s="25"/>
      <c r="P108" s="25">
        <f>M108+O108</f>
        <v>0</v>
      </c>
      <c r="Q108" s="26"/>
      <c r="R108" s="25">
        <f>O108+F108</f>
        <v>0</v>
      </c>
      <c r="S108" s="25">
        <f>ROUND($S$128*E108/E$125,0)</f>
        <v>0</v>
      </c>
      <c r="T108" s="25">
        <f>ROUND($T$128*F108/F$125,0)</f>
        <v>0</v>
      </c>
    </row>
    <row r="109" spans="3:20" ht="12.75">
      <c r="C109" s="3" t="s">
        <v>14</v>
      </c>
      <c r="E109" s="55">
        <f aca="true" t="shared" si="64" ref="E109:T109">SUM(E105:E108)</f>
        <v>103813</v>
      </c>
      <c r="F109" s="55">
        <f t="shared" si="64"/>
        <v>0</v>
      </c>
      <c r="G109" s="55">
        <f t="shared" si="64"/>
        <v>103813</v>
      </c>
      <c r="H109" s="55">
        <f t="shared" si="64"/>
        <v>1577</v>
      </c>
      <c r="I109" s="55">
        <f t="shared" si="64"/>
        <v>105390</v>
      </c>
      <c r="J109" s="55">
        <f>SUM(J105:J108)</f>
        <v>4005</v>
      </c>
      <c r="K109" s="55">
        <f>SUM(K105:K108)</f>
        <v>109395</v>
      </c>
      <c r="L109" s="55">
        <f>SUM(L105:L108)</f>
        <v>1388</v>
      </c>
      <c r="M109" s="55">
        <f>SUM(M105:M108)</f>
        <v>110783</v>
      </c>
      <c r="N109" s="55">
        <f t="shared" si="64"/>
        <v>6970</v>
      </c>
      <c r="O109" s="55">
        <f t="shared" si="64"/>
        <v>0</v>
      </c>
      <c r="P109" s="55">
        <f t="shared" si="64"/>
        <v>110783</v>
      </c>
      <c r="Q109" s="26"/>
      <c r="R109" s="55">
        <f t="shared" si="64"/>
        <v>0</v>
      </c>
      <c r="S109" s="285">
        <f t="shared" si="64"/>
        <v>9352</v>
      </c>
      <c r="T109" s="285">
        <f t="shared" si="64"/>
        <v>0</v>
      </c>
    </row>
    <row r="110" spans="5:20" ht="12.75"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6"/>
      <c r="R110" s="25"/>
      <c r="S110" s="25"/>
      <c r="T110" s="25"/>
    </row>
    <row r="111" spans="3:20" ht="12.75">
      <c r="C111" s="3" t="s">
        <v>15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6"/>
      <c r="R111" s="25"/>
      <c r="S111" s="25"/>
      <c r="T111" s="25"/>
    </row>
    <row r="112" spans="2:20" ht="12.75">
      <c r="B112" s="3" t="s">
        <v>33</v>
      </c>
      <c r="C112" s="2">
        <v>920</v>
      </c>
      <c r="D112" s="2" t="s">
        <v>106</v>
      </c>
      <c r="E112" s="25">
        <f>ROUND('ElLabor$'!Q114,0)-2</f>
        <v>3840448</v>
      </c>
      <c r="F112" s="25">
        <f>-RemoveExec!G17</f>
        <v>-697650</v>
      </c>
      <c r="G112" s="25">
        <f aca="true" t="shared" si="65" ref="G112:G122">F112+E112</f>
        <v>3142798</v>
      </c>
      <c r="H112" s="27">
        <f aca="true" t="shared" si="66" ref="H112:H122">ROUND(IF($B112="a",G112*H$5,G112*H$6),0)</f>
        <v>47739</v>
      </c>
      <c r="I112" s="25">
        <f aca="true" t="shared" si="67" ref="I112:I122">G112+H112</f>
        <v>3190537</v>
      </c>
      <c r="J112" s="27">
        <f aca="true" t="shared" si="68" ref="J112:J122">ROUND(IF($B112="a",I112*J$5,I112*J$6),0)</f>
        <v>121240</v>
      </c>
      <c r="K112" s="25">
        <f aca="true" t="shared" si="69" ref="K112:M122">I112+J112</f>
        <v>3311777</v>
      </c>
      <c r="L112" s="27">
        <f aca="true" t="shared" si="70" ref="L112:L122">ROUND(IF($B112="a",K112*L$5,K112*L$6),0)</f>
        <v>42026</v>
      </c>
      <c r="M112" s="25">
        <f t="shared" si="69"/>
        <v>3353803</v>
      </c>
      <c r="N112" s="25">
        <f aca="true" t="shared" si="71" ref="N112:N122">H112+J112+L112</f>
        <v>211005</v>
      </c>
      <c r="O112" s="25">
        <f>'Pro Forma Spread'!H35</f>
        <v>821073</v>
      </c>
      <c r="P112" s="25">
        <f aca="true" t="shared" si="72" ref="P112:P122">M112+O112</f>
        <v>4174876</v>
      </c>
      <c r="Q112" s="26"/>
      <c r="R112" s="25">
        <f aca="true" t="shared" si="73" ref="R112:R122">O112+F112</f>
        <v>123423</v>
      </c>
      <c r="S112" s="25">
        <f>ROUND($S$128*E112/E$125,0)+3</f>
        <v>345961</v>
      </c>
      <c r="T112" s="25">
        <f>ROUND($T$128*F112/F$125,0)</f>
        <v>495667</v>
      </c>
    </row>
    <row r="113" spans="2:20" ht="12.75">
      <c r="B113" s="3" t="s">
        <v>33</v>
      </c>
      <c r="C113" s="2">
        <v>921</v>
      </c>
      <c r="D113" s="2" t="s">
        <v>107</v>
      </c>
      <c r="E113" s="25">
        <f>ROUND('ElLabor$'!Q115,0)</f>
        <v>10988</v>
      </c>
      <c r="F113" s="25"/>
      <c r="G113" s="25">
        <f t="shared" si="65"/>
        <v>10988</v>
      </c>
      <c r="H113" s="27">
        <f t="shared" si="66"/>
        <v>167</v>
      </c>
      <c r="I113" s="25">
        <f t="shared" si="67"/>
        <v>11155</v>
      </c>
      <c r="J113" s="27">
        <f t="shared" si="68"/>
        <v>424</v>
      </c>
      <c r="K113" s="25">
        <f t="shared" si="69"/>
        <v>11579</v>
      </c>
      <c r="L113" s="27">
        <f t="shared" si="70"/>
        <v>147</v>
      </c>
      <c r="M113" s="25">
        <f t="shared" si="69"/>
        <v>11726</v>
      </c>
      <c r="N113" s="25">
        <f t="shared" si="71"/>
        <v>738</v>
      </c>
      <c r="O113" s="25"/>
      <c r="P113" s="25">
        <f t="shared" si="72"/>
        <v>11726</v>
      </c>
      <c r="Q113" s="26"/>
      <c r="R113" s="25">
        <f t="shared" si="73"/>
        <v>0</v>
      </c>
      <c r="S113" s="25">
        <f aca="true" t="shared" si="74" ref="S113:S122">ROUND($S$128*E113/E$125,0)</f>
        <v>990</v>
      </c>
      <c r="T113" s="25">
        <f>ROUND($T$128*F113/F$125,0)</f>
        <v>0</v>
      </c>
    </row>
    <row r="114" spans="2:20" ht="12.75">
      <c r="B114" s="3" t="s">
        <v>33</v>
      </c>
      <c r="C114" s="2">
        <v>923</v>
      </c>
      <c r="D114" s="2" t="s">
        <v>108</v>
      </c>
      <c r="E114" s="25">
        <f>ROUND('ElLabor$'!Q116,0)</f>
        <v>932</v>
      </c>
      <c r="F114" s="25"/>
      <c r="G114" s="25">
        <f t="shared" si="65"/>
        <v>932</v>
      </c>
      <c r="H114" s="27">
        <f t="shared" si="66"/>
        <v>14</v>
      </c>
      <c r="I114" s="25">
        <f t="shared" si="67"/>
        <v>946</v>
      </c>
      <c r="J114" s="27">
        <f t="shared" si="68"/>
        <v>36</v>
      </c>
      <c r="K114" s="25">
        <f t="shared" si="69"/>
        <v>982</v>
      </c>
      <c r="L114" s="27">
        <f t="shared" si="70"/>
        <v>12</v>
      </c>
      <c r="M114" s="25">
        <f t="shared" si="69"/>
        <v>994</v>
      </c>
      <c r="N114" s="25">
        <f t="shared" si="71"/>
        <v>62</v>
      </c>
      <c r="O114" s="25"/>
      <c r="P114" s="25">
        <f t="shared" si="72"/>
        <v>994</v>
      </c>
      <c r="Q114" s="26"/>
      <c r="R114" s="25">
        <f t="shared" si="73"/>
        <v>0</v>
      </c>
      <c r="S114" s="25">
        <f t="shared" si="74"/>
        <v>84</v>
      </c>
      <c r="T114" s="25">
        <f aca="true" t="shared" si="75" ref="T114:T122">ROUND($T$128*F114/F$125,0)</f>
        <v>0</v>
      </c>
    </row>
    <row r="115" spans="2:20" ht="12.75">
      <c r="B115" s="3" t="s">
        <v>33</v>
      </c>
      <c r="C115" s="2">
        <v>924</v>
      </c>
      <c r="D115" s="2" t="s">
        <v>109</v>
      </c>
      <c r="E115" s="25">
        <f>ROUND('ElLabor$'!Q117,0)</f>
        <v>0</v>
      </c>
      <c r="F115" s="25"/>
      <c r="G115" s="25">
        <f t="shared" si="65"/>
        <v>0</v>
      </c>
      <c r="H115" s="27">
        <f t="shared" si="66"/>
        <v>0</v>
      </c>
      <c r="I115" s="25">
        <f t="shared" si="67"/>
        <v>0</v>
      </c>
      <c r="J115" s="27">
        <f t="shared" si="68"/>
        <v>0</v>
      </c>
      <c r="K115" s="25">
        <f t="shared" si="69"/>
        <v>0</v>
      </c>
      <c r="L115" s="27">
        <f t="shared" si="70"/>
        <v>0</v>
      </c>
      <c r="M115" s="25">
        <f t="shared" si="69"/>
        <v>0</v>
      </c>
      <c r="N115" s="25">
        <f t="shared" si="71"/>
        <v>0</v>
      </c>
      <c r="O115" s="25"/>
      <c r="P115" s="25">
        <f t="shared" si="72"/>
        <v>0</v>
      </c>
      <c r="Q115" s="26"/>
      <c r="R115" s="25">
        <f t="shared" si="73"/>
        <v>0</v>
      </c>
      <c r="S115" s="25">
        <f t="shared" si="74"/>
        <v>0</v>
      </c>
      <c r="T115" s="25">
        <f t="shared" si="75"/>
        <v>0</v>
      </c>
    </row>
    <row r="116" spans="2:20" ht="12.75">
      <c r="B116" s="3" t="s">
        <v>33</v>
      </c>
      <c r="C116" s="2">
        <v>925</v>
      </c>
      <c r="D116" s="2" t="s">
        <v>110</v>
      </c>
      <c r="E116" s="25">
        <f>ROUND('ElLabor$'!Q118,0)</f>
        <v>64316</v>
      </c>
      <c r="F116" s="25"/>
      <c r="G116" s="25">
        <f t="shared" si="65"/>
        <v>64316</v>
      </c>
      <c r="H116" s="27">
        <f t="shared" si="66"/>
        <v>977</v>
      </c>
      <c r="I116" s="25">
        <f t="shared" si="67"/>
        <v>65293</v>
      </c>
      <c r="J116" s="27">
        <f t="shared" si="68"/>
        <v>2481</v>
      </c>
      <c r="K116" s="25">
        <f t="shared" si="69"/>
        <v>67774</v>
      </c>
      <c r="L116" s="27">
        <f t="shared" si="70"/>
        <v>860</v>
      </c>
      <c r="M116" s="25">
        <f t="shared" si="69"/>
        <v>68634</v>
      </c>
      <c r="N116" s="25">
        <f t="shared" si="71"/>
        <v>4318</v>
      </c>
      <c r="O116" s="25"/>
      <c r="P116" s="25">
        <f t="shared" si="72"/>
        <v>68634</v>
      </c>
      <c r="Q116" s="26"/>
      <c r="R116" s="25">
        <f t="shared" si="73"/>
        <v>0</v>
      </c>
      <c r="S116" s="25">
        <f t="shared" si="74"/>
        <v>5794</v>
      </c>
      <c r="T116" s="25">
        <f t="shared" si="75"/>
        <v>0</v>
      </c>
    </row>
    <row r="117" spans="2:20" ht="12.75">
      <c r="B117" s="3" t="s">
        <v>33</v>
      </c>
      <c r="C117" s="2">
        <v>926</v>
      </c>
      <c r="D117" s="2" t="s">
        <v>111</v>
      </c>
      <c r="E117" s="25">
        <f>ROUND('ElLabor$'!Q119,0)</f>
        <v>0</v>
      </c>
      <c r="F117" s="25"/>
      <c r="G117" s="25">
        <f t="shared" si="65"/>
        <v>0</v>
      </c>
      <c r="H117" s="27">
        <f t="shared" si="66"/>
        <v>0</v>
      </c>
      <c r="I117" s="25">
        <f t="shared" si="67"/>
        <v>0</v>
      </c>
      <c r="J117" s="27">
        <f t="shared" si="68"/>
        <v>0</v>
      </c>
      <c r="K117" s="25">
        <f t="shared" si="69"/>
        <v>0</v>
      </c>
      <c r="L117" s="27">
        <f t="shared" si="70"/>
        <v>0</v>
      </c>
      <c r="M117" s="25">
        <f t="shared" si="69"/>
        <v>0</v>
      </c>
      <c r="N117" s="25">
        <f t="shared" si="71"/>
        <v>0</v>
      </c>
      <c r="O117" s="25"/>
      <c r="P117" s="25">
        <f t="shared" si="72"/>
        <v>0</v>
      </c>
      <c r="Q117" s="26"/>
      <c r="R117" s="25">
        <f t="shared" si="73"/>
        <v>0</v>
      </c>
      <c r="S117" s="25">
        <f t="shared" si="74"/>
        <v>0</v>
      </c>
      <c r="T117" s="25">
        <f t="shared" si="75"/>
        <v>0</v>
      </c>
    </row>
    <row r="118" spans="2:20" ht="12.75">
      <c r="B118" s="3" t="s">
        <v>33</v>
      </c>
      <c r="C118" s="2">
        <v>927</v>
      </c>
      <c r="D118" s="2" t="s">
        <v>112</v>
      </c>
      <c r="E118" s="25">
        <f>ROUND('ElLabor$'!Q120,0)</f>
        <v>0</v>
      </c>
      <c r="F118" s="25"/>
      <c r="G118" s="25">
        <f t="shared" si="65"/>
        <v>0</v>
      </c>
      <c r="H118" s="27">
        <f t="shared" si="66"/>
        <v>0</v>
      </c>
      <c r="I118" s="25">
        <f t="shared" si="67"/>
        <v>0</v>
      </c>
      <c r="J118" s="27">
        <f t="shared" si="68"/>
        <v>0</v>
      </c>
      <c r="K118" s="25">
        <f t="shared" si="69"/>
        <v>0</v>
      </c>
      <c r="L118" s="27">
        <f t="shared" si="70"/>
        <v>0</v>
      </c>
      <c r="M118" s="25">
        <f t="shared" si="69"/>
        <v>0</v>
      </c>
      <c r="N118" s="25">
        <f t="shared" si="71"/>
        <v>0</v>
      </c>
      <c r="O118" s="25"/>
      <c r="P118" s="25">
        <f t="shared" si="72"/>
        <v>0</v>
      </c>
      <c r="Q118" s="26"/>
      <c r="R118" s="25">
        <f t="shared" si="73"/>
        <v>0</v>
      </c>
      <c r="S118" s="25">
        <f t="shared" si="74"/>
        <v>0</v>
      </c>
      <c r="T118" s="25">
        <f t="shared" si="75"/>
        <v>0</v>
      </c>
    </row>
    <row r="119" spans="2:20" ht="12.75">
      <c r="B119" s="3" t="s">
        <v>33</v>
      </c>
      <c r="C119" s="2">
        <v>928</v>
      </c>
      <c r="D119" s="2" t="s">
        <v>113</v>
      </c>
      <c r="E119" s="25">
        <f>ROUND('ElLabor$'!Q121,0)</f>
        <v>304692</v>
      </c>
      <c r="F119" s="25"/>
      <c r="G119" s="25">
        <f t="shared" si="65"/>
        <v>304692</v>
      </c>
      <c r="H119" s="27">
        <f t="shared" si="66"/>
        <v>4628</v>
      </c>
      <c r="I119" s="25">
        <f t="shared" si="67"/>
        <v>309320</v>
      </c>
      <c r="J119" s="27">
        <f t="shared" si="68"/>
        <v>11754</v>
      </c>
      <c r="K119" s="25">
        <f t="shared" si="69"/>
        <v>321074</v>
      </c>
      <c r="L119" s="27">
        <f t="shared" si="70"/>
        <v>4074</v>
      </c>
      <c r="M119" s="25">
        <f t="shared" si="69"/>
        <v>325148</v>
      </c>
      <c r="N119" s="25">
        <f t="shared" si="71"/>
        <v>20456</v>
      </c>
      <c r="O119" s="25"/>
      <c r="P119" s="25">
        <f t="shared" si="72"/>
        <v>325148</v>
      </c>
      <c r="Q119" s="26"/>
      <c r="R119" s="25">
        <f t="shared" si="73"/>
        <v>0</v>
      </c>
      <c r="S119" s="25">
        <f t="shared" si="74"/>
        <v>27447</v>
      </c>
      <c r="T119" s="25">
        <f t="shared" si="75"/>
        <v>0</v>
      </c>
    </row>
    <row r="120" spans="2:20" ht="12.75">
      <c r="B120" s="3" t="s">
        <v>33</v>
      </c>
      <c r="C120" s="2">
        <v>930</v>
      </c>
      <c r="D120" s="2" t="s">
        <v>114</v>
      </c>
      <c r="E120" s="25">
        <f>ROUND('ElLabor$'!Q122,0)</f>
        <v>121600</v>
      </c>
      <c r="F120" s="25">
        <f>-RemoveExec!G18</f>
        <v>0</v>
      </c>
      <c r="G120" s="25">
        <f t="shared" si="65"/>
        <v>121600</v>
      </c>
      <c r="H120" s="27">
        <f t="shared" si="66"/>
        <v>1847</v>
      </c>
      <c r="I120" s="25">
        <f t="shared" si="67"/>
        <v>123447</v>
      </c>
      <c r="J120" s="27">
        <f t="shared" si="68"/>
        <v>4691</v>
      </c>
      <c r="K120" s="25">
        <f t="shared" si="69"/>
        <v>128138</v>
      </c>
      <c r="L120" s="27">
        <f t="shared" si="70"/>
        <v>1626</v>
      </c>
      <c r="M120" s="25">
        <f t="shared" si="69"/>
        <v>129764</v>
      </c>
      <c r="N120" s="25">
        <f t="shared" si="71"/>
        <v>8164</v>
      </c>
      <c r="O120" s="25"/>
      <c r="P120" s="25">
        <f t="shared" si="72"/>
        <v>129764</v>
      </c>
      <c r="Q120" s="26"/>
      <c r="R120" s="25">
        <f t="shared" si="73"/>
        <v>0</v>
      </c>
      <c r="S120" s="25">
        <f t="shared" si="74"/>
        <v>10954</v>
      </c>
      <c r="T120" s="25">
        <f t="shared" si="75"/>
        <v>0</v>
      </c>
    </row>
    <row r="121" spans="2:20" ht="12.75">
      <c r="B121" s="3" t="s">
        <v>33</v>
      </c>
      <c r="C121" s="2">
        <v>931</v>
      </c>
      <c r="D121" s="2" t="s">
        <v>115</v>
      </c>
      <c r="E121" s="25">
        <f>ROUND('ElLabor$'!Q123,0)</f>
        <v>0</v>
      </c>
      <c r="F121" s="25"/>
      <c r="G121" s="25">
        <f t="shared" si="65"/>
        <v>0</v>
      </c>
      <c r="H121" s="27">
        <f t="shared" si="66"/>
        <v>0</v>
      </c>
      <c r="I121" s="25">
        <f t="shared" si="67"/>
        <v>0</v>
      </c>
      <c r="J121" s="27">
        <f t="shared" si="68"/>
        <v>0</v>
      </c>
      <c r="K121" s="25">
        <f t="shared" si="69"/>
        <v>0</v>
      </c>
      <c r="L121" s="27">
        <f t="shared" si="70"/>
        <v>0</v>
      </c>
      <c r="M121" s="25">
        <f t="shared" si="69"/>
        <v>0</v>
      </c>
      <c r="N121" s="25">
        <f t="shared" si="71"/>
        <v>0</v>
      </c>
      <c r="O121" s="25"/>
      <c r="P121" s="25">
        <f t="shared" si="72"/>
        <v>0</v>
      </c>
      <c r="Q121" s="26"/>
      <c r="R121" s="25">
        <f t="shared" si="73"/>
        <v>0</v>
      </c>
      <c r="S121" s="25">
        <f t="shared" si="74"/>
        <v>0</v>
      </c>
      <c r="T121" s="25">
        <f t="shared" si="75"/>
        <v>0</v>
      </c>
    </row>
    <row r="122" spans="3:20" ht="12.75">
      <c r="C122" s="2">
        <v>935</v>
      </c>
      <c r="D122" s="2" t="s">
        <v>116</v>
      </c>
      <c r="E122" s="25">
        <f>ROUND('ElLabor$'!Q124,0)</f>
        <v>508406</v>
      </c>
      <c r="F122" s="25"/>
      <c r="G122" s="25">
        <f t="shared" si="65"/>
        <v>508406</v>
      </c>
      <c r="H122" s="28">
        <f t="shared" si="66"/>
        <v>8633</v>
      </c>
      <c r="I122" s="25">
        <f t="shared" si="67"/>
        <v>517039</v>
      </c>
      <c r="J122" s="28">
        <f t="shared" si="68"/>
        <v>20682</v>
      </c>
      <c r="K122" s="25">
        <f t="shared" si="69"/>
        <v>537721</v>
      </c>
      <c r="L122" s="28">
        <f t="shared" si="70"/>
        <v>5372</v>
      </c>
      <c r="M122" s="25">
        <f t="shared" si="69"/>
        <v>543093</v>
      </c>
      <c r="N122" s="25">
        <f t="shared" si="71"/>
        <v>34687</v>
      </c>
      <c r="O122" s="25"/>
      <c r="P122" s="25">
        <f t="shared" si="72"/>
        <v>543093</v>
      </c>
      <c r="Q122" s="26"/>
      <c r="R122" s="25">
        <f t="shared" si="73"/>
        <v>0</v>
      </c>
      <c r="S122" s="25">
        <f t="shared" si="74"/>
        <v>45799</v>
      </c>
      <c r="T122" s="25">
        <f t="shared" si="75"/>
        <v>0</v>
      </c>
    </row>
    <row r="123" spans="3:20" ht="12.75">
      <c r="C123" s="3" t="s">
        <v>16</v>
      </c>
      <c r="E123" s="55">
        <f aca="true" t="shared" si="76" ref="E123:T123">SUM(E112:E122)</f>
        <v>4851382</v>
      </c>
      <c r="F123" s="55">
        <f t="shared" si="76"/>
        <v>-697650</v>
      </c>
      <c r="G123" s="55">
        <f t="shared" si="76"/>
        <v>4153732</v>
      </c>
      <c r="H123" s="55">
        <f t="shared" si="76"/>
        <v>64005</v>
      </c>
      <c r="I123" s="55">
        <f t="shared" si="76"/>
        <v>4217737</v>
      </c>
      <c r="J123" s="55">
        <f>SUM(J112:J122)</f>
        <v>161308</v>
      </c>
      <c r="K123" s="55">
        <f>SUM(K112:K122)</f>
        <v>4379045</v>
      </c>
      <c r="L123" s="55">
        <f>SUM(L112:L122)</f>
        <v>54117</v>
      </c>
      <c r="M123" s="55">
        <f>SUM(M112:M122)</f>
        <v>4433162</v>
      </c>
      <c r="N123" s="55">
        <f t="shared" si="76"/>
        <v>279430</v>
      </c>
      <c r="O123" s="55">
        <f t="shared" si="76"/>
        <v>821073</v>
      </c>
      <c r="P123" s="55">
        <f t="shared" si="76"/>
        <v>5254235</v>
      </c>
      <c r="Q123" s="26"/>
      <c r="R123" s="55">
        <f t="shared" si="76"/>
        <v>123423</v>
      </c>
      <c r="S123" s="285">
        <f t="shared" si="76"/>
        <v>437029</v>
      </c>
      <c r="T123" s="285">
        <f t="shared" si="76"/>
        <v>495667</v>
      </c>
    </row>
    <row r="124" spans="5:20" ht="12.75"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6"/>
      <c r="R124" s="25"/>
      <c r="S124" s="25"/>
      <c r="T124" s="25"/>
    </row>
    <row r="125" spans="3:20" ht="12.75">
      <c r="C125" s="3" t="s">
        <v>117</v>
      </c>
      <c r="E125" s="55">
        <f aca="true" t="shared" si="77" ref="E125:O125">E123+E109+E102+E95+E88+E66+E50</f>
        <v>16703613</v>
      </c>
      <c r="F125" s="55">
        <f t="shared" si="77"/>
        <v>-746118</v>
      </c>
      <c r="G125" s="55">
        <f t="shared" si="77"/>
        <v>15957495</v>
      </c>
      <c r="H125" s="55">
        <f t="shared" si="77"/>
        <v>256457</v>
      </c>
      <c r="I125" s="55">
        <f t="shared" si="77"/>
        <v>16213952</v>
      </c>
      <c r="J125" s="55">
        <f>J123+J109+J102+J95+J88+J66+J50</f>
        <v>632113</v>
      </c>
      <c r="K125" s="55">
        <f>K123+K109+K102+K95+K88+K66+K50</f>
        <v>16846065</v>
      </c>
      <c r="L125" s="55">
        <f>L123+L109+L102+L95+L88+L66+L50</f>
        <v>191337</v>
      </c>
      <c r="M125" s="55">
        <f>M123+M109+M102+M95+M88+M66+M50</f>
        <v>17037402</v>
      </c>
      <c r="N125" s="55">
        <f t="shared" si="77"/>
        <v>1079907</v>
      </c>
      <c r="O125" s="55">
        <f t="shared" si="77"/>
        <v>874666</v>
      </c>
      <c r="P125" s="55">
        <f>P123+P109+P102+P95+P88+P66+P50</f>
        <v>17912068</v>
      </c>
      <c r="Q125" s="26"/>
      <c r="R125" s="55">
        <f>R123+R109+R102+R95+R88+R66+R50</f>
        <v>128548</v>
      </c>
      <c r="S125" s="285">
        <f>S123+S109+S102+S95+S88+S66+S50</f>
        <v>1504706</v>
      </c>
      <c r="T125" s="285">
        <f>T123+T109+T102+T95+T88+T66+T50</f>
        <v>530103</v>
      </c>
    </row>
    <row r="127" spans="5:18" ht="12.75">
      <c r="E127" s="133">
        <f>'ElLabor$'!Q127</f>
        <v>16703613</v>
      </c>
      <c r="F127" s="176">
        <f>RemoveExec!G22</f>
        <v>746118</v>
      </c>
      <c r="G127" s="7"/>
      <c r="O127" s="56"/>
      <c r="P127" s="56"/>
      <c r="Q127" s="132"/>
      <c r="R127" s="56"/>
    </row>
    <row r="128" spans="4:20" ht="12.75">
      <c r="D128" s="16"/>
      <c r="E128" s="26"/>
      <c r="N128" s="25">
        <f>L125+J125+H125</f>
        <v>1079907</v>
      </c>
      <c r="O128" s="25">
        <f>'Pro Forma Spread'!H38</f>
        <v>874666</v>
      </c>
      <c r="P128" s="25">
        <f>M125+O125</f>
        <v>17912068</v>
      </c>
      <c r="R128" s="25">
        <f>O128-F127</f>
        <v>128548</v>
      </c>
      <c r="S128" s="182">
        <f>Pension!G19</f>
        <v>1504707</v>
      </c>
      <c r="T128" s="182">
        <f>Pension!H19</f>
        <v>530103</v>
      </c>
    </row>
    <row r="129" spans="6:16" ht="12.75">
      <c r="F129" s="25"/>
      <c r="P129" s="25"/>
    </row>
  </sheetData>
  <printOptions/>
  <pageMargins left="0.53" right="0.28" top="0.5" bottom="0.42" header="0.4" footer="0.25"/>
  <pageSetup horizontalDpi="300" verticalDpi="300" orientation="landscape" scale="65" r:id="rId3"/>
  <headerFooter alignWithMargins="0">
    <oddFooter>&amp;C&amp;F&amp;A&amp;R&amp;D&amp;T</oddFooter>
  </headerFooter>
  <colBreaks count="1" manualBreakCount="1">
    <brk id="1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37"/>
  <sheetViews>
    <sheetView workbookViewId="0" topLeftCell="C1">
      <selection activeCell="E73" sqref="E73"/>
    </sheetView>
  </sheetViews>
  <sheetFormatPr defaultColWidth="9.33203125" defaultRowHeight="12.75"/>
  <cols>
    <col min="1" max="1" width="2.33203125" style="3" customWidth="1"/>
    <col min="2" max="2" width="3" style="3" customWidth="1"/>
    <col min="3" max="3" width="5.5" style="21" customWidth="1"/>
    <col min="4" max="4" width="33.5" style="21" customWidth="1"/>
    <col min="5" max="5" width="10.16015625" style="3" bestFit="1" customWidth="1"/>
    <col min="6" max="6" width="9" style="3" bestFit="1" customWidth="1"/>
    <col min="7" max="7" width="10.16015625" style="3" bestFit="1" customWidth="1"/>
    <col min="8" max="8" width="15.66015625" style="3" customWidth="1"/>
    <col min="9" max="9" width="14" style="3" customWidth="1"/>
    <col min="10" max="10" width="15.66015625" style="3" customWidth="1"/>
    <col min="11" max="11" width="14" style="3" customWidth="1"/>
    <col min="12" max="12" width="15.66015625" style="3" customWidth="1"/>
    <col min="13" max="13" width="14" style="3" customWidth="1"/>
    <col min="14" max="14" width="13.83203125" style="3" customWidth="1"/>
    <col min="15" max="15" width="12.33203125" style="3" customWidth="1"/>
    <col min="16" max="16" width="13.83203125" style="3" customWidth="1"/>
    <col min="17" max="17" width="0.82421875" style="3" customWidth="1"/>
    <col min="18" max="20" width="13.83203125" style="3" customWidth="1"/>
    <col min="21" max="16384" width="9.33203125" style="3" customWidth="1"/>
  </cols>
  <sheetData>
    <row r="1" spans="3:4" ht="15.75">
      <c r="C1" s="114" t="s">
        <v>30</v>
      </c>
      <c r="D1" s="20"/>
    </row>
    <row r="2" spans="3:4" ht="12.75">
      <c r="C2" s="22" t="s">
        <v>129</v>
      </c>
      <c r="D2" s="22"/>
    </row>
    <row r="3" spans="3:4" ht="12.75">
      <c r="C3" s="22" t="str">
        <f>ElWAAdj!C3</f>
        <v>Twelve Months Ended September 30, 2008</v>
      </c>
      <c r="D3" s="22"/>
    </row>
    <row r="4" spans="3:20" ht="12.75">
      <c r="C4" s="23"/>
      <c r="D4" s="23"/>
      <c r="E4" s="4"/>
      <c r="F4" s="4"/>
      <c r="G4" s="4"/>
      <c r="H4" s="4" t="str">
        <f>ElWAAdj!H4</f>
        <v>2008 Increase</v>
      </c>
      <c r="I4" s="4"/>
      <c r="J4" s="4" t="str">
        <f>ElWAAdj!J4</f>
        <v>2009 Increase</v>
      </c>
      <c r="K4" s="4"/>
      <c r="L4" s="4" t="str">
        <f>ElWAAdj!L4</f>
        <v>2010 Increase</v>
      </c>
      <c r="M4" s="4"/>
      <c r="N4" s="4" t="s">
        <v>0</v>
      </c>
      <c r="O4" s="4" t="s">
        <v>176</v>
      </c>
      <c r="P4" s="4" t="str">
        <f>ElWAAdj!P4</f>
        <v>Total 2010</v>
      </c>
      <c r="Q4" s="33"/>
      <c r="R4" s="4" t="str">
        <f>ElWAAdj!R4</f>
        <v>Net 2010</v>
      </c>
      <c r="S4" s="4" t="s">
        <v>37</v>
      </c>
      <c r="T4" s="4" t="s">
        <v>479</v>
      </c>
    </row>
    <row r="5" spans="3:20" ht="12.75">
      <c r="C5" s="23"/>
      <c r="D5" s="23"/>
      <c r="E5" s="4"/>
      <c r="F5" s="4" t="s">
        <v>145</v>
      </c>
      <c r="G5" s="4" t="s">
        <v>1</v>
      </c>
      <c r="H5" s="145">
        <f>'LaborAdj%'!D26</f>
        <v>0.01519</v>
      </c>
      <c r="I5" s="4" t="s">
        <v>2</v>
      </c>
      <c r="J5" s="145">
        <f>'LaborAdj%'!D28</f>
        <v>0.038</v>
      </c>
      <c r="K5" s="4" t="s">
        <v>2</v>
      </c>
      <c r="L5" s="145">
        <f>'LaborAdj%'!D30</f>
        <v>0.038</v>
      </c>
      <c r="M5" s="4" t="s">
        <v>2</v>
      </c>
      <c r="N5" s="53" t="str">
        <f>ElWAAdj!N5</f>
        <v>2008,2009,2010</v>
      </c>
      <c r="O5" s="4" t="s">
        <v>45</v>
      </c>
      <c r="P5" s="4" t="s">
        <v>45</v>
      </c>
      <c r="Q5" s="33"/>
      <c r="R5" s="4" t="s">
        <v>345</v>
      </c>
      <c r="S5" s="4" t="s">
        <v>45</v>
      </c>
      <c r="T5" s="4" t="s">
        <v>45</v>
      </c>
    </row>
    <row r="6" spans="5:20" ht="12.75">
      <c r="E6" s="6" t="s">
        <v>47</v>
      </c>
      <c r="F6" s="6" t="s">
        <v>146</v>
      </c>
      <c r="G6" s="6" t="s">
        <v>47</v>
      </c>
      <c r="H6" s="1">
        <f>'LaborAdj%'!D11</f>
        <v>0.01698</v>
      </c>
      <c r="I6" s="5" t="str">
        <f>ElWAAdj!I6</f>
        <v>2008 Increase</v>
      </c>
      <c r="J6" s="1">
        <f>'LaborAdj%'!D13</f>
        <v>0.04</v>
      </c>
      <c r="K6" s="5" t="str">
        <f>ElWAAdj!K6</f>
        <v>2009 Increase</v>
      </c>
      <c r="L6" s="1">
        <f>'LaborAdj%'!D15</f>
        <v>0.038</v>
      </c>
      <c r="M6" s="5" t="str">
        <f>ElWAAdj!M6</f>
        <v>2010 Increase</v>
      </c>
      <c r="N6" s="5" t="s">
        <v>3</v>
      </c>
      <c r="O6" s="5" t="str">
        <f>ElWAAdj!O6</f>
        <v>2010 Exec</v>
      </c>
      <c r="P6" s="5" t="s">
        <v>163</v>
      </c>
      <c r="Q6" s="6"/>
      <c r="R6" s="5" t="s">
        <v>4</v>
      </c>
      <c r="S6" s="5" t="s">
        <v>4</v>
      </c>
      <c r="T6" s="5" t="s">
        <v>4</v>
      </c>
    </row>
    <row r="7" spans="5:17" ht="12.75">
      <c r="E7" s="6"/>
      <c r="F7" s="6"/>
      <c r="G7" s="6"/>
      <c r="H7" s="1"/>
      <c r="I7" s="5"/>
      <c r="J7" s="1"/>
      <c r="K7" s="5"/>
      <c r="L7" s="1"/>
      <c r="M7" s="5"/>
      <c r="N7" s="5"/>
      <c r="Q7" s="18"/>
    </row>
    <row r="8" spans="3:17" ht="12.75">
      <c r="C8" s="21" t="s">
        <v>48</v>
      </c>
      <c r="E8" s="6"/>
      <c r="F8" s="6"/>
      <c r="G8" s="6"/>
      <c r="H8" s="1"/>
      <c r="I8" s="5"/>
      <c r="J8" s="1"/>
      <c r="K8" s="5"/>
      <c r="L8" s="1"/>
      <c r="M8" s="5"/>
      <c r="N8" s="5"/>
      <c r="Q8" s="18"/>
    </row>
    <row r="9" spans="2:20" ht="12.75">
      <c r="B9" s="3" t="s">
        <v>33</v>
      </c>
      <c r="C9" s="2" t="s">
        <v>293</v>
      </c>
      <c r="D9" s="22"/>
      <c r="E9" s="25">
        <f>ROUND('GasLabor$'!L10,0)</f>
        <v>0</v>
      </c>
      <c r="F9" s="25"/>
      <c r="G9" s="25">
        <f>F9+E9</f>
        <v>0</v>
      </c>
      <c r="H9" s="27">
        <f>ROUND(IF($B9="a",G9*H$5,G9*H$6),0)</f>
        <v>0</v>
      </c>
      <c r="I9" s="25">
        <f>H9+G9</f>
        <v>0</v>
      </c>
      <c r="J9" s="27">
        <f>ROUND(IF($B9="a",I9*J$5,I9*J$6),0)</f>
        <v>0</v>
      </c>
      <c r="K9" s="25">
        <f>J9+I9</f>
        <v>0</v>
      </c>
      <c r="L9" s="27">
        <f>ROUND(IF($B9="a",K9*L$5,K9*L$6),0)</f>
        <v>0</v>
      </c>
      <c r="M9" s="25">
        <f>L9+K9</f>
        <v>0</v>
      </c>
      <c r="N9" s="25">
        <f>+H9+J9+L9</f>
        <v>0</v>
      </c>
      <c r="O9" s="25"/>
      <c r="P9" s="25">
        <f>M9+O9</f>
        <v>0</v>
      </c>
      <c r="Q9" s="26"/>
      <c r="R9" s="25"/>
      <c r="S9" s="25">
        <f>ROUND($S$74*E9/E$71,0)</f>
        <v>0</v>
      </c>
      <c r="T9" s="25">
        <f>ROUND($T$74*F9/F$71,0)</f>
        <v>0</v>
      </c>
    </row>
    <row r="10" spans="2:20" ht="12.75">
      <c r="B10" s="3" t="s">
        <v>33</v>
      </c>
      <c r="C10" s="2" t="s">
        <v>294</v>
      </c>
      <c r="D10" s="22"/>
      <c r="E10" s="25">
        <f>ROUND('GasLabor$'!L11,0)</f>
        <v>0</v>
      </c>
      <c r="F10" s="25"/>
      <c r="G10" s="25">
        <f>F10+E10</f>
        <v>0</v>
      </c>
      <c r="H10" s="27">
        <f>ROUND(IF($B10="a",G10*H$5,G10*H$6),0)</f>
        <v>0</v>
      </c>
      <c r="I10" s="25">
        <f>H10+G10</f>
        <v>0</v>
      </c>
      <c r="J10" s="27">
        <f>ROUND(IF($B10="a",I10*J$5,I10*J$6),0)</f>
        <v>0</v>
      </c>
      <c r="K10" s="25">
        <f>J10+I10</f>
        <v>0</v>
      </c>
      <c r="L10" s="27">
        <f>ROUND(IF($B10="a",K10*L$5,K10*L$6),0)</f>
        <v>0</v>
      </c>
      <c r="M10" s="25">
        <f>L10+K10</f>
        <v>0</v>
      </c>
      <c r="N10" s="25">
        <f>+H10+J10+L10</f>
        <v>0</v>
      </c>
      <c r="O10" s="25"/>
      <c r="P10" s="25">
        <f>M10+O10</f>
        <v>0</v>
      </c>
      <c r="Q10" s="26"/>
      <c r="R10" s="25"/>
      <c r="S10" s="25">
        <f>ROUND($S$74*E10/E$71,0)</f>
        <v>0</v>
      </c>
      <c r="T10" s="25">
        <f>ROUND($T$74*F10/F$71,0)</f>
        <v>0</v>
      </c>
    </row>
    <row r="11" spans="2:20" ht="12.75">
      <c r="B11" s="3" t="s">
        <v>33</v>
      </c>
      <c r="C11" s="2" t="s">
        <v>295</v>
      </c>
      <c r="D11" s="22"/>
      <c r="E11" s="25">
        <f>ROUND('GasLabor$'!L12,0)</f>
        <v>383809</v>
      </c>
      <c r="F11" s="25">
        <f>-RemoveExec!H19</f>
        <v>-27295</v>
      </c>
      <c r="G11" s="25">
        <f>F11+E11</f>
        <v>356514</v>
      </c>
      <c r="H11" s="27">
        <f>ROUND(IF($B11="a",G11*H$5,G11*H$6),0)</f>
        <v>5415</v>
      </c>
      <c r="I11" s="25">
        <f>H11+G11</f>
        <v>361929</v>
      </c>
      <c r="J11" s="27">
        <f>ROUND(IF($B11="a",I11*J$5,I11*J$6),0)</f>
        <v>13753</v>
      </c>
      <c r="K11" s="25">
        <f>J11+I11</f>
        <v>375682</v>
      </c>
      <c r="L11" s="27">
        <f>ROUND(IF($B11="a",K11*L$5,K11*L$6),0)</f>
        <v>14276</v>
      </c>
      <c r="M11" s="25">
        <f>L11+K11</f>
        <v>389958</v>
      </c>
      <c r="N11" s="25">
        <f>+H11+J11+L11</f>
        <v>33444</v>
      </c>
      <c r="O11" s="25">
        <f>'Pro Forma Spread'!I37</f>
        <v>30230</v>
      </c>
      <c r="P11" s="25">
        <f>M11+O11</f>
        <v>420188</v>
      </c>
      <c r="Q11" s="26"/>
      <c r="R11" s="25">
        <f>O11+F11</f>
        <v>2935</v>
      </c>
      <c r="S11" s="25">
        <f>ROUND($S$74*E11/E$71,0)</f>
        <v>34572</v>
      </c>
      <c r="T11" s="25">
        <f>ROUND($T$74*F11/F$71,0)</f>
        <v>19243</v>
      </c>
    </row>
    <row r="12" spans="3:20" ht="12.75">
      <c r="C12" s="21" t="s">
        <v>39</v>
      </c>
      <c r="E12" s="29">
        <f>SUM(E9:E11)</f>
        <v>383809</v>
      </c>
      <c r="F12" s="29">
        <f aca="true" t="shared" si="0" ref="F12:N12">SUM(F9:F11)</f>
        <v>-27295</v>
      </c>
      <c r="G12" s="29">
        <f t="shared" si="0"/>
        <v>356514</v>
      </c>
      <c r="H12" s="29">
        <f t="shared" si="0"/>
        <v>5415</v>
      </c>
      <c r="I12" s="29">
        <f t="shared" si="0"/>
        <v>361929</v>
      </c>
      <c r="J12" s="29">
        <f t="shared" si="0"/>
        <v>13753</v>
      </c>
      <c r="K12" s="29">
        <f t="shared" si="0"/>
        <v>375682</v>
      </c>
      <c r="L12" s="29">
        <f>SUM(L9:L11)</f>
        <v>14276</v>
      </c>
      <c r="M12" s="29">
        <f>SUM(M9:M11)</f>
        <v>389958</v>
      </c>
      <c r="N12" s="29">
        <f t="shared" si="0"/>
        <v>33444</v>
      </c>
      <c r="O12" s="29">
        <f>SUM(O6:O11)</f>
        <v>30230</v>
      </c>
      <c r="P12" s="29">
        <f>SUM(P6:P11)</f>
        <v>420188</v>
      </c>
      <c r="Q12" s="35"/>
      <c r="R12" s="29">
        <f>SUM(R6:R11)</f>
        <v>2935</v>
      </c>
      <c r="S12" s="207">
        <f>SUM(S6:S11)</f>
        <v>34572</v>
      </c>
      <c r="T12" s="207">
        <f>SUM(T6:T11)</f>
        <v>19243</v>
      </c>
    </row>
    <row r="13" spans="5:20" ht="12.75"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5"/>
      <c r="R13" s="30"/>
      <c r="S13" s="30"/>
      <c r="T13" s="30"/>
    </row>
    <row r="14" spans="3:20" ht="12.75">
      <c r="C14" s="21" t="s">
        <v>130</v>
      </c>
      <c r="E14" s="30"/>
      <c r="F14" s="30"/>
      <c r="G14" s="30"/>
      <c r="H14" s="65"/>
      <c r="I14" s="26"/>
      <c r="J14" s="65"/>
      <c r="K14" s="26"/>
      <c r="L14" s="65"/>
      <c r="M14" s="26"/>
      <c r="N14" s="26"/>
      <c r="O14" s="26"/>
      <c r="P14" s="26"/>
      <c r="Q14" s="26"/>
      <c r="R14" s="26"/>
      <c r="S14" s="26"/>
      <c r="T14" s="26"/>
    </row>
    <row r="15" spans="2:20" ht="12.75">
      <c r="B15" s="3" t="s">
        <v>33</v>
      </c>
      <c r="C15" s="2" t="s">
        <v>296</v>
      </c>
      <c r="D15" s="22"/>
      <c r="E15" s="25">
        <f>ROUND('GasLabor$'!L16,0)</f>
        <v>6811</v>
      </c>
      <c r="F15" s="25"/>
      <c r="G15" s="25">
        <f>F15+E15</f>
        <v>6811</v>
      </c>
      <c r="H15" s="27">
        <f>ROUND(IF($B15="a",G15*H$5,G15*H$6),0)</f>
        <v>103</v>
      </c>
      <c r="I15" s="25">
        <f>H15+G15</f>
        <v>6914</v>
      </c>
      <c r="J15" s="27">
        <f>ROUND(IF($B15="a",I15*J$5,I15*J$6),0)</f>
        <v>263</v>
      </c>
      <c r="K15" s="25">
        <f>J15+I15</f>
        <v>7177</v>
      </c>
      <c r="L15" s="27">
        <f>ROUND(IF($B15="a",K15*L$5,K15*L$6),0)</f>
        <v>273</v>
      </c>
      <c r="M15" s="25">
        <f>L15+K15</f>
        <v>7450</v>
      </c>
      <c r="N15" s="25">
        <f>+H15+J15+L15</f>
        <v>639</v>
      </c>
      <c r="O15" s="26"/>
      <c r="P15" s="25">
        <f>M15+O15</f>
        <v>7450</v>
      </c>
      <c r="Q15" s="26"/>
      <c r="R15" s="26">
        <f>O15+F15</f>
        <v>0</v>
      </c>
      <c r="S15" s="25">
        <f>ROUND($S$74*E15/E$71,0)</f>
        <v>614</v>
      </c>
      <c r="T15" s="25">
        <f>ROUND($T$74*F15/F$71,0)</f>
        <v>0</v>
      </c>
    </row>
    <row r="16" spans="3:20" ht="12.75">
      <c r="C16" s="2" t="s">
        <v>297</v>
      </c>
      <c r="D16" s="22"/>
      <c r="E16" s="25">
        <f>ROUND('GasLabor$'!L17,0)</f>
        <v>0</v>
      </c>
      <c r="F16" s="25"/>
      <c r="G16" s="25">
        <f>F16+E16</f>
        <v>0</v>
      </c>
      <c r="H16" s="25">
        <f>ROUND(IF($B16="a",G16*H$5,G16*H$6),0)</f>
        <v>0</v>
      </c>
      <c r="I16" s="25">
        <f>H16+G16</f>
        <v>0</v>
      </c>
      <c r="J16" s="25">
        <f>ROUND(IF($B16="a",I16*J$5,I16*J$6),0)</f>
        <v>0</v>
      </c>
      <c r="K16" s="25">
        <f>J16+I16</f>
        <v>0</v>
      </c>
      <c r="L16" s="25">
        <f>ROUND(IF($B16="a",K16*L$5,K16*L$6),0)</f>
        <v>0</v>
      </c>
      <c r="M16" s="25">
        <f>L16+K16</f>
        <v>0</v>
      </c>
      <c r="N16" s="25">
        <f>+H16+J16+L16</f>
        <v>0</v>
      </c>
      <c r="O16" s="25"/>
      <c r="P16" s="25">
        <f>M16+O16</f>
        <v>0</v>
      </c>
      <c r="Q16" s="26"/>
      <c r="R16" s="25">
        <f>O16+F16</f>
        <v>0</v>
      </c>
      <c r="S16" s="25">
        <f>ROUND($S$74*E16/E$71,0)</f>
        <v>0</v>
      </c>
      <c r="T16" s="25">
        <f>ROUND($T$74*F16/F$71,0)</f>
        <v>0</v>
      </c>
    </row>
    <row r="17" spans="3:20" ht="12.75">
      <c r="C17" s="22" t="s">
        <v>43</v>
      </c>
      <c r="D17" s="22"/>
      <c r="E17" s="29">
        <f aca="true" t="shared" si="1" ref="E17:P17">SUM(E14:E16)</f>
        <v>6811</v>
      </c>
      <c r="F17" s="29">
        <f t="shared" si="1"/>
        <v>0</v>
      </c>
      <c r="G17" s="29">
        <f t="shared" si="1"/>
        <v>6811</v>
      </c>
      <c r="H17" s="29">
        <f t="shared" si="1"/>
        <v>103</v>
      </c>
      <c r="I17" s="29">
        <f t="shared" si="1"/>
        <v>6914</v>
      </c>
      <c r="J17" s="29">
        <f>SUM(J14:J16)</f>
        <v>263</v>
      </c>
      <c r="K17" s="29">
        <f>SUM(K14:K16)</f>
        <v>7177</v>
      </c>
      <c r="L17" s="29">
        <f>SUM(L14:L16)</f>
        <v>273</v>
      </c>
      <c r="M17" s="29">
        <f>SUM(M14:M16)</f>
        <v>7450</v>
      </c>
      <c r="N17" s="29">
        <f t="shared" si="1"/>
        <v>639</v>
      </c>
      <c r="O17" s="29">
        <f t="shared" si="1"/>
        <v>0</v>
      </c>
      <c r="P17" s="29">
        <f t="shared" si="1"/>
        <v>7450</v>
      </c>
      <c r="Q17" s="35"/>
      <c r="R17" s="29">
        <f>SUM(R14:R16)</f>
        <v>0</v>
      </c>
      <c r="S17" s="207">
        <f>SUM(S14:S16)</f>
        <v>614</v>
      </c>
      <c r="T17" s="207">
        <f>SUM(T14:T16)</f>
        <v>0</v>
      </c>
    </row>
    <row r="18" spans="5:20" ht="12.75">
      <c r="E18" s="30"/>
      <c r="F18" s="30"/>
      <c r="G18" s="30"/>
      <c r="H18" s="66"/>
      <c r="I18" s="26"/>
      <c r="J18" s="66"/>
      <c r="K18" s="26"/>
      <c r="L18" s="66"/>
      <c r="M18" s="26"/>
      <c r="N18" s="26"/>
      <c r="O18" s="26"/>
      <c r="P18" s="26"/>
      <c r="Q18" s="26"/>
      <c r="R18" s="26"/>
      <c r="S18" s="26"/>
      <c r="T18" s="26"/>
    </row>
    <row r="19" spans="3:20" ht="12.75">
      <c r="C19" s="21" t="s">
        <v>7</v>
      </c>
      <c r="E19" s="30"/>
      <c r="F19" s="30"/>
      <c r="G19" s="30"/>
      <c r="H19" s="65"/>
      <c r="I19" s="26"/>
      <c r="J19" s="65"/>
      <c r="K19" s="26"/>
      <c r="L19" s="65"/>
      <c r="M19" s="26"/>
      <c r="N19" s="26"/>
      <c r="O19" s="26"/>
      <c r="P19" s="26"/>
      <c r="Q19" s="26"/>
      <c r="R19" s="26"/>
      <c r="S19" s="26"/>
      <c r="T19" s="26"/>
    </row>
    <row r="20" spans="2:20" ht="12.75">
      <c r="B20" s="3" t="s">
        <v>33</v>
      </c>
      <c r="C20" s="2" t="s">
        <v>298</v>
      </c>
      <c r="D20" s="22"/>
      <c r="E20" s="25">
        <f>ROUND('GasLabor$'!L21,0)</f>
        <v>270437</v>
      </c>
      <c r="F20" s="25"/>
      <c r="G20" s="25">
        <f aca="true" t="shared" si="2" ref="G20:G37">F20+E20</f>
        <v>270437</v>
      </c>
      <c r="H20" s="27">
        <f aca="true" t="shared" si="3" ref="H20:H37">ROUND(IF($B20="a",G20*H$5,G20*H$6),0)</f>
        <v>4108</v>
      </c>
      <c r="I20" s="25">
        <f aca="true" t="shared" si="4" ref="I20:I37">H20+G20</f>
        <v>274545</v>
      </c>
      <c r="J20" s="27">
        <f aca="true" t="shared" si="5" ref="J20:J37">ROUND(IF($B20="a",I20*J$5,I20*J$6),0)</f>
        <v>10433</v>
      </c>
      <c r="K20" s="25">
        <f aca="true" t="shared" si="6" ref="K20:K37">J20+I20</f>
        <v>284978</v>
      </c>
      <c r="L20" s="27">
        <f aca="true" t="shared" si="7" ref="L20:L37">ROUND(IF($B20="a",K20*L$5,K20*L$6),0)</f>
        <v>10829</v>
      </c>
      <c r="M20" s="25">
        <f aca="true" t="shared" si="8" ref="M20:M29">L20+K20</f>
        <v>295807</v>
      </c>
      <c r="N20" s="25">
        <f>+H20+J20+L20</f>
        <v>25370</v>
      </c>
      <c r="O20" s="26"/>
      <c r="P20" s="25">
        <f aca="true" t="shared" si="9" ref="P20:P37">M20+O20</f>
        <v>295807</v>
      </c>
      <c r="Q20" s="26"/>
      <c r="R20" s="26">
        <f aca="true" t="shared" si="10" ref="R20:R37">O20+F20</f>
        <v>0</v>
      </c>
      <c r="S20" s="25">
        <f aca="true" t="shared" si="11" ref="S20:S37">ROUND($S$74*E20/E$71,0)</f>
        <v>24360</v>
      </c>
      <c r="T20" s="25">
        <f>ROUND($T$74*F20/F$71,0)</f>
        <v>0</v>
      </c>
    </row>
    <row r="21" spans="3:20" ht="12.75">
      <c r="C21" s="22" t="s">
        <v>299</v>
      </c>
      <c r="D21" s="22"/>
      <c r="E21" s="25">
        <f>ROUND('GasLabor$'!L22,0)</f>
        <v>0</v>
      </c>
      <c r="F21" s="25"/>
      <c r="G21" s="25">
        <f t="shared" si="2"/>
        <v>0</v>
      </c>
      <c r="H21" s="65">
        <f t="shared" si="3"/>
        <v>0</v>
      </c>
      <c r="I21" s="26">
        <f t="shared" si="4"/>
        <v>0</v>
      </c>
      <c r="J21" s="65">
        <f t="shared" si="5"/>
        <v>0</v>
      </c>
      <c r="K21" s="26">
        <f t="shared" si="6"/>
        <v>0</v>
      </c>
      <c r="L21" s="65">
        <f t="shared" si="7"/>
        <v>0</v>
      </c>
      <c r="M21" s="26">
        <f t="shared" si="8"/>
        <v>0</v>
      </c>
      <c r="N21" s="25">
        <f aca="true" t="shared" si="12" ref="N21:N37">+H21+J21+L21</f>
        <v>0</v>
      </c>
      <c r="O21" s="26"/>
      <c r="P21" s="25">
        <f t="shared" si="9"/>
        <v>0</v>
      </c>
      <c r="Q21" s="26"/>
      <c r="R21" s="26">
        <f t="shared" si="10"/>
        <v>0</v>
      </c>
      <c r="S21" s="25">
        <f t="shared" si="11"/>
        <v>0</v>
      </c>
      <c r="T21" s="25">
        <f aca="true" t="shared" si="13" ref="T21:T37">ROUND($T$74*F21/F$71,0)</f>
        <v>0</v>
      </c>
    </row>
    <row r="22" spans="3:20" ht="12.75">
      <c r="C22" s="2" t="s">
        <v>300</v>
      </c>
      <c r="D22" s="22"/>
      <c r="E22" s="25">
        <f>ROUND('GasLabor$'!L24,0)</f>
        <v>563374</v>
      </c>
      <c r="F22" s="25"/>
      <c r="G22" s="25">
        <f t="shared" si="2"/>
        <v>563374</v>
      </c>
      <c r="H22" s="26">
        <f t="shared" si="3"/>
        <v>9566</v>
      </c>
      <c r="I22" s="26">
        <f t="shared" si="4"/>
        <v>572940</v>
      </c>
      <c r="J22" s="26">
        <f t="shared" si="5"/>
        <v>22918</v>
      </c>
      <c r="K22" s="26">
        <f t="shared" si="6"/>
        <v>595858</v>
      </c>
      <c r="L22" s="26">
        <f t="shared" si="7"/>
        <v>22643</v>
      </c>
      <c r="M22" s="26">
        <f t="shared" si="8"/>
        <v>618501</v>
      </c>
      <c r="N22" s="25">
        <f t="shared" si="12"/>
        <v>55127</v>
      </c>
      <c r="O22" s="26"/>
      <c r="P22" s="25">
        <f t="shared" si="9"/>
        <v>618501</v>
      </c>
      <c r="Q22" s="26"/>
      <c r="R22" s="26">
        <f t="shared" si="10"/>
        <v>0</v>
      </c>
      <c r="S22" s="25">
        <f t="shared" si="11"/>
        <v>50747</v>
      </c>
      <c r="T22" s="25">
        <f t="shared" si="13"/>
        <v>0</v>
      </c>
    </row>
    <row r="23" spans="3:20" ht="12.75">
      <c r="C23" s="2" t="s">
        <v>301</v>
      </c>
      <c r="D23" s="22"/>
      <c r="E23" s="25">
        <f>ROUND('GasLabor$'!L25,0)</f>
        <v>32650</v>
      </c>
      <c r="F23" s="25"/>
      <c r="G23" s="25">
        <f t="shared" si="2"/>
        <v>32650</v>
      </c>
      <c r="H23" s="26">
        <f t="shared" si="3"/>
        <v>554</v>
      </c>
      <c r="I23" s="26">
        <f t="shared" si="4"/>
        <v>33204</v>
      </c>
      <c r="J23" s="26">
        <f t="shared" si="5"/>
        <v>1328</v>
      </c>
      <c r="K23" s="26">
        <f t="shared" si="6"/>
        <v>34532</v>
      </c>
      <c r="L23" s="26">
        <f t="shared" si="7"/>
        <v>1312</v>
      </c>
      <c r="M23" s="26">
        <f t="shared" si="8"/>
        <v>35844</v>
      </c>
      <c r="N23" s="25">
        <f t="shared" si="12"/>
        <v>3194</v>
      </c>
      <c r="O23" s="26"/>
      <c r="P23" s="25">
        <f t="shared" si="9"/>
        <v>35844</v>
      </c>
      <c r="Q23" s="26"/>
      <c r="R23" s="26">
        <f t="shared" si="10"/>
        <v>0</v>
      </c>
      <c r="S23" s="25">
        <f t="shared" si="11"/>
        <v>2941</v>
      </c>
      <c r="T23" s="25">
        <f t="shared" si="13"/>
        <v>0</v>
      </c>
    </row>
    <row r="24" spans="3:20" ht="12.75">
      <c r="C24" s="2" t="s">
        <v>302</v>
      </c>
      <c r="D24" s="22"/>
      <c r="E24" s="25">
        <f>ROUND('GasLabor$'!L26,0)</f>
        <v>3253</v>
      </c>
      <c r="F24" s="25"/>
      <c r="G24" s="25">
        <f t="shared" si="2"/>
        <v>3253</v>
      </c>
      <c r="H24" s="26">
        <f t="shared" si="3"/>
        <v>55</v>
      </c>
      <c r="I24" s="26">
        <f t="shared" si="4"/>
        <v>3308</v>
      </c>
      <c r="J24" s="26">
        <f t="shared" si="5"/>
        <v>132</v>
      </c>
      <c r="K24" s="26">
        <f t="shared" si="6"/>
        <v>3440</v>
      </c>
      <c r="L24" s="26">
        <f t="shared" si="7"/>
        <v>131</v>
      </c>
      <c r="M24" s="26">
        <f t="shared" si="8"/>
        <v>3571</v>
      </c>
      <c r="N24" s="25">
        <f t="shared" si="12"/>
        <v>318</v>
      </c>
      <c r="O24" s="26"/>
      <c r="P24" s="25">
        <f t="shared" si="9"/>
        <v>3571</v>
      </c>
      <c r="Q24" s="26"/>
      <c r="R24" s="26">
        <f t="shared" si="10"/>
        <v>0</v>
      </c>
      <c r="S24" s="25">
        <f t="shared" si="11"/>
        <v>293</v>
      </c>
      <c r="T24" s="25">
        <f t="shared" si="13"/>
        <v>0</v>
      </c>
    </row>
    <row r="25" spans="3:20" ht="12.75">
      <c r="C25" s="2" t="s">
        <v>303</v>
      </c>
      <c r="D25" s="22"/>
      <c r="E25" s="25">
        <f>ROUND('GasLabor$'!L27,0)</f>
        <v>33186</v>
      </c>
      <c r="F25" s="25"/>
      <c r="G25" s="25">
        <f t="shared" si="2"/>
        <v>33186</v>
      </c>
      <c r="H25" s="65">
        <f t="shared" si="3"/>
        <v>563</v>
      </c>
      <c r="I25" s="26">
        <f t="shared" si="4"/>
        <v>33749</v>
      </c>
      <c r="J25" s="65">
        <f t="shared" si="5"/>
        <v>1350</v>
      </c>
      <c r="K25" s="26">
        <f t="shared" si="6"/>
        <v>35099</v>
      </c>
      <c r="L25" s="65">
        <f t="shared" si="7"/>
        <v>1334</v>
      </c>
      <c r="M25" s="26">
        <f t="shared" si="8"/>
        <v>36433</v>
      </c>
      <c r="N25" s="25">
        <f t="shared" si="12"/>
        <v>3247</v>
      </c>
      <c r="O25" s="26"/>
      <c r="P25" s="25">
        <f t="shared" si="9"/>
        <v>36433</v>
      </c>
      <c r="Q25" s="26"/>
      <c r="R25" s="26">
        <f t="shared" si="10"/>
        <v>0</v>
      </c>
      <c r="S25" s="25">
        <f t="shared" si="11"/>
        <v>2989</v>
      </c>
      <c r="T25" s="25">
        <f t="shared" si="13"/>
        <v>0</v>
      </c>
    </row>
    <row r="26" spans="3:20" ht="12.75">
      <c r="C26" s="2" t="s">
        <v>304</v>
      </c>
      <c r="D26" s="22"/>
      <c r="E26" s="25">
        <f>ROUND('GasLabor$'!L28,0)</f>
        <v>331556</v>
      </c>
      <c r="F26" s="25"/>
      <c r="G26" s="25">
        <f t="shared" si="2"/>
        <v>331556</v>
      </c>
      <c r="H26" s="65">
        <f t="shared" si="3"/>
        <v>5630</v>
      </c>
      <c r="I26" s="26">
        <f t="shared" si="4"/>
        <v>337186</v>
      </c>
      <c r="J26" s="65">
        <f t="shared" si="5"/>
        <v>13487</v>
      </c>
      <c r="K26" s="26">
        <f t="shared" si="6"/>
        <v>350673</v>
      </c>
      <c r="L26" s="65">
        <f t="shared" si="7"/>
        <v>13326</v>
      </c>
      <c r="M26" s="26">
        <f t="shared" si="8"/>
        <v>363999</v>
      </c>
      <c r="N26" s="25">
        <f t="shared" si="12"/>
        <v>32443</v>
      </c>
      <c r="O26" s="26"/>
      <c r="P26" s="25">
        <f t="shared" si="9"/>
        <v>363999</v>
      </c>
      <c r="Q26" s="26"/>
      <c r="R26" s="26">
        <f t="shared" si="10"/>
        <v>0</v>
      </c>
      <c r="S26" s="25">
        <f t="shared" si="11"/>
        <v>29865</v>
      </c>
      <c r="T26" s="25">
        <f t="shared" si="13"/>
        <v>0</v>
      </c>
    </row>
    <row r="27" spans="3:20" ht="12.75">
      <c r="C27" s="2" t="s">
        <v>305</v>
      </c>
      <c r="D27" s="22"/>
      <c r="E27" s="25">
        <f>ROUND('GasLabor$'!L29,0)</f>
        <v>416487</v>
      </c>
      <c r="F27" s="25"/>
      <c r="G27" s="25">
        <f t="shared" si="2"/>
        <v>416487</v>
      </c>
      <c r="H27" s="65">
        <f t="shared" si="3"/>
        <v>7072</v>
      </c>
      <c r="I27" s="26">
        <f t="shared" si="4"/>
        <v>423559</v>
      </c>
      <c r="J27" s="65">
        <f t="shared" si="5"/>
        <v>16942</v>
      </c>
      <c r="K27" s="26">
        <f t="shared" si="6"/>
        <v>440501</v>
      </c>
      <c r="L27" s="65">
        <f t="shared" si="7"/>
        <v>16739</v>
      </c>
      <c r="M27" s="26">
        <f t="shared" si="8"/>
        <v>457240</v>
      </c>
      <c r="N27" s="25">
        <f t="shared" si="12"/>
        <v>40753</v>
      </c>
      <c r="O27" s="26"/>
      <c r="P27" s="25">
        <f t="shared" si="9"/>
        <v>457240</v>
      </c>
      <c r="Q27" s="26"/>
      <c r="R27" s="26">
        <f t="shared" si="10"/>
        <v>0</v>
      </c>
      <c r="S27" s="25">
        <f t="shared" si="11"/>
        <v>37516</v>
      </c>
      <c r="T27" s="25">
        <f t="shared" si="13"/>
        <v>0</v>
      </c>
    </row>
    <row r="28" spans="3:20" ht="12.75">
      <c r="C28" s="2" t="s">
        <v>306</v>
      </c>
      <c r="D28" s="22"/>
      <c r="E28" s="25">
        <f>ROUND('GasLabor$'!L30,0)</f>
        <v>568799</v>
      </c>
      <c r="F28" s="25"/>
      <c r="G28" s="25">
        <f t="shared" si="2"/>
        <v>568799</v>
      </c>
      <c r="H28" s="65">
        <f t="shared" si="3"/>
        <v>9658</v>
      </c>
      <c r="I28" s="26">
        <f t="shared" si="4"/>
        <v>578457</v>
      </c>
      <c r="J28" s="65">
        <f t="shared" si="5"/>
        <v>23138</v>
      </c>
      <c r="K28" s="26">
        <f t="shared" si="6"/>
        <v>601595</v>
      </c>
      <c r="L28" s="65">
        <f t="shared" si="7"/>
        <v>22861</v>
      </c>
      <c r="M28" s="26">
        <f t="shared" si="8"/>
        <v>624456</v>
      </c>
      <c r="N28" s="25">
        <f t="shared" si="12"/>
        <v>55657</v>
      </c>
      <c r="O28" s="26"/>
      <c r="P28" s="25">
        <f t="shared" si="9"/>
        <v>624456</v>
      </c>
      <c r="Q28" s="26"/>
      <c r="R28" s="26">
        <f t="shared" si="10"/>
        <v>0</v>
      </c>
      <c r="S28" s="25">
        <f t="shared" si="11"/>
        <v>51235</v>
      </c>
      <c r="T28" s="25">
        <f t="shared" si="13"/>
        <v>0</v>
      </c>
    </row>
    <row r="29" spans="3:20" ht="12.75">
      <c r="C29" s="2" t="s">
        <v>307</v>
      </c>
      <c r="D29" s="2"/>
      <c r="E29" s="25">
        <f>ROUND('GasLabor$'!L32,0)</f>
        <v>60094</v>
      </c>
      <c r="F29" s="25"/>
      <c r="G29" s="25">
        <f t="shared" si="2"/>
        <v>60094</v>
      </c>
      <c r="H29" s="65">
        <f t="shared" si="3"/>
        <v>1020</v>
      </c>
      <c r="I29" s="26">
        <f t="shared" si="4"/>
        <v>61114</v>
      </c>
      <c r="J29" s="65">
        <f t="shared" si="5"/>
        <v>2445</v>
      </c>
      <c r="K29" s="26">
        <f t="shared" si="6"/>
        <v>63559</v>
      </c>
      <c r="L29" s="65">
        <f t="shared" si="7"/>
        <v>2415</v>
      </c>
      <c r="M29" s="26">
        <f t="shared" si="8"/>
        <v>65974</v>
      </c>
      <c r="N29" s="25">
        <f t="shared" si="12"/>
        <v>5880</v>
      </c>
      <c r="O29" s="26"/>
      <c r="P29" s="25">
        <f t="shared" si="9"/>
        <v>65974</v>
      </c>
      <c r="Q29" s="26"/>
      <c r="R29" s="26">
        <f t="shared" si="10"/>
        <v>0</v>
      </c>
      <c r="S29" s="25">
        <f t="shared" si="11"/>
        <v>5413</v>
      </c>
      <c r="T29" s="25">
        <f t="shared" si="13"/>
        <v>0</v>
      </c>
    </row>
    <row r="30" spans="3:20" ht="12.75">
      <c r="C30" s="2" t="s">
        <v>308</v>
      </c>
      <c r="D30" s="2"/>
      <c r="E30" s="25">
        <f>ROUND('GasLabor$'!L33,0)</f>
        <v>0</v>
      </c>
      <c r="F30" s="25"/>
      <c r="G30" s="25">
        <f>F30+E30</f>
        <v>0</v>
      </c>
      <c r="H30" s="65">
        <f t="shared" si="3"/>
        <v>0</v>
      </c>
      <c r="I30" s="26">
        <f>H30+G30</f>
        <v>0</v>
      </c>
      <c r="J30" s="65">
        <f t="shared" si="5"/>
        <v>0</v>
      </c>
      <c r="K30" s="26">
        <f t="shared" si="6"/>
        <v>0</v>
      </c>
      <c r="L30" s="65">
        <f t="shared" si="7"/>
        <v>0</v>
      </c>
      <c r="M30" s="26">
        <f>L30+K30</f>
        <v>0</v>
      </c>
      <c r="N30" s="25">
        <f t="shared" si="12"/>
        <v>0</v>
      </c>
      <c r="O30" s="26"/>
      <c r="P30" s="25">
        <f t="shared" si="9"/>
        <v>0</v>
      </c>
      <c r="Q30" s="26"/>
      <c r="R30" s="26">
        <f t="shared" si="10"/>
        <v>0</v>
      </c>
      <c r="S30" s="25">
        <f t="shared" si="11"/>
        <v>0</v>
      </c>
      <c r="T30" s="25">
        <f t="shared" si="13"/>
        <v>0</v>
      </c>
    </row>
    <row r="31" spans="3:20" ht="12.75">
      <c r="C31" s="2" t="s">
        <v>309</v>
      </c>
      <c r="D31" s="22"/>
      <c r="E31" s="25">
        <f>ROUND('GasLabor$'!L34,0)</f>
        <v>449493</v>
      </c>
      <c r="F31" s="25"/>
      <c r="G31" s="25">
        <f t="shared" si="2"/>
        <v>449493</v>
      </c>
      <c r="H31" s="65">
        <f t="shared" si="3"/>
        <v>7632</v>
      </c>
      <c r="I31" s="26">
        <f t="shared" si="4"/>
        <v>457125</v>
      </c>
      <c r="J31" s="65">
        <f t="shared" si="5"/>
        <v>18285</v>
      </c>
      <c r="K31" s="26">
        <f t="shared" si="6"/>
        <v>475410</v>
      </c>
      <c r="L31" s="65">
        <f t="shared" si="7"/>
        <v>18066</v>
      </c>
      <c r="M31" s="26">
        <f aca="true" t="shared" si="14" ref="M31:M37">L31+K31</f>
        <v>493476</v>
      </c>
      <c r="N31" s="25">
        <f t="shared" si="12"/>
        <v>43983</v>
      </c>
      <c r="O31" s="26"/>
      <c r="P31" s="25">
        <f t="shared" si="9"/>
        <v>493476</v>
      </c>
      <c r="Q31" s="26"/>
      <c r="R31" s="26">
        <f t="shared" si="10"/>
        <v>0</v>
      </c>
      <c r="S31" s="25">
        <f t="shared" si="11"/>
        <v>40489</v>
      </c>
      <c r="T31" s="25">
        <f t="shared" si="13"/>
        <v>0</v>
      </c>
    </row>
    <row r="32" spans="3:20" ht="12.75">
      <c r="C32" s="2" t="s">
        <v>310</v>
      </c>
      <c r="D32" s="22"/>
      <c r="E32" s="25">
        <f>ROUND('GasLabor$'!L36,0)</f>
        <v>44427</v>
      </c>
      <c r="F32" s="25"/>
      <c r="G32" s="25">
        <f t="shared" si="2"/>
        <v>44427</v>
      </c>
      <c r="H32" s="26">
        <f t="shared" si="3"/>
        <v>754</v>
      </c>
      <c r="I32" s="26">
        <f t="shared" si="4"/>
        <v>45181</v>
      </c>
      <c r="J32" s="26">
        <f t="shared" si="5"/>
        <v>1807</v>
      </c>
      <c r="K32" s="26">
        <f t="shared" si="6"/>
        <v>46988</v>
      </c>
      <c r="L32" s="26">
        <f t="shared" si="7"/>
        <v>1786</v>
      </c>
      <c r="M32" s="26">
        <f t="shared" si="14"/>
        <v>48774</v>
      </c>
      <c r="N32" s="25">
        <f t="shared" si="12"/>
        <v>4347</v>
      </c>
      <c r="O32" s="26"/>
      <c r="P32" s="25">
        <f t="shared" si="9"/>
        <v>48774</v>
      </c>
      <c r="Q32" s="26"/>
      <c r="R32" s="26">
        <f t="shared" si="10"/>
        <v>0</v>
      </c>
      <c r="S32" s="25">
        <f t="shared" si="11"/>
        <v>4002</v>
      </c>
      <c r="T32" s="25">
        <f t="shared" si="13"/>
        <v>0</v>
      </c>
    </row>
    <row r="33" spans="3:20" ht="12.75">
      <c r="C33" s="2" t="s">
        <v>311</v>
      </c>
      <c r="D33" s="22"/>
      <c r="E33" s="25">
        <f>ROUND('GasLabor$'!L37,0)</f>
        <v>72127</v>
      </c>
      <c r="F33" s="25"/>
      <c r="G33" s="25">
        <f t="shared" si="2"/>
        <v>72127</v>
      </c>
      <c r="H33" s="26">
        <f t="shared" si="3"/>
        <v>1225</v>
      </c>
      <c r="I33" s="26">
        <f t="shared" si="4"/>
        <v>73352</v>
      </c>
      <c r="J33" s="26">
        <f t="shared" si="5"/>
        <v>2934</v>
      </c>
      <c r="K33" s="26">
        <f t="shared" si="6"/>
        <v>76286</v>
      </c>
      <c r="L33" s="26">
        <f t="shared" si="7"/>
        <v>2899</v>
      </c>
      <c r="M33" s="26">
        <f t="shared" si="14"/>
        <v>79185</v>
      </c>
      <c r="N33" s="25">
        <f t="shared" si="12"/>
        <v>7058</v>
      </c>
      <c r="O33" s="26"/>
      <c r="P33" s="25">
        <f t="shared" si="9"/>
        <v>79185</v>
      </c>
      <c r="Q33" s="26"/>
      <c r="R33" s="26">
        <f t="shared" si="10"/>
        <v>0</v>
      </c>
      <c r="S33" s="25">
        <f t="shared" si="11"/>
        <v>6497</v>
      </c>
      <c r="T33" s="25">
        <f t="shared" si="13"/>
        <v>0</v>
      </c>
    </row>
    <row r="34" spans="3:20" ht="12.75">
      <c r="C34" s="2" t="s">
        <v>312</v>
      </c>
      <c r="D34" s="22"/>
      <c r="E34" s="25">
        <f>ROUND('GasLabor$'!L38,0)</f>
        <v>10338</v>
      </c>
      <c r="F34" s="25"/>
      <c r="G34" s="25">
        <f t="shared" si="2"/>
        <v>10338</v>
      </c>
      <c r="H34" s="26">
        <f t="shared" si="3"/>
        <v>176</v>
      </c>
      <c r="I34" s="26">
        <f t="shared" si="4"/>
        <v>10514</v>
      </c>
      <c r="J34" s="26">
        <f t="shared" si="5"/>
        <v>421</v>
      </c>
      <c r="K34" s="26">
        <f t="shared" si="6"/>
        <v>10935</v>
      </c>
      <c r="L34" s="26">
        <f t="shared" si="7"/>
        <v>416</v>
      </c>
      <c r="M34" s="26">
        <f t="shared" si="14"/>
        <v>11351</v>
      </c>
      <c r="N34" s="25">
        <f t="shared" si="12"/>
        <v>1013</v>
      </c>
      <c r="O34" s="26"/>
      <c r="P34" s="25">
        <f t="shared" si="9"/>
        <v>11351</v>
      </c>
      <c r="Q34" s="26"/>
      <c r="R34" s="26">
        <f t="shared" si="10"/>
        <v>0</v>
      </c>
      <c r="S34" s="25">
        <f t="shared" si="11"/>
        <v>931</v>
      </c>
      <c r="T34" s="25">
        <f t="shared" si="13"/>
        <v>0</v>
      </c>
    </row>
    <row r="35" spans="3:20" ht="12.75">
      <c r="C35" s="2" t="s">
        <v>313</v>
      </c>
      <c r="D35" s="22"/>
      <c r="E35" s="25">
        <f>ROUND('GasLabor$'!L39,0)</f>
        <v>246018</v>
      </c>
      <c r="F35" s="25"/>
      <c r="G35" s="25">
        <f t="shared" si="2"/>
        <v>246018</v>
      </c>
      <c r="H35" s="65">
        <f t="shared" si="3"/>
        <v>4177</v>
      </c>
      <c r="I35" s="26">
        <f t="shared" si="4"/>
        <v>250195</v>
      </c>
      <c r="J35" s="65">
        <f t="shared" si="5"/>
        <v>10008</v>
      </c>
      <c r="K35" s="26">
        <f t="shared" si="6"/>
        <v>260203</v>
      </c>
      <c r="L35" s="65">
        <f t="shared" si="7"/>
        <v>9888</v>
      </c>
      <c r="M35" s="26">
        <f t="shared" si="14"/>
        <v>270091</v>
      </c>
      <c r="N35" s="25">
        <f t="shared" si="12"/>
        <v>24073</v>
      </c>
      <c r="O35" s="26"/>
      <c r="P35" s="25">
        <f t="shared" si="9"/>
        <v>270091</v>
      </c>
      <c r="Q35" s="26"/>
      <c r="R35" s="26">
        <f t="shared" si="10"/>
        <v>0</v>
      </c>
      <c r="S35" s="25">
        <f t="shared" si="11"/>
        <v>22160</v>
      </c>
      <c r="T35" s="25">
        <f t="shared" si="13"/>
        <v>0</v>
      </c>
    </row>
    <row r="36" spans="3:20" ht="12.75">
      <c r="C36" s="2" t="s">
        <v>314</v>
      </c>
      <c r="D36" s="22"/>
      <c r="E36" s="25">
        <f>ROUND('GasLabor$'!L40,0)</f>
        <v>263936</v>
      </c>
      <c r="F36" s="25"/>
      <c r="G36" s="25">
        <f t="shared" si="2"/>
        <v>263936</v>
      </c>
      <c r="H36" s="65">
        <f t="shared" si="3"/>
        <v>4482</v>
      </c>
      <c r="I36" s="26">
        <f t="shared" si="4"/>
        <v>268418</v>
      </c>
      <c r="J36" s="65">
        <f t="shared" si="5"/>
        <v>10737</v>
      </c>
      <c r="K36" s="26">
        <f t="shared" si="6"/>
        <v>279155</v>
      </c>
      <c r="L36" s="65">
        <f t="shared" si="7"/>
        <v>10608</v>
      </c>
      <c r="M36" s="26">
        <f t="shared" si="14"/>
        <v>289763</v>
      </c>
      <c r="N36" s="25">
        <f t="shared" si="12"/>
        <v>25827</v>
      </c>
      <c r="O36" s="26"/>
      <c r="P36" s="25">
        <f t="shared" si="9"/>
        <v>289763</v>
      </c>
      <c r="Q36" s="26"/>
      <c r="R36" s="26">
        <f t="shared" si="10"/>
        <v>0</v>
      </c>
      <c r="S36" s="25">
        <f t="shared" si="11"/>
        <v>23774</v>
      </c>
      <c r="T36" s="25">
        <f t="shared" si="13"/>
        <v>0</v>
      </c>
    </row>
    <row r="37" spans="3:20" ht="12.75">
      <c r="C37" s="177">
        <v>894</v>
      </c>
      <c r="D37" s="179"/>
      <c r="E37" s="25">
        <f>ROUND('GasLabor$'!L41,0)</f>
        <v>6089</v>
      </c>
      <c r="F37" s="25"/>
      <c r="G37" s="25">
        <f t="shared" si="2"/>
        <v>6089</v>
      </c>
      <c r="H37" s="65">
        <f t="shared" si="3"/>
        <v>103</v>
      </c>
      <c r="I37" s="26">
        <f t="shared" si="4"/>
        <v>6192</v>
      </c>
      <c r="J37" s="65">
        <f t="shared" si="5"/>
        <v>248</v>
      </c>
      <c r="K37" s="26">
        <f t="shared" si="6"/>
        <v>6440</v>
      </c>
      <c r="L37" s="65">
        <f t="shared" si="7"/>
        <v>245</v>
      </c>
      <c r="M37" s="26">
        <f t="shared" si="14"/>
        <v>6685</v>
      </c>
      <c r="N37" s="25">
        <f t="shared" si="12"/>
        <v>596</v>
      </c>
      <c r="O37" s="26"/>
      <c r="P37" s="25">
        <f t="shared" si="9"/>
        <v>6685</v>
      </c>
      <c r="Q37" s="26"/>
      <c r="R37" s="26">
        <f t="shared" si="10"/>
        <v>0</v>
      </c>
      <c r="S37" s="25">
        <f t="shared" si="11"/>
        <v>548</v>
      </c>
      <c r="T37" s="25">
        <f t="shared" si="13"/>
        <v>0</v>
      </c>
    </row>
    <row r="38" spans="3:20" ht="12.75">
      <c r="C38" s="21" t="s">
        <v>8</v>
      </c>
      <c r="E38" s="29">
        <f aca="true" t="shared" si="15" ref="E38:M38">SUM(E20:E37)</f>
        <v>3372264</v>
      </c>
      <c r="F38" s="29">
        <f t="shared" si="15"/>
        <v>0</v>
      </c>
      <c r="G38" s="29">
        <f t="shared" si="15"/>
        <v>3372264</v>
      </c>
      <c r="H38" s="29">
        <f t="shared" si="15"/>
        <v>56775</v>
      </c>
      <c r="I38" s="29">
        <f t="shared" si="15"/>
        <v>3429039</v>
      </c>
      <c r="J38" s="29">
        <f t="shared" si="15"/>
        <v>136613</v>
      </c>
      <c r="K38" s="29">
        <f t="shared" si="15"/>
        <v>3565652</v>
      </c>
      <c r="L38" s="29">
        <f t="shared" si="15"/>
        <v>135498</v>
      </c>
      <c r="M38" s="29">
        <f t="shared" si="15"/>
        <v>3701150</v>
      </c>
      <c r="N38" s="29">
        <f>SUM(N20:N37)</f>
        <v>328886</v>
      </c>
      <c r="O38" s="29">
        <f>SUM(O20:O37)</f>
        <v>0</v>
      </c>
      <c r="P38" s="29">
        <f>SUM(P20:P37)</f>
        <v>3701150</v>
      </c>
      <c r="Q38" s="35"/>
      <c r="R38" s="29">
        <f>SUM(R20:R37)</f>
        <v>0</v>
      </c>
      <c r="S38" s="207">
        <f>SUM(S20:S37)</f>
        <v>303760</v>
      </c>
      <c r="T38" s="207">
        <f>SUM(T20:T37)</f>
        <v>0</v>
      </c>
    </row>
    <row r="39" spans="5:20" ht="12.75"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5"/>
      <c r="R39" s="30"/>
      <c r="S39" s="30"/>
      <c r="T39" s="30"/>
    </row>
    <row r="40" spans="3:20" ht="12.75">
      <c r="C40" s="21" t="s">
        <v>9</v>
      </c>
      <c r="E40" s="30"/>
      <c r="F40" s="30"/>
      <c r="G40" s="30"/>
      <c r="H40" s="65"/>
      <c r="I40" s="26"/>
      <c r="J40" s="65"/>
      <c r="K40" s="26"/>
      <c r="L40" s="65"/>
      <c r="M40" s="26"/>
      <c r="N40" s="26"/>
      <c r="O40" s="26"/>
      <c r="P40" s="26"/>
      <c r="Q40" s="26"/>
      <c r="R40" s="26"/>
      <c r="S40" s="26"/>
      <c r="T40" s="26"/>
    </row>
    <row r="41" spans="2:20" ht="12.75">
      <c r="B41" s="3" t="s">
        <v>33</v>
      </c>
      <c r="C41" s="2" t="s">
        <v>315</v>
      </c>
      <c r="D41" s="22"/>
      <c r="E41" s="25">
        <f>ROUND('GasLabor$'!L45,0)</f>
        <v>136815</v>
      </c>
      <c r="F41" s="25"/>
      <c r="G41" s="25">
        <f>F41+E41</f>
        <v>136815</v>
      </c>
      <c r="H41" s="27">
        <f>ROUND(IF($B41="a",G41*H$5,G41*H$6),0)</f>
        <v>2078</v>
      </c>
      <c r="I41" s="25">
        <f>H41+G41</f>
        <v>138893</v>
      </c>
      <c r="J41" s="27">
        <f>ROUND(IF($B41="a",I41*J$5,I41*J$6),0)</f>
        <v>5278</v>
      </c>
      <c r="K41" s="25">
        <f>J41+I41</f>
        <v>144171</v>
      </c>
      <c r="L41" s="27">
        <f>ROUND(IF($B41="a",K41*L$5,K41*L$6),0)</f>
        <v>5478</v>
      </c>
      <c r="M41" s="25">
        <f>L41+K41</f>
        <v>149649</v>
      </c>
      <c r="N41" s="25">
        <f>+H41+J41+L41</f>
        <v>12834</v>
      </c>
      <c r="O41" s="25"/>
      <c r="P41" s="25">
        <f>M41+O41</f>
        <v>149649</v>
      </c>
      <c r="Q41" s="26"/>
      <c r="R41" s="25">
        <f>O41+F41</f>
        <v>0</v>
      </c>
      <c r="S41" s="25">
        <f>ROUND($S$74*E41/E$71,0)</f>
        <v>12324</v>
      </c>
      <c r="T41" s="25">
        <f>ROUND($T$74*F41/F$71,0)</f>
        <v>0</v>
      </c>
    </row>
    <row r="42" spans="3:20" ht="12.75">
      <c r="C42" s="2" t="s">
        <v>316</v>
      </c>
      <c r="D42" s="22"/>
      <c r="E42" s="25">
        <f>ROUND('GasLabor$'!L46,0)</f>
        <v>742416</v>
      </c>
      <c r="F42" s="25"/>
      <c r="G42" s="25">
        <f>F42+E42</f>
        <v>742416</v>
      </c>
      <c r="H42" s="28">
        <f>ROUND(IF($B42="a",G42*H$5,G42*H$6),0)</f>
        <v>12606</v>
      </c>
      <c r="I42" s="25">
        <f>H42+G42</f>
        <v>755022</v>
      </c>
      <c r="J42" s="28">
        <f>ROUND(IF($B42="a",I42*J$5,I42*J$6),0)</f>
        <v>30201</v>
      </c>
      <c r="K42" s="25">
        <f>J42+I42</f>
        <v>785223</v>
      </c>
      <c r="L42" s="28">
        <f>ROUND(IF($B42="a",K42*L$5,K42*L$6),0)</f>
        <v>29838</v>
      </c>
      <c r="M42" s="25">
        <f>L42+K42</f>
        <v>815061</v>
      </c>
      <c r="N42" s="25">
        <f>+H42+J42+L42</f>
        <v>72645</v>
      </c>
      <c r="O42" s="25"/>
      <c r="P42" s="25">
        <f>M42+O42</f>
        <v>815061</v>
      </c>
      <c r="Q42" s="26"/>
      <c r="R42" s="25">
        <f>O42+F42</f>
        <v>0</v>
      </c>
      <c r="S42" s="25">
        <f>ROUND($S$74*E42/E$71,0)</f>
        <v>66874</v>
      </c>
      <c r="T42" s="25">
        <f>ROUND($T$74*F42/F$71,0)</f>
        <v>0</v>
      </c>
    </row>
    <row r="43" spans="2:20" ht="12.75">
      <c r="B43" s="3" t="s">
        <v>33</v>
      </c>
      <c r="C43" s="2" t="s">
        <v>317</v>
      </c>
      <c r="D43" s="22"/>
      <c r="E43" s="25">
        <f>ROUND('GasLabor$'!L47,0)</f>
        <v>1235082</v>
      </c>
      <c r="F43" s="25"/>
      <c r="G43" s="25">
        <f>F43+E43</f>
        <v>1235082</v>
      </c>
      <c r="H43" s="27">
        <f>ROUND(IF($B43="a",G43*H$5,G43*H$6),0)</f>
        <v>18761</v>
      </c>
      <c r="I43" s="25">
        <f>H43+G43</f>
        <v>1253843</v>
      </c>
      <c r="J43" s="27">
        <f>ROUND(IF($B43="a",I43*J$5,I43*J$6),0)</f>
        <v>47646</v>
      </c>
      <c r="K43" s="25">
        <f>J43+I43</f>
        <v>1301489</v>
      </c>
      <c r="L43" s="27">
        <f>ROUND(IF($B43="a",K43*L$5,K43*L$6),0)</f>
        <v>49457</v>
      </c>
      <c r="M43" s="25">
        <f>L43+K43</f>
        <v>1350946</v>
      </c>
      <c r="N43" s="25">
        <f>+H43+J43+L43</f>
        <v>115864</v>
      </c>
      <c r="O43" s="25"/>
      <c r="P43" s="25">
        <f>M43+O43</f>
        <v>1350946</v>
      </c>
      <c r="Q43" s="26"/>
      <c r="R43" s="25">
        <f>O43+F43</f>
        <v>0</v>
      </c>
      <c r="S43" s="25">
        <f>ROUND($S$74*E43/E$71,0)</f>
        <v>111252</v>
      </c>
      <c r="T43" s="25">
        <f>ROUND($T$74*F43/F$71,0)</f>
        <v>0</v>
      </c>
    </row>
    <row r="44" spans="2:20" ht="12.75">
      <c r="B44" s="3" t="s">
        <v>33</v>
      </c>
      <c r="C44" s="2" t="s">
        <v>318</v>
      </c>
      <c r="D44" s="22"/>
      <c r="E44" s="25">
        <f>ROUND('GasLabor$'!L48,0)</f>
        <v>36622</v>
      </c>
      <c r="F44" s="25"/>
      <c r="G44" s="25">
        <f>F44+E44</f>
        <v>36622</v>
      </c>
      <c r="H44" s="27">
        <f>ROUND(IF($B44="a",G44*H$5,G44*H$6),0)</f>
        <v>556</v>
      </c>
      <c r="I44" s="25">
        <f>H44+G44</f>
        <v>37178</v>
      </c>
      <c r="J44" s="27">
        <f>ROUND(IF($B44="a",I44*J$5,I44*J$6),0)</f>
        <v>1413</v>
      </c>
      <c r="K44" s="25">
        <f>J44+I44</f>
        <v>38591</v>
      </c>
      <c r="L44" s="27">
        <f>ROUND(IF($B44="a",K44*L$5,K44*L$6),0)</f>
        <v>1466</v>
      </c>
      <c r="M44" s="25">
        <f>L44+K44</f>
        <v>40057</v>
      </c>
      <c r="N44" s="25">
        <f>+H44+J44+L44</f>
        <v>3435</v>
      </c>
      <c r="O44" s="25"/>
      <c r="P44" s="25">
        <f>M44+O44</f>
        <v>40057</v>
      </c>
      <c r="Q44" s="26"/>
      <c r="R44" s="25">
        <f>O44+F44</f>
        <v>0</v>
      </c>
      <c r="S44" s="25">
        <f>ROUND($S$74*E44/E$71,0)</f>
        <v>3299</v>
      </c>
      <c r="T44" s="25">
        <f>ROUND($T$74*F44/F$71,0)</f>
        <v>0</v>
      </c>
    </row>
    <row r="45" spans="3:20" ht="12.75">
      <c r="C45" s="21" t="s">
        <v>10</v>
      </c>
      <c r="E45" s="29">
        <f aca="true" t="shared" si="16" ref="E45:P45">SUM(E41:E44)</f>
        <v>2150935</v>
      </c>
      <c r="F45" s="29">
        <f t="shared" si="16"/>
        <v>0</v>
      </c>
      <c r="G45" s="29">
        <f t="shared" si="16"/>
        <v>2150935</v>
      </c>
      <c r="H45" s="29">
        <f t="shared" si="16"/>
        <v>34001</v>
      </c>
      <c r="I45" s="29">
        <f t="shared" si="16"/>
        <v>2184936</v>
      </c>
      <c r="J45" s="29">
        <f>SUM(J41:J44)</f>
        <v>84538</v>
      </c>
      <c r="K45" s="29">
        <f>SUM(K41:K44)</f>
        <v>2269474</v>
      </c>
      <c r="L45" s="29">
        <f>SUM(L41:L44)</f>
        <v>86239</v>
      </c>
      <c r="M45" s="29">
        <f>SUM(M41:M44)</f>
        <v>2355713</v>
      </c>
      <c r="N45" s="29">
        <f t="shared" si="16"/>
        <v>204778</v>
      </c>
      <c r="O45" s="29">
        <f t="shared" si="16"/>
        <v>0</v>
      </c>
      <c r="P45" s="29">
        <f t="shared" si="16"/>
        <v>2355713</v>
      </c>
      <c r="Q45" s="35"/>
      <c r="R45" s="29">
        <f>SUM(R41:R44)</f>
        <v>0</v>
      </c>
      <c r="S45" s="207">
        <f>SUM(S41:S44)</f>
        <v>193749</v>
      </c>
      <c r="T45" s="207">
        <f>SUM(T41:T44)</f>
        <v>0</v>
      </c>
    </row>
    <row r="46" spans="5:20" ht="12.7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5"/>
      <c r="R46" s="30"/>
      <c r="S46" s="30"/>
      <c r="T46" s="30"/>
    </row>
    <row r="47" spans="3:20" ht="12.75">
      <c r="C47" s="21" t="s">
        <v>11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5"/>
      <c r="R47" s="30"/>
      <c r="S47" s="30"/>
      <c r="T47" s="30"/>
    </row>
    <row r="48" spans="2:20" ht="12.75">
      <c r="B48" s="3" t="s">
        <v>33</v>
      </c>
      <c r="C48" s="2" t="s">
        <v>319</v>
      </c>
      <c r="D48" s="22"/>
      <c r="E48" s="25">
        <f>ROUND('GasLabor$'!L53,0)</f>
        <v>123032</v>
      </c>
      <c r="F48" s="25"/>
      <c r="G48" s="25">
        <f>F48+E48</f>
        <v>123032</v>
      </c>
      <c r="H48" s="27">
        <f>ROUND(IF($B48="a",G48*H$5,G48*H$6),0)</f>
        <v>1869</v>
      </c>
      <c r="I48" s="25">
        <f>H48+G48</f>
        <v>124901</v>
      </c>
      <c r="J48" s="27">
        <f>ROUND(IF($B48="a",I48*J$5,I48*J$6),0)</f>
        <v>4746</v>
      </c>
      <c r="K48" s="25">
        <f>J48+I48</f>
        <v>129647</v>
      </c>
      <c r="L48" s="27">
        <f>ROUND(IF($B48="a",K48*L$5,K48*L$6),0)</f>
        <v>4927</v>
      </c>
      <c r="M48" s="25">
        <f>L48+K48</f>
        <v>134574</v>
      </c>
      <c r="N48" s="25">
        <f>+H48+J48+L48</f>
        <v>11542</v>
      </c>
      <c r="O48" s="25"/>
      <c r="P48" s="25">
        <f>M48+O48</f>
        <v>134574</v>
      </c>
      <c r="Q48" s="26"/>
      <c r="R48" s="25">
        <f>O48+F48</f>
        <v>0</v>
      </c>
      <c r="S48" s="25">
        <f>ROUND($S$74*E48/E$71,0)</f>
        <v>11082</v>
      </c>
      <c r="T48" s="25">
        <f>ROUND($T$74*F48/F$71,0)</f>
        <v>0</v>
      </c>
    </row>
    <row r="49" spans="2:20" ht="12.75">
      <c r="B49" s="3" t="s">
        <v>33</v>
      </c>
      <c r="C49" s="2" t="s">
        <v>320</v>
      </c>
      <c r="D49" s="22"/>
      <c r="E49" s="25">
        <f>ROUND('GasLabor$'!L54,0)</f>
        <v>6578</v>
      </c>
      <c r="F49" s="25"/>
      <c r="G49" s="25">
        <f>F49+E49</f>
        <v>6578</v>
      </c>
      <c r="H49" s="27">
        <f>ROUND(IF($B49="a",G49*H$5,G49*H$6),0)</f>
        <v>100</v>
      </c>
      <c r="I49" s="25">
        <f>H49+G49</f>
        <v>6678</v>
      </c>
      <c r="J49" s="27">
        <f>ROUND(IF($B49="a",I49*J$5,I49*J$6),0)</f>
        <v>254</v>
      </c>
      <c r="K49" s="25">
        <f>J49+I49</f>
        <v>6932</v>
      </c>
      <c r="L49" s="27">
        <f>ROUND(IF($B49="a",K49*L$5,K49*L$6),0)</f>
        <v>263</v>
      </c>
      <c r="M49" s="25">
        <f>L49+K49</f>
        <v>7195</v>
      </c>
      <c r="N49" s="25">
        <f>+H49+J49+L49</f>
        <v>617</v>
      </c>
      <c r="O49" s="25"/>
      <c r="P49" s="25">
        <f>M49+O49</f>
        <v>7195</v>
      </c>
      <c r="Q49" s="26"/>
      <c r="R49" s="25">
        <f>O49+F49</f>
        <v>0</v>
      </c>
      <c r="S49" s="25">
        <f>ROUND($S$74*E49/E$71,0)</f>
        <v>593</v>
      </c>
      <c r="T49" s="25">
        <f>ROUND($T$74*F49/F$71,0)</f>
        <v>0</v>
      </c>
    </row>
    <row r="50" spans="2:20" ht="12.75">
      <c r="B50" s="3" t="s">
        <v>33</v>
      </c>
      <c r="C50" s="2" t="s">
        <v>321</v>
      </c>
      <c r="D50" s="22"/>
      <c r="E50" s="25">
        <f>ROUND('GasLabor$'!L55,0)</f>
        <v>54</v>
      </c>
      <c r="F50" s="25"/>
      <c r="G50" s="25">
        <f>F50+E50</f>
        <v>54</v>
      </c>
      <c r="H50" s="27">
        <f>ROUND(IF($B50="a",G50*H$5,G50*H$6),0)</f>
        <v>1</v>
      </c>
      <c r="I50" s="25">
        <f>H50+G50</f>
        <v>55</v>
      </c>
      <c r="J50" s="27">
        <f>ROUND(IF($B50="a",I50*J$5,I50*J$6),0)</f>
        <v>2</v>
      </c>
      <c r="K50" s="25">
        <f>J50+I50</f>
        <v>57</v>
      </c>
      <c r="L50" s="27">
        <f>ROUND(IF($B50="a",K50*L$5,K50*L$6),0)</f>
        <v>2</v>
      </c>
      <c r="M50" s="25">
        <f>L50+K50</f>
        <v>59</v>
      </c>
      <c r="N50" s="25">
        <f>+H50+J50+L50</f>
        <v>5</v>
      </c>
      <c r="O50" s="25"/>
      <c r="P50" s="25">
        <f>M50+O50</f>
        <v>59</v>
      </c>
      <c r="Q50" s="26"/>
      <c r="R50" s="25">
        <f>O50+F50</f>
        <v>0</v>
      </c>
      <c r="S50" s="25">
        <f>ROUND($S$74*E50/E$71,0)</f>
        <v>5</v>
      </c>
      <c r="T50" s="25">
        <f>ROUND($T$74*F50/F$71,0)</f>
        <v>0</v>
      </c>
    </row>
    <row r="51" spans="3:20" ht="12.75">
      <c r="C51" s="21" t="s">
        <v>12</v>
      </c>
      <c r="E51" s="29">
        <f aca="true" t="shared" si="17" ref="E51:P51">SUM(E48:E50)</f>
        <v>129664</v>
      </c>
      <c r="F51" s="29">
        <f t="shared" si="17"/>
        <v>0</v>
      </c>
      <c r="G51" s="29">
        <f t="shared" si="17"/>
        <v>129664</v>
      </c>
      <c r="H51" s="29">
        <f t="shared" si="17"/>
        <v>1970</v>
      </c>
      <c r="I51" s="29">
        <f t="shared" si="17"/>
        <v>131634</v>
      </c>
      <c r="J51" s="29">
        <f>SUM(J48:J50)</f>
        <v>5002</v>
      </c>
      <c r="K51" s="29">
        <f>SUM(K48:K50)</f>
        <v>136636</v>
      </c>
      <c r="L51" s="29">
        <f>SUM(L48:L50)</f>
        <v>5192</v>
      </c>
      <c r="M51" s="29">
        <f>SUM(M48:M50)</f>
        <v>141828</v>
      </c>
      <c r="N51" s="29">
        <f t="shared" si="17"/>
        <v>12164</v>
      </c>
      <c r="O51" s="29">
        <f t="shared" si="17"/>
        <v>0</v>
      </c>
      <c r="P51" s="29">
        <f t="shared" si="17"/>
        <v>141828</v>
      </c>
      <c r="Q51" s="35"/>
      <c r="R51" s="29">
        <f>SUM(R48:R50)</f>
        <v>0</v>
      </c>
      <c r="S51" s="207">
        <f>SUM(S48:S50)</f>
        <v>11680</v>
      </c>
      <c r="T51" s="207">
        <f>SUM(T48:T50)</f>
        <v>0</v>
      </c>
    </row>
    <row r="52" spans="5:20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5"/>
      <c r="R52" s="30"/>
      <c r="S52" s="30"/>
      <c r="T52" s="30"/>
    </row>
    <row r="53" spans="3:20" ht="12.75">
      <c r="C53" s="21" t="s">
        <v>13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5"/>
      <c r="R53" s="30"/>
      <c r="S53" s="30"/>
      <c r="T53" s="30"/>
    </row>
    <row r="54" spans="2:20" ht="12.75">
      <c r="B54" s="3" t="s">
        <v>33</v>
      </c>
      <c r="C54" s="2" t="s">
        <v>322</v>
      </c>
      <c r="D54" s="22"/>
      <c r="E54" s="25">
        <f>ROUND('GasLabor$'!L59,0)</f>
        <v>0</v>
      </c>
      <c r="F54" s="25"/>
      <c r="G54" s="25">
        <f>F54+E54</f>
        <v>0</v>
      </c>
      <c r="H54" s="27">
        <f>ROUND(IF($B54="a",G54*H$5,G54*H$6),0)</f>
        <v>0</v>
      </c>
      <c r="I54" s="25">
        <f>H54+G54</f>
        <v>0</v>
      </c>
      <c r="J54" s="27">
        <f>ROUND(IF($B54="a",I54*J$5,I54*J$6),0)</f>
        <v>0</v>
      </c>
      <c r="K54" s="25">
        <f>J54+I54</f>
        <v>0</v>
      </c>
      <c r="L54" s="27">
        <f>ROUND(IF($B54="a",K54*L$5,K54*L$6),0)</f>
        <v>0</v>
      </c>
      <c r="M54" s="25">
        <f>L54+K54</f>
        <v>0</v>
      </c>
      <c r="N54" s="25">
        <f>+H54+J54+L54</f>
        <v>0</v>
      </c>
      <c r="O54" s="25"/>
      <c r="P54" s="25">
        <f>M54+O54</f>
        <v>0</v>
      </c>
      <c r="Q54" s="26"/>
      <c r="R54" s="25">
        <f>O54+F54</f>
        <v>0</v>
      </c>
      <c r="S54" s="25">
        <f>ROUND($S$74*E54/E$71,0)</f>
        <v>0</v>
      </c>
      <c r="T54" s="25">
        <f>ROUND($T$74*F54/F$71,0)</f>
        <v>0</v>
      </c>
    </row>
    <row r="55" spans="2:20" ht="12.75">
      <c r="B55" s="3" t="s">
        <v>33</v>
      </c>
      <c r="C55" s="2" t="s">
        <v>323</v>
      </c>
      <c r="D55" s="22"/>
      <c r="E55" s="25">
        <f>ROUND('GasLabor$'!L60,0)</f>
        <v>111401</v>
      </c>
      <c r="F55" s="25"/>
      <c r="G55" s="25">
        <f>F55+E55</f>
        <v>111401</v>
      </c>
      <c r="H55" s="27">
        <f>ROUND(IF($B55="a",G55*H$5,G55*H$6),0)</f>
        <v>1692</v>
      </c>
      <c r="I55" s="25">
        <f>H55+G55</f>
        <v>113093</v>
      </c>
      <c r="J55" s="27">
        <f>ROUND(IF($B55="a",I55*J$5,I55*J$6),0)</f>
        <v>4298</v>
      </c>
      <c r="K55" s="25">
        <f>J55+I55</f>
        <v>117391</v>
      </c>
      <c r="L55" s="27">
        <f>ROUND(IF($B55="a",K55*L$5,K55*L$6),0)</f>
        <v>4461</v>
      </c>
      <c r="M55" s="25">
        <f>L55+K55</f>
        <v>121852</v>
      </c>
      <c r="N55" s="25">
        <f>+H55+J55+L55</f>
        <v>10451</v>
      </c>
      <c r="O55" s="25"/>
      <c r="P55" s="25">
        <f>M55+O55</f>
        <v>121852</v>
      </c>
      <c r="Q55" s="26"/>
      <c r="R55" s="25">
        <f>O55+F55</f>
        <v>0</v>
      </c>
      <c r="S55" s="25">
        <f>ROUND($S$74*E55/E$71,0)</f>
        <v>10035</v>
      </c>
      <c r="T55" s="25">
        <f>ROUND($T$74*F55/F$71,0)</f>
        <v>0</v>
      </c>
    </row>
    <row r="56" spans="2:20" ht="12.75">
      <c r="B56" s="3" t="s">
        <v>33</v>
      </c>
      <c r="C56" s="2" t="s">
        <v>324</v>
      </c>
      <c r="D56" s="22"/>
      <c r="E56" s="25">
        <f>ROUND('GasLabor$'!L61,0)</f>
        <v>0</v>
      </c>
      <c r="F56" s="25"/>
      <c r="G56" s="25">
        <f>F56+E56</f>
        <v>0</v>
      </c>
      <c r="H56" s="27">
        <f>ROUND(IF($B56="a",G56*H$5,G56*H$6),0)</f>
        <v>0</v>
      </c>
      <c r="I56" s="25">
        <f>H56+G56</f>
        <v>0</v>
      </c>
      <c r="J56" s="27">
        <f>ROUND(IF($B56="a",I56*J$5,I56*J$6),0)</f>
        <v>0</v>
      </c>
      <c r="K56" s="25">
        <f>J56+I56</f>
        <v>0</v>
      </c>
      <c r="L56" s="27">
        <f>ROUND(IF($B56="a",K56*L$5,K56*L$6),0)</f>
        <v>0</v>
      </c>
      <c r="M56" s="25">
        <f>L56+K56</f>
        <v>0</v>
      </c>
      <c r="N56" s="25">
        <f>+H56+J56+L56</f>
        <v>0</v>
      </c>
      <c r="O56" s="25"/>
      <c r="P56" s="25">
        <f>M56+O56</f>
        <v>0</v>
      </c>
      <c r="Q56" s="26"/>
      <c r="R56" s="25">
        <f>O56+F56</f>
        <v>0</v>
      </c>
      <c r="S56" s="25">
        <f>ROUND($S$74*E56/E$71,0)</f>
        <v>0</v>
      </c>
      <c r="T56" s="25">
        <f>ROUND($T$74*F56/F$71,0)</f>
        <v>0</v>
      </c>
    </row>
    <row r="57" spans="2:20" ht="12.75">
      <c r="B57" s="3" t="s">
        <v>33</v>
      </c>
      <c r="C57" s="2" t="s">
        <v>325</v>
      </c>
      <c r="D57" s="22"/>
      <c r="E57" s="25">
        <f>ROUND('GasLabor$'!L62,0)</f>
        <v>89414</v>
      </c>
      <c r="F57" s="25"/>
      <c r="G57" s="25">
        <f>F57+E57</f>
        <v>89414</v>
      </c>
      <c r="H57" s="27">
        <f>ROUND(IF($B57="a",G57*H$5,G57*H$6),0)</f>
        <v>1358</v>
      </c>
      <c r="I57" s="25">
        <f>H57+G57</f>
        <v>90772</v>
      </c>
      <c r="J57" s="27">
        <f>ROUND(IF($B57="a",I57*J$5,I57*J$6),0)</f>
        <v>3449</v>
      </c>
      <c r="K57" s="25">
        <f>J57+I57</f>
        <v>94221</v>
      </c>
      <c r="L57" s="27">
        <f>ROUND(IF($B57="a",K57*L$5,K57*L$6),0)</f>
        <v>3580</v>
      </c>
      <c r="M57" s="25">
        <f>L57+K57</f>
        <v>97801</v>
      </c>
      <c r="N57" s="25">
        <f>+H57+J57+L57</f>
        <v>8387</v>
      </c>
      <c r="O57" s="25"/>
      <c r="P57" s="25">
        <f>M57+O57</f>
        <v>97801</v>
      </c>
      <c r="Q57" s="26"/>
      <c r="R57" s="25">
        <f>O57+F57</f>
        <v>0</v>
      </c>
      <c r="S57" s="25">
        <f>ROUND($S$74*E57/E$71,0)</f>
        <v>8054</v>
      </c>
      <c r="T57" s="25">
        <f>ROUND($T$74*F57/F$71,0)</f>
        <v>0</v>
      </c>
    </row>
    <row r="58" spans="3:20" ht="12.75">
      <c r="C58" s="21" t="s">
        <v>14</v>
      </c>
      <c r="E58" s="29">
        <f>SUM(E54:E57)</f>
        <v>200815</v>
      </c>
      <c r="F58" s="29">
        <f aca="true" t="shared" si="18" ref="F58:P58">SUM(F54:F57)</f>
        <v>0</v>
      </c>
      <c r="G58" s="29">
        <f t="shared" si="18"/>
        <v>200815</v>
      </c>
      <c r="H58" s="29">
        <f t="shared" si="18"/>
        <v>3050</v>
      </c>
      <c r="I58" s="29">
        <f t="shared" si="18"/>
        <v>203865</v>
      </c>
      <c r="J58" s="29">
        <f t="shared" si="18"/>
        <v>7747</v>
      </c>
      <c r="K58" s="29">
        <f t="shared" si="18"/>
        <v>211612</v>
      </c>
      <c r="L58" s="29">
        <f>SUM(L54:L57)</f>
        <v>8041</v>
      </c>
      <c r="M58" s="29">
        <f>SUM(M54:M57)</f>
        <v>219653</v>
      </c>
      <c r="N58" s="29">
        <f t="shared" si="18"/>
        <v>18838</v>
      </c>
      <c r="O58" s="29">
        <f t="shared" si="18"/>
        <v>0</v>
      </c>
      <c r="P58" s="29">
        <f t="shared" si="18"/>
        <v>219653</v>
      </c>
      <c r="Q58" s="35"/>
      <c r="R58" s="29">
        <f>SUM(R54:R57)</f>
        <v>0</v>
      </c>
      <c r="S58" s="207">
        <f>SUM(S54:S57)</f>
        <v>18089</v>
      </c>
      <c r="T58" s="207">
        <f>SUM(T54:T57)</f>
        <v>0</v>
      </c>
    </row>
    <row r="59" spans="5:20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5"/>
      <c r="R59" s="30"/>
      <c r="S59" s="30"/>
      <c r="T59" s="30"/>
    </row>
    <row r="60" spans="3:20" ht="12.75">
      <c r="C60" s="21" t="s">
        <v>15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5"/>
      <c r="R60" s="30"/>
      <c r="S60" s="30"/>
      <c r="T60" s="30"/>
    </row>
    <row r="61" spans="2:20" ht="12.75">
      <c r="B61" s="3" t="s">
        <v>33</v>
      </c>
      <c r="C61" s="2" t="s">
        <v>326</v>
      </c>
      <c r="D61" s="22"/>
      <c r="E61" s="25">
        <f>ROUND('GasLabor$'!L66,0)+1</f>
        <v>1904927</v>
      </c>
      <c r="F61" s="25">
        <f>-RemoveExec!H17</f>
        <v>-359641</v>
      </c>
      <c r="G61" s="25">
        <f aca="true" t="shared" si="19" ref="G61:G68">F61+E61</f>
        <v>1545286</v>
      </c>
      <c r="H61" s="27">
        <f aca="true" t="shared" si="20" ref="H61:H68">ROUND(IF($B61="a",G61*H$5,G61*H$6),0)</f>
        <v>23473</v>
      </c>
      <c r="I61" s="25">
        <f aca="true" t="shared" si="21" ref="I61:I68">H61+G61</f>
        <v>1568759</v>
      </c>
      <c r="J61" s="27">
        <f aca="true" t="shared" si="22" ref="J61:J68">ROUND(IF($B61="a",I61*J$5,I61*J$6),0)</f>
        <v>59613</v>
      </c>
      <c r="K61" s="25">
        <f aca="true" t="shared" si="23" ref="K61:K68">J61+I61</f>
        <v>1628372</v>
      </c>
      <c r="L61" s="27">
        <f aca="true" t="shared" si="24" ref="L61:L68">ROUND(IF($B61="a",K61*L$5,K61*L$6),0)</f>
        <v>61878</v>
      </c>
      <c r="M61" s="25">
        <f aca="true" t="shared" si="25" ref="M61:M68">L61+K61</f>
        <v>1690250</v>
      </c>
      <c r="N61" s="25">
        <f aca="true" t="shared" si="26" ref="N61:N68">+H61+J61+L61</f>
        <v>144964</v>
      </c>
      <c r="O61" s="25">
        <f>'Pro Forma Spread'!I35</f>
        <v>423266</v>
      </c>
      <c r="P61" s="25">
        <f aca="true" t="shared" si="27" ref="P61:P68">M61+O61</f>
        <v>2113516</v>
      </c>
      <c r="Q61" s="26"/>
      <c r="R61" s="25">
        <f aca="true" t="shared" si="28" ref="R61:R68">O61+F61</f>
        <v>63625</v>
      </c>
      <c r="S61" s="25">
        <f>ROUND($S$74*E61/E$71,0)+1</f>
        <v>171590</v>
      </c>
      <c r="T61" s="25">
        <f>ROUND($T$74*F61/F$71,0)</f>
        <v>253553</v>
      </c>
    </row>
    <row r="62" spans="2:20" ht="12.75">
      <c r="B62" s="44"/>
      <c r="C62" s="2">
        <v>921</v>
      </c>
      <c r="D62" s="22"/>
      <c r="E62" s="25">
        <f>ROUND('GasLabor$'!L67,0)</f>
        <v>3340</v>
      </c>
      <c r="F62" s="25"/>
      <c r="G62" s="25">
        <f t="shared" si="19"/>
        <v>3340</v>
      </c>
      <c r="H62" s="27">
        <f t="shared" si="20"/>
        <v>57</v>
      </c>
      <c r="I62" s="25">
        <f t="shared" si="21"/>
        <v>3397</v>
      </c>
      <c r="J62" s="27">
        <f t="shared" si="22"/>
        <v>136</v>
      </c>
      <c r="K62" s="25">
        <f t="shared" si="23"/>
        <v>3533</v>
      </c>
      <c r="L62" s="27">
        <f t="shared" si="24"/>
        <v>134</v>
      </c>
      <c r="M62" s="25">
        <f t="shared" si="25"/>
        <v>3667</v>
      </c>
      <c r="N62" s="25">
        <f t="shared" si="26"/>
        <v>327</v>
      </c>
      <c r="O62" s="25">
        <f>'Pro Forma Spread'!I36</f>
        <v>0</v>
      </c>
      <c r="P62" s="25">
        <f t="shared" si="27"/>
        <v>3667</v>
      </c>
      <c r="Q62" s="26"/>
      <c r="R62" s="25">
        <f t="shared" si="28"/>
        <v>0</v>
      </c>
      <c r="S62" s="25">
        <f aca="true" t="shared" si="29" ref="S62:S68">ROUND($S$74*E62/E$71,0)</f>
        <v>301</v>
      </c>
      <c r="T62" s="25">
        <f>ROUND($T$74*F62/F$71,0)</f>
        <v>0</v>
      </c>
    </row>
    <row r="63" spans="2:20" ht="12.75">
      <c r="B63" s="3" t="s">
        <v>33</v>
      </c>
      <c r="C63" s="2" t="s">
        <v>327</v>
      </c>
      <c r="D63" s="22"/>
      <c r="E63" s="25">
        <f>ROUND('GasLabor$'!L68,0)</f>
        <v>368</v>
      </c>
      <c r="F63" s="25"/>
      <c r="G63" s="25">
        <f t="shared" si="19"/>
        <v>368</v>
      </c>
      <c r="H63" s="27">
        <f t="shared" si="20"/>
        <v>6</v>
      </c>
      <c r="I63" s="25">
        <f t="shared" si="21"/>
        <v>374</v>
      </c>
      <c r="J63" s="27">
        <f t="shared" si="22"/>
        <v>14</v>
      </c>
      <c r="K63" s="25">
        <f t="shared" si="23"/>
        <v>388</v>
      </c>
      <c r="L63" s="27">
        <f t="shared" si="24"/>
        <v>15</v>
      </c>
      <c r="M63" s="25">
        <f t="shared" si="25"/>
        <v>403</v>
      </c>
      <c r="N63" s="25">
        <f t="shared" si="26"/>
        <v>35</v>
      </c>
      <c r="O63" s="25"/>
      <c r="P63" s="25">
        <f t="shared" si="27"/>
        <v>403</v>
      </c>
      <c r="Q63" s="26"/>
      <c r="R63" s="25">
        <f t="shared" si="28"/>
        <v>0</v>
      </c>
      <c r="S63" s="25">
        <f t="shared" si="29"/>
        <v>33</v>
      </c>
      <c r="T63" s="25">
        <f aca="true" t="shared" si="30" ref="T63:T68">ROUND($T$74*F63/F$71,0)</f>
        <v>0</v>
      </c>
    </row>
    <row r="64" spans="2:20" ht="12.75">
      <c r="B64" s="3" t="s">
        <v>33</v>
      </c>
      <c r="C64" s="2" t="s">
        <v>328</v>
      </c>
      <c r="D64" s="22"/>
      <c r="E64" s="25">
        <f>ROUND('GasLabor$'!L69,0)</f>
        <v>0</v>
      </c>
      <c r="F64" s="25"/>
      <c r="G64" s="25">
        <f t="shared" si="19"/>
        <v>0</v>
      </c>
      <c r="H64" s="27">
        <f t="shared" si="20"/>
        <v>0</v>
      </c>
      <c r="I64" s="25">
        <f t="shared" si="21"/>
        <v>0</v>
      </c>
      <c r="J64" s="27">
        <f t="shared" si="22"/>
        <v>0</v>
      </c>
      <c r="K64" s="25">
        <f t="shared" si="23"/>
        <v>0</v>
      </c>
      <c r="L64" s="27">
        <f t="shared" si="24"/>
        <v>0</v>
      </c>
      <c r="M64" s="25">
        <f t="shared" si="25"/>
        <v>0</v>
      </c>
      <c r="N64" s="25">
        <f t="shared" si="26"/>
        <v>0</v>
      </c>
      <c r="O64" s="25"/>
      <c r="P64" s="25">
        <f t="shared" si="27"/>
        <v>0</v>
      </c>
      <c r="Q64" s="26"/>
      <c r="R64" s="25">
        <f t="shared" si="28"/>
        <v>0</v>
      </c>
      <c r="S64" s="25">
        <f t="shared" si="29"/>
        <v>0</v>
      </c>
      <c r="T64" s="25">
        <f t="shared" si="30"/>
        <v>0</v>
      </c>
    </row>
    <row r="65" spans="2:20" ht="12.75">
      <c r="B65" s="3" t="s">
        <v>33</v>
      </c>
      <c r="C65" s="2" t="s">
        <v>329</v>
      </c>
      <c r="D65" s="22"/>
      <c r="E65" s="25">
        <f>ROUND('GasLabor$'!L70,0)</f>
        <v>32270</v>
      </c>
      <c r="F65" s="25"/>
      <c r="G65" s="25">
        <f t="shared" si="19"/>
        <v>32270</v>
      </c>
      <c r="H65" s="27">
        <f t="shared" si="20"/>
        <v>490</v>
      </c>
      <c r="I65" s="25">
        <f t="shared" si="21"/>
        <v>32760</v>
      </c>
      <c r="J65" s="27">
        <f t="shared" si="22"/>
        <v>1245</v>
      </c>
      <c r="K65" s="25">
        <f t="shared" si="23"/>
        <v>34005</v>
      </c>
      <c r="L65" s="27">
        <f t="shared" si="24"/>
        <v>1292</v>
      </c>
      <c r="M65" s="25">
        <f t="shared" si="25"/>
        <v>35297</v>
      </c>
      <c r="N65" s="25">
        <f t="shared" si="26"/>
        <v>3027</v>
      </c>
      <c r="O65" s="25"/>
      <c r="P65" s="25">
        <f t="shared" si="27"/>
        <v>35297</v>
      </c>
      <c r="Q65" s="26"/>
      <c r="R65" s="25">
        <f t="shared" si="28"/>
        <v>0</v>
      </c>
      <c r="S65" s="25">
        <f t="shared" si="29"/>
        <v>2907</v>
      </c>
      <c r="T65" s="25">
        <f t="shared" si="30"/>
        <v>0</v>
      </c>
    </row>
    <row r="66" spans="2:20" ht="12.75">
      <c r="B66" s="3" t="s">
        <v>33</v>
      </c>
      <c r="C66" s="2" t="s">
        <v>330</v>
      </c>
      <c r="D66" s="22"/>
      <c r="E66" s="25">
        <f>ROUND('GasLabor$'!L72,0)</f>
        <v>182180</v>
      </c>
      <c r="F66" s="25"/>
      <c r="G66" s="25">
        <f t="shared" si="19"/>
        <v>182180</v>
      </c>
      <c r="H66" s="27">
        <f t="shared" si="20"/>
        <v>2767</v>
      </c>
      <c r="I66" s="25">
        <f t="shared" si="21"/>
        <v>184947</v>
      </c>
      <c r="J66" s="27">
        <f t="shared" si="22"/>
        <v>7028</v>
      </c>
      <c r="K66" s="25">
        <f t="shared" si="23"/>
        <v>191975</v>
      </c>
      <c r="L66" s="27">
        <f t="shared" si="24"/>
        <v>7295</v>
      </c>
      <c r="M66" s="25">
        <f t="shared" si="25"/>
        <v>199270</v>
      </c>
      <c r="N66" s="25">
        <f t="shared" si="26"/>
        <v>17090</v>
      </c>
      <c r="O66" s="25"/>
      <c r="P66" s="25">
        <f t="shared" si="27"/>
        <v>199270</v>
      </c>
      <c r="Q66" s="26"/>
      <c r="R66" s="25">
        <f t="shared" si="28"/>
        <v>0</v>
      </c>
      <c r="S66" s="25">
        <f t="shared" si="29"/>
        <v>16410</v>
      </c>
      <c r="T66" s="25">
        <f t="shared" si="30"/>
        <v>0</v>
      </c>
    </row>
    <row r="67" spans="2:20" ht="12.75">
      <c r="B67" s="3" t="s">
        <v>33</v>
      </c>
      <c r="C67" s="2" t="s">
        <v>331</v>
      </c>
      <c r="D67" s="22"/>
      <c r="E67" s="25">
        <f>ROUND('GasLabor$'!L73,0)</f>
        <v>65522</v>
      </c>
      <c r="F67" s="25">
        <f>-RemoveExec!H18</f>
        <v>0</v>
      </c>
      <c r="G67" s="25">
        <f t="shared" si="19"/>
        <v>65522</v>
      </c>
      <c r="H67" s="27">
        <f t="shared" si="20"/>
        <v>995</v>
      </c>
      <c r="I67" s="25">
        <f t="shared" si="21"/>
        <v>66517</v>
      </c>
      <c r="J67" s="27">
        <f t="shared" si="22"/>
        <v>2528</v>
      </c>
      <c r="K67" s="25">
        <f t="shared" si="23"/>
        <v>69045</v>
      </c>
      <c r="L67" s="27">
        <f t="shared" si="24"/>
        <v>2624</v>
      </c>
      <c r="M67" s="25">
        <f t="shared" si="25"/>
        <v>71669</v>
      </c>
      <c r="N67" s="25">
        <f t="shared" si="26"/>
        <v>6147</v>
      </c>
      <c r="O67" s="25"/>
      <c r="P67" s="25">
        <f t="shared" si="27"/>
        <v>71669</v>
      </c>
      <c r="Q67" s="26"/>
      <c r="R67" s="25">
        <f t="shared" si="28"/>
        <v>0</v>
      </c>
      <c r="S67" s="25">
        <f t="shared" si="29"/>
        <v>5902</v>
      </c>
      <c r="T67" s="25">
        <f t="shared" si="30"/>
        <v>0</v>
      </c>
    </row>
    <row r="68" spans="3:20" ht="12.75">
      <c r="C68" s="2" t="s">
        <v>332</v>
      </c>
      <c r="D68" s="22"/>
      <c r="E68" s="25">
        <f>ROUND('GasLabor$'!L75,0)</f>
        <v>163525</v>
      </c>
      <c r="F68" s="25"/>
      <c r="G68" s="25">
        <f t="shared" si="19"/>
        <v>163525</v>
      </c>
      <c r="H68" s="28">
        <f t="shared" si="20"/>
        <v>2777</v>
      </c>
      <c r="I68" s="25">
        <f t="shared" si="21"/>
        <v>166302</v>
      </c>
      <c r="J68" s="28">
        <f t="shared" si="22"/>
        <v>6652</v>
      </c>
      <c r="K68" s="25">
        <f t="shared" si="23"/>
        <v>172954</v>
      </c>
      <c r="L68" s="28">
        <f t="shared" si="24"/>
        <v>6572</v>
      </c>
      <c r="M68" s="25">
        <f t="shared" si="25"/>
        <v>179526</v>
      </c>
      <c r="N68" s="25">
        <f t="shared" si="26"/>
        <v>16001</v>
      </c>
      <c r="O68" s="25"/>
      <c r="P68" s="25">
        <f t="shared" si="27"/>
        <v>179526</v>
      </c>
      <c r="Q68" s="26"/>
      <c r="R68" s="25">
        <f t="shared" si="28"/>
        <v>0</v>
      </c>
      <c r="S68" s="25">
        <f t="shared" si="29"/>
        <v>14730</v>
      </c>
      <c r="T68" s="25">
        <f t="shared" si="30"/>
        <v>0</v>
      </c>
    </row>
    <row r="69" spans="3:20" ht="12.75">
      <c r="C69" s="21" t="s">
        <v>16</v>
      </c>
      <c r="E69" s="29">
        <f aca="true" t="shared" si="31" ref="E69:P69">SUM(E61:E68)</f>
        <v>2352132</v>
      </c>
      <c r="F69" s="29">
        <f t="shared" si="31"/>
        <v>-359641</v>
      </c>
      <c r="G69" s="29">
        <f t="shared" si="31"/>
        <v>1992491</v>
      </c>
      <c r="H69" s="29">
        <f t="shared" si="31"/>
        <v>30565</v>
      </c>
      <c r="I69" s="29">
        <f t="shared" si="31"/>
        <v>2023056</v>
      </c>
      <c r="J69" s="29">
        <f>SUM(J61:J68)</f>
        <v>77216</v>
      </c>
      <c r="K69" s="29">
        <f>SUM(K61:K68)</f>
        <v>2100272</v>
      </c>
      <c r="L69" s="29">
        <f>SUM(L61:L68)</f>
        <v>79810</v>
      </c>
      <c r="M69" s="29">
        <f>SUM(M61:M68)</f>
        <v>2180082</v>
      </c>
      <c r="N69" s="29">
        <f t="shared" si="31"/>
        <v>187591</v>
      </c>
      <c r="O69" s="29">
        <f t="shared" si="31"/>
        <v>423266</v>
      </c>
      <c r="P69" s="29">
        <f t="shared" si="31"/>
        <v>2603348</v>
      </c>
      <c r="Q69" s="35"/>
      <c r="R69" s="29">
        <f>SUM(R61:R68)</f>
        <v>63625</v>
      </c>
      <c r="S69" s="207">
        <f>SUM(S61:S68)</f>
        <v>211873</v>
      </c>
      <c r="T69" s="207">
        <f>SUM(T61:T68)</f>
        <v>253553</v>
      </c>
    </row>
    <row r="70" spans="5:20" ht="12.75"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5"/>
      <c r="R70" s="30"/>
      <c r="S70" s="30"/>
      <c r="T70" s="30"/>
    </row>
    <row r="71" spans="3:20" ht="12.75">
      <c r="C71" s="21" t="s">
        <v>179</v>
      </c>
      <c r="E71" s="29">
        <f aca="true" t="shared" si="32" ref="E71:P71">E12+E17+E38+E45+E51+E58+E69</f>
        <v>8596430</v>
      </c>
      <c r="F71" s="29">
        <f t="shared" si="32"/>
        <v>-386936</v>
      </c>
      <c r="G71" s="29">
        <f t="shared" si="32"/>
        <v>8209494</v>
      </c>
      <c r="H71" s="29">
        <f t="shared" si="32"/>
        <v>131879</v>
      </c>
      <c r="I71" s="29">
        <f t="shared" si="32"/>
        <v>8341373</v>
      </c>
      <c r="J71" s="29">
        <f>J12+J17+J38+J45+J51+J58+J69</f>
        <v>325132</v>
      </c>
      <c r="K71" s="29">
        <f>K12+K17+K38+K45+K51+K58+K69</f>
        <v>8666505</v>
      </c>
      <c r="L71" s="29">
        <f>L12+L17+L38+L45+L51+L58+L69</f>
        <v>329329</v>
      </c>
      <c r="M71" s="29">
        <f>M12+M17+M38+M45+M51+M58+M69</f>
        <v>8995834</v>
      </c>
      <c r="N71" s="29">
        <f t="shared" si="32"/>
        <v>786340</v>
      </c>
      <c r="O71" s="307">
        <f t="shared" si="32"/>
        <v>453496</v>
      </c>
      <c r="P71" s="200">
        <f t="shared" si="32"/>
        <v>9449330</v>
      </c>
      <c r="Q71" s="35"/>
      <c r="R71" s="29">
        <f>R12+R17+R38+R45+R51+R58+R69</f>
        <v>66560</v>
      </c>
      <c r="S71" s="207">
        <f>S12+S17+S38+S45+S51+S58+S69</f>
        <v>774337</v>
      </c>
      <c r="T71" s="207">
        <f>T12+T17+T38+T45+T51+T58+T69</f>
        <v>272796</v>
      </c>
    </row>
    <row r="72" spans="5:20" ht="12.75"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5"/>
      <c r="R72" s="30"/>
      <c r="S72" s="30"/>
      <c r="T72" s="30"/>
    </row>
    <row r="73" spans="5:18" ht="12.75">
      <c r="E73" s="26">
        <f>'GasLabor$'!L78</f>
        <v>8596430</v>
      </c>
      <c r="F73" s="176">
        <f>RemoveExec!H22</f>
        <v>386936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4:20" ht="12.75">
      <c r="D74" s="16"/>
      <c r="E74" s="26"/>
      <c r="F74" s="176"/>
      <c r="G74" s="26"/>
      <c r="H74" s="26"/>
      <c r="I74" s="26"/>
      <c r="J74" s="26"/>
      <c r="K74" s="26"/>
      <c r="L74" s="26"/>
      <c r="M74" s="26"/>
      <c r="N74" s="26">
        <f>L71+J71+H71</f>
        <v>786340</v>
      </c>
      <c r="O74" s="26">
        <f>'Pro Forma Spread'!I38</f>
        <v>453496</v>
      </c>
      <c r="P74" s="26">
        <f>M71+O71</f>
        <v>9449330</v>
      </c>
      <c r="Q74" s="26"/>
      <c r="R74" s="26">
        <f>O74-F73</f>
        <v>66560</v>
      </c>
      <c r="S74" s="182">
        <f>Pension!G23</f>
        <v>774337</v>
      </c>
      <c r="T74" s="182">
        <f>Pension!H23</f>
        <v>272796</v>
      </c>
    </row>
    <row r="75" spans="7:18" ht="12.75">
      <c r="G75" s="26"/>
      <c r="H75" s="65"/>
      <c r="I75" s="26"/>
      <c r="J75" s="65"/>
      <c r="K75" s="26"/>
      <c r="L75" s="65"/>
      <c r="M75" s="26"/>
      <c r="Q75" s="26"/>
      <c r="R75" s="26"/>
    </row>
    <row r="76" spans="6:18" ht="12.75">
      <c r="F76" s="26"/>
      <c r="G76" s="26"/>
      <c r="H76" s="65"/>
      <c r="I76" s="26"/>
      <c r="J76" s="65"/>
      <c r="K76" s="26"/>
      <c r="L76" s="65"/>
      <c r="M76" s="26"/>
      <c r="N76" s="26"/>
      <c r="O76" s="26"/>
      <c r="P76" s="26"/>
      <c r="Q76" s="26"/>
      <c r="R76" s="26"/>
    </row>
    <row r="77" spans="5:20" ht="12.75">
      <c r="E77" s="26"/>
      <c r="F77" s="26"/>
      <c r="G77" s="26"/>
      <c r="H77" s="65"/>
      <c r="I77" s="26"/>
      <c r="J77" s="65"/>
      <c r="K77" s="26"/>
      <c r="L77" s="65"/>
      <c r="M77" s="26"/>
      <c r="N77" s="26"/>
      <c r="O77" s="26"/>
      <c r="P77" s="26"/>
      <c r="Q77" s="26"/>
      <c r="R77" s="26"/>
      <c r="S77" s="26"/>
      <c r="T77" s="26"/>
    </row>
    <row r="78" spans="5:20" ht="12.75">
      <c r="E78" s="26"/>
      <c r="F78" s="26"/>
      <c r="G78" s="26"/>
      <c r="H78" s="65"/>
      <c r="I78" s="26"/>
      <c r="J78" s="65"/>
      <c r="K78" s="26"/>
      <c r="L78" s="65"/>
      <c r="M78" s="26"/>
      <c r="N78" s="26"/>
      <c r="O78" s="26"/>
      <c r="P78" s="26"/>
      <c r="Q78" s="26"/>
      <c r="R78" s="26"/>
      <c r="S78" s="26"/>
      <c r="T78" s="26"/>
    </row>
    <row r="79" spans="5:20" ht="12.75">
      <c r="E79" s="26"/>
      <c r="F79" s="26"/>
      <c r="G79" s="26"/>
      <c r="H79" s="66"/>
      <c r="I79" s="26"/>
      <c r="J79" s="66"/>
      <c r="K79" s="26"/>
      <c r="L79" s="66"/>
      <c r="M79" s="26"/>
      <c r="N79" s="26"/>
      <c r="O79" s="26"/>
      <c r="P79" s="26"/>
      <c r="Q79" s="26"/>
      <c r="R79" s="26"/>
      <c r="S79" s="26"/>
      <c r="T79" s="26"/>
    </row>
    <row r="80" spans="5:20" ht="12.75">
      <c r="E80" s="26"/>
      <c r="F80" s="26"/>
      <c r="G80" s="26"/>
      <c r="H80" s="65"/>
      <c r="I80" s="26"/>
      <c r="J80" s="65"/>
      <c r="K80" s="26"/>
      <c r="L80" s="65"/>
      <c r="M80" s="26"/>
      <c r="N80" s="26"/>
      <c r="O80" s="26"/>
      <c r="P80" s="26"/>
      <c r="Q80" s="26"/>
      <c r="R80" s="26"/>
      <c r="S80" s="26"/>
      <c r="T80" s="26"/>
    </row>
    <row r="81" spans="5:20" ht="12.75">
      <c r="E81" s="26"/>
      <c r="F81" s="26"/>
      <c r="G81" s="26"/>
      <c r="H81" s="65"/>
      <c r="I81" s="26"/>
      <c r="J81" s="65"/>
      <c r="K81" s="26"/>
      <c r="L81" s="65"/>
      <c r="M81" s="26"/>
      <c r="N81" s="26"/>
      <c r="O81" s="26"/>
      <c r="P81" s="26"/>
      <c r="Q81" s="26"/>
      <c r="R81" s="26"/>
      <c r="S81" s="26"/>
      <c r="T81" s="26"/>
    </row>
    <row r="82" spans="9:20" ht="12.75">
      <c r="I82" s="26"/>
      <c r="J82" s="65"/>
      <c r="K82" s="26"/>
      <c r="L82" s="65"/>
      <c r="M82" s="26"/>
      <c r="N82" s="26"/>
      <c r="O82" s="26"/>
      <c r="P82" s="26"/>
      <c r="Q82" s="26"/>
      <c r="R82" s="26"/>
      <c r="S82" s="26"/>
      <c r="T82" s="26"/>
    </row>
    <row r="83" spans="9:20" ht="12.75">
      <c r="I83" s="26"/>
      <c r="J83" s="65"/>
      <c r="K83" s="26"/>
      <c r="L83" s="65"/>
      <c r="M83" s="26"/>
      <c r="N83" s="26"/>
      <c r="O83" s="26"/>
      <c r="P83" s="26"/>
      <c r="Q83" s="26"/>
      <c r="R83" s="26"/>
      <c r="S83" s="26"/>
      <c r="T83" s="26"/>
    </row>
    <row r="84" spans="9:20" ht="12.75">
      <c r="I84" s="26"/>
      <c r="J84" s="65"/>
      <c r="K84" s="26"/>
      <c r="L84" s="65"/>
      <c r="M84" s="26"/>
      <c r="N84" s="26"/>
      <c r="O84" s="26"/>
      <c r="P84" s="26"/>
      <c r="Q84" s="26"/>
      <c r="R84" s="26"/>
      <c r="S84" s="26"/>
      <c r="T84" s="26"/>
    </row>
    <row r="85" spans="9:20" ht="12.75">
      <c r="I85" s="26"/>
      <c r="J85" s="65"/>
      <c r="K85" s="26"/>
      <c r="L85" s="65"/>
      <c r="M85" s="26"/>
      <c r="N85" s="26"/>
      <c r="O85" s="26"/>
      <c r="P85" s="26"/>
      <c r="Q85" s="26"/>
      <c r="R85" s="26"/>
      <c r="S85" s="26"/>
      <c r="T85" s="26"/>
    </row>
    <row r="86" spans="9:20" ht="12.75">
      <c r="I86" s="26"/>
      <c r="J86" s="65"/>
      <c r="K86" s="26"/>
      <c r="L86" s="65"/>
      <c r="M86" s="26"/>
      <c r="N86" s="26"/>
      <c r="O86" s="26"/>
      <c r="P86" s="26"/>
      <c r="Q86" s="26"/>
      <c r="R86" s="26"/>
      <c r="S86" s="26"/>
      <c r="T86" s="26"/>
    </row>
    <row r="87" spans="9:20" ht="12.75">
      <c r="I87" s="26"/>
      <c r="J87" s="65"/>
      <c r="K87" s="26"/>
      <c r="L87" s="65"/>
      <c r="M87" s="26"/>
      <c r="N87" s="26"/>
      <c r="O87" s="26"/>
      <c r="P87" s="26"/>
      <c r="Q87" s="26"/>
      <c r="R87" s="26"/>
      <c r="S87" s="26"/>
      <c r="T87" s="26"/>
    </row>
    <row r="88" spans="9:20" ht="12.75"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3:20" ht="12.75">
      <c r="C89" s="3"/>
      <c r="D89" s="3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3:20" ht="12.75">
      <c r="C90" s="3"/>
      <c r="D90" s="3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3:20" ht="12.75">
      <c r="C91" s="3"/>
      <c r="D91" s="3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3:20" ht="12.75">
      <c r="C92" s="3"/>
      <c r="D92" s="3"/>
      <c r="I92" s="26"/>
      <c r="J92" s="65"/>
      <c r="K92" s="26"/>
      <c r="L92" s="65"/>
      <c r="M92" s="26"/>
      <c r="N92" s="26"/>
      <c r="O92" s="26"/>
      <c r="P92" s="26"/>
      <c r="Q92" s="26"/>
      <c r="R92" s="26"/>
      <c r="S92" s="26"/>
      <c r="T92" s="26"/>
    </row>
    <row r="93" spans="3:20" ht="12.75">
      <c r="C93" s="3"/>
      <c r="D93" s="3"/>
      <c r="I93" s="26"/>
      <c r="J93" s="66"/>
      <c r="K93" s="26"/>
      <c r="L93" s="66"/>
      <c r="M93" s="26"/>
      <c r="N93" s="26"/>
      <c r="O93" s="26"/>
      <c r="P93" s="26"/>
      <c r="Q93" s="26"/>
      <c r="R93" s="26"/>
      <c r="S93" s="26"/>
      <c r="T93" s="26"/>
    </row>
    <row r="94" spans="3:20" ht="12.75">
      <c r="C94" s="3"/>
      <c r="D94" s="3"/>
      <c r="I94" s="26"/>
      <c r="J94" s="66"/>
      <c r="K94" s="26"/>
      <c r="L94" s="66"/>
      <c r="M94" s="26"/>
      <c r="N94" s="26"/>
      <c r="O94" s="26"/>
      <c r="P94" s="26"/>
      <c r="Q94" s="26"/>
      <c r="R94" s="26"/>
      <c r="S94" s="26"/>
      <c r="T94" s="26"/>
    </row>
    <row r="95" spans="3:20" ht="12.75">
      <c r="C95" s="3"/>
      <c r="D95" s="3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3:20" ht="12.75">
      <c r="C96" s="3"/>
      <c r="D96" s="3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3:20" ht="12.75">
      <c r="C97" s="3"/>
      <c r="D97" s="3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3:20" ht="12.75">
      <c r="C98" s="3"/>
      <c r="D98" s="3"/>
      <c r="I98" s="26"/>
      <c r="J98" s="66"/>
      <c r="K98" s="26"/>
      <c r="L98" s="66"/>
      <c r="M98" s="26"/>
      <c r="N98" s="26"/>
      <c r="O98" s="26"/>
      <c r="P98" s="26"/>
      <c r="Q98" s="26"/>
      <c r="R98" s="26"/>
      <c r="S98" s="26"/>
      <c r="T98" s="26"/>
    </row>
    <row r="99" spans="3:20" ht="12.75">
      <c r="C99" s="3"/>
      <c r="D99" s="3"/>
      <c r="I99" s="26"/>
      <c r="J99" s="66"/>
      <c r="K99" s="26"/>
      <c r="L99" s="66"/>
      <c r="M99" s="26"/>
      <c r="N99" s="26"/>
      <c r="O99" s="26"/>
      <c r="P99" s="26"/>
      <c r="Q99" s="26"/>
      <c r="R99" s="26"/>
      <c r="S99" s="26"/>
      <c r="T99" s="26"/>
    </row>
    <row r="100" spans="3:20" ht="12.75">
      <c r="C100" s="3"/>
      <c r="D100" s="3"/>
      <c r="I100" s="26"/>
      <c r="J100" s="66"/>
      <c r="K100" s="26"/>
      <c r="L100" s="66"/>
      <c r="M100" s="26"/>
      <c r="N100" s="26"/>
      <c r="O100" s="26"/>
      <c r="P100" s="26"/>
      <c r="Q100" s="26"/>
      <c r="R100" s="26"/>
      <c r="S100" s="26"/>
      <c r="T100" s="26"/>
    </row>
    <row r="101" spans="3:20" ht="12.75">
      <c r="C101" s="3"/>
      <c r="D101" s="3"/>
      <c r="I101" s="26"/>
      <c r="J101" s="66"/>
      <c r="K101" s="26"/>
      <c r="L101" s="66"/>
      <c r="M101" s="26"/>
      <c r="N101" s="26"/>
      <c r="O101" s="26"/>
      <c r="P101" s="26"/>
      <c r="Q101" s="26"/>
      <c r="R101" s="26"/>
      <c r="S101" s="26"/>
      <c r="T101" s="26"/>
    </row>
    <row r="102" spans="3:20" ht="12.75">
      <c r="C102" s="3"/>
      <c r="D102" s="3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5:20" ht="12.75"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5:20" ht="12.75"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5:20" ht="12.75">
      <c r="E105" s="26"/>
      <c r="F105" s="26"/>
      <c r="G105" s="26"/>
      <c r="H105" s="66"/>
      <c r="I105" s="26"/>
      <c r="J105" s="66"/>
      <c r="K105" s="26"/>
      <c r="L105" s="66"/>
      <c r="M105" s="26"/>
      <c r="N105" s="26"/>
      <c r="O105" s="26"/>
      <c r="P105" s="26"/>
      <c r="Q105" s="26"/>
      <c r="R105" s="26"/>
      <c r="S105" s="26"/>
      <c r="T105" s="26"/>
    </row>
    <row r="106" spans="5:20" ht="12.75"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5:20" ht="12.75"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5:20" ht="12.75"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5:20" ht="12.75">
      <c r="E109" s="26"/>
      <c r="F109" s="26"/>
      <c r="G109" s="26"/>
      <c r="H109" s="66"/>
      <c r="I109" s="26"/>
      <c r="J109" s="66"/>
      <c r="K109" s="26"/>
      <c r="L109" s="66"/>
      <c r="M109" s="26"/>
      <c r="N109" s="26"/>
      <c r="O109" s="26"/>
      <c r="P109" s="26"/>
      <c r="Q109" s="26"/>
      <c r="R109" s="26"/>
      <c r="S109" s="26"/>
      <c r="T109" s="26"/>
    </row>
    <row r="110" spans="5:20" ht="12.75">
      <c r="E110" s="26"/>
      <c r="F110" s="26"/>
      <c r="G110" s="26"/>
      <c r="H110" s="66"/>
      <c r="I110" s="26"/>
      <c r="J110" s="66"/>
      <c r="K110" s="26"/>
      <c r="L110" s="66"/>
      <c r="M110" s="26"/>
      <c r="N110" s="26"/>
      <c r="O110" s="26"/>
      <c r="P110" s="26"/>
      <c r="Q110" s="26"/>
      <c r="R110" s="26"/>
      <c r="S110" s="26"/>
      <c r="T110" s="26"/>
    </row>
    <row r="111" spans="5:20" ht="12.75">
      <c r="E111" s="26"/>
      <c r="F111" s="26"/>
      <c r="G111" s="26"/>
      <c r="H111" s="66"/>
      <c r="I111" s="26"/>
      <c r="J111" s="66"/>
      <c r="K111" s="26"/>
      <c r="L111" s="66"/>
      <c r="M111" s="26"/>
      <c r="N111" s="26"/>
      <c r="O111" s="26"/>
      <c r="P111" s="26"/>
      <c r="Q111" s="26"/>
      <c r="R111" s="26"/>
      <c r="S111" s="26"/>
      <c r="T111" s="26"/>
    </row>
    <row r="112" spans="5:20" ht="12.75">
      <c r="E112" s="26"/>
      <c r="F112" s="26"/>
      <c r="G112" s="26"/>
      <c r="H112" s="66"/>
      <c r="I112" s="26"/>
      <c r="J112" s="66"/>
      <c r="K112" s="26"/>
      <c r="L112" s="66"/>
      <c r="M112" s="26"/>
      <c r="N112" s="26"/>
      <c r="O112" s="26"/>
      <c r="P112" s="26"/>
      <c r="Q112" s="26"/>
      <c r="R112" s="26"/>
      <c r="S112" s="26"/>
      <c r="T112" s="26"/>
    </row>
    <row r="113" spans="5:20" ht="12.75">
      <c r="E113" s="26"/>
      <c r="F113" s="26"/>
      <c r="G113" s="26"/>
      <c r="H113" s="66"/>
      <c r="I113" s="26"/>
      <c r="J113" s="66"/>
      <c r="K113" s="26"/>
      <c r="L113" s="66"/>
      <c r="M113" s="26"/>
      <c r="N113" s="26"/>
      <c r="O113" s="26"/>
      <c r="P113" s="26"/>
      <c r="Q113" s="26"/>
      <c r="R113" s="26"/>
      <c r="S113" s="26"/>
      <c r="T113" s="26"/>
    </row>
    <row r="114" spans="5:20" ht="12.75">
      <c r="E114" s="26"/>
      <c r="F114" s="26"/>
      <c r="G114" s="26"/>
      <c r="H114" s="66"/>
      <c r="I114" s="26"/>
      <c r="J114" s="66"/>
      <c r="K114" s="26"/>
      <c r="L114" s="66"/>
      <c r="M114" s="26"/>
      <c r="N114" s="26"/>
      <c r="O114" s="26"/>
      <c r="P114" s="26"/>
      <c r="Q114" s="26"/>
      <c r="R114" s="26"/>
      <c r="S114" s="26"/>
      <c r="T114" s="26"/>
    </row>
    <row r="115" spans="5:20" ht="12.75">
      <c r="E115" s="26"/>
      <c r="F115" s="26"/>
      <c r="G115" s="26"/>
      <c r="H115" s="66"/>
      <c r="I115" s="26"/>
      <c r="J115" s="66"/>
      <c r="K115" s="26"/>
      <c r="L115" s="66"/>
      <c r="M115" s="26"/>
      <c r="N115" s="26"/>
      <c r="O115" s="26"/>
      <c r="P115" s="26"/>
      <c r="Q115" s="26"/>
      <c r="R115" s="26"/>
      <c r="S115" s="26"/>
      <c r="T115" s="26"/>
    </row>
    <row r="116" spans="5:20" ht="12.75">
      <c r="E116" s="26"/>
      <c r="F116" s="26"/>
      <c r="G116" s="26"/>
      <c r="H116" s="66"/>
      <c r="I116" s="26"/>
      <c r="J116" s="66"/>
      <c r="K116" s="26"/>
      <c r="L116" s="66"/>
      <c r="M116" s="26"/>
      <c r="N116" s="26"/>
      <c r="O116" s="26"/>
      <c r="P116" s="26"/>
      <c r="Q116" s="26"/>
      <c r="R116" s="26"/>
      <c r="S116" s="26"/>
      <c r="T116" s="26"/>
    </row>
    <row r="117" spans="5:20" ht="12.75">
      <c r="E117" s="26"/>
      <c r="F117" s="26"/>
      <c r="G117" s="26"/>
      <c r="H117" s="66"/>
      <c r="I117" s="26"/>
      <c r="J117" s="66"/>
      <c r="K117" s="26"/>
      <c r="L117" s="66"/>
      <c r="M117" s="26"/>
      <c r="N117" s="26"/>
      <c r="O117" s="26"/>
      <c r="P117" s="26"/>
      <c r="Q117" s="26"/>
      <c r="R117" s="26"/>
      <c r="S117" s="26"/>
      <c r="T117" s="26"/>
    </row>
    <row r="118" spans="5:20" ht="12.75">
      <c r="E118" s="26"/>
      <c r="F118" s="26"/>
      <c r="G118" s="26"/>
      <c r="H118" s="65"/>
      <c r="I118" s="26"/>
      <c r="J118" s="65"/>
      <c r="K118" s="26"/>
      <c r="L118" s="65"/>
      <c r="M118" s="26"/>
      <c r="N118" s="26"/>
      <c r="O118" s="26"/>
      <c r="P118" s="26"/>
      <c r="Q118" s="26"/>
      <c r="R118" s="26"/>
      <c r="S118" s="26"/>
      <c r="T118" s="26"/>
    </row>
    <row r="119" spans="5:20" ht="12.75"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5:20" ht="12.75"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5:20" ht="12.75"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5:20" ht="12.75"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5:20" ht="12.75"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5:20" ht="12.75"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5:20" ht="12.75">
      <c r="E125" s="25"/>
      <c r="F125" s="25"/>
      <c r="G125" s="25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5:20" ht="12.75"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5:20" ht="12.75"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 spans="5:20" ht="12.75"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5:20" ht="12.75"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5:20" ht="12.75"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</row>
    <row r="131" spans="5:20" ht="12.75"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5:20" ht="12.75"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</row>
    <row r="133" spans="5:20" ht="12.75"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5:20" ht="12.75"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</row>
    <row r="135" spans="5:20" ht="12.75"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5:20" ht="12.75"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</row>
    <row r="137" spans="5:20" ht="12.75"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5:20" ht="12.75"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5:20" ht="12.75"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5:20" ht="12.75"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5:20" ht="12.75"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5:20" ht="12.75"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5:20" ht="12.75"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5:20" ht="12.75"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5:20" ht="12.75"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 spans="5:20" ht="12.75"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5:20" ht="12.75"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</row>
    <row r="148" spans="5:20" ht="12.75"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</row>
    <row r="149" spans="5:20" ht="12.75"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</row>
    <row r="150" spans="5:20" ht="12.75"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 spans="5:20" ht="12.75"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spans="5:20" ht="12.75"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</row>
    <row r="153" spans="5:20" ht="12.75"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5:20" ht="12.75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spans="5:20" ht="12.75"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5:20" ht="12.75"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5:20" ht="12.75"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 spans="5:20" ht="12.75"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</row>
    <row r="159" spans="5:20" ht="12.75"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</row>
    <row r="160" spans="5:20" ht="12.75"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 spans="5:20" ht="12.75"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5:20" ht="12.75"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5:20" ht="12.75"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5:20" ht="12.75"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5:20" ht="12.75"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5:20" ht="12.75"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5:20" ht="12.75"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5:20" ht="12.75"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5:20" ht="12.75"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5:20" ht="12.75"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spans="5:20" ht="12.75"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5:20" ht="12.75"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5:20" ht="12.75"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5:20" ht="12.75"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5:20" ht="12.75"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spans="5:20" ht="12.75"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spans="5:20" ht="12.75"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spans="5:20" ht="12.75"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5:20" ht="12.75"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spans="5:20" ht="12.75"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spans="5:20" ht="12.75"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spans="5:20" ht="12.75"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5:20" ht="12.75"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spans="5:20" ht="12.75"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5:20" ht="12.75"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spans="5:20" ht="12.75"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5:20" ht="12.75"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5:20" ht="12.75"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5:20" ht="12.75"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spans="5:20" ht="12.75"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5:20" ht="12.75"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 spans="5:20" ht="12.75"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 spans="5:20" ht="12.75"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spans="5:20" ht="12.75"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</row>
    <row r="195" spans="5:20" ht="12.75"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spans="5:20" ht="12.75"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spans="5:20" ht="12.75"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5:20" ht="12.75"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spans="5:20" ht="12.75"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5:20" ht="12.75"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spans="5:20" ht="12.75"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spans="5:20" ht="12.75"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5:20" ht="12.75"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spans="5:20" ht="12.75"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5:20" ht="12.75"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spans="5:20" ht="12.75"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5:20" ht="12.75"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spans="5:20" ht="12.75"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spans="5:20" ht="12.75"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5:20" ht="12.75"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spans="5:20" ht="12.75"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5:20" ht="12.75"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spans="5:20" ht="12.75"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5:20" ht="12.75"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spans="5:20" ht="12.75"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spans="5:20" ht="12.75"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 spans="5:20" ht="12.75"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 spans="5:20" ht="12.75"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 spans="5:20" ht="12.75"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 spans="5:20" ht="12.75"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spans="5:20" ht="12.75"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 spans="5:20" ht="12.75"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5:20" ht="12.75"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 spans="5:20" ht="12.75"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spans="5:20" ht="12.75"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 spans="5:20" ht="12.75"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5:20" ht="12.75"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spans="5:20" ht="12.75"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spans="5:20" ht="12.75"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5:20" ht="12.75"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 spans="5:20" ht="12.75"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spans="5:20" ht="12.75"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 spans="5:20" ht="12.75"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 spans="5:20" ht="12.75"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spans="5:20" ht="12.75"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 spans="5:20" ht="12.75"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 spans="5:20" ht="12.75"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</sheetData>
  <printOptions/>
  <pageMargins left="0.44" right="0.45" top="0.49" bottom="0.32" header="0.38" footer="0.21"/>
  <pageSetup horizontalDpi="300" verticalDpi="300" orientation="landscape" scale="59" r:id="rId3"/>
  <headerFooter alignWithMargins="0">
    <oddFooter>&amp;C&amp;F&amp;A&amp;R&amp;D&amp;T</oddFooter>
  </headerFooter>
  <colBreaks count="1" manualBreakCount="1">
    <brk id="1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B1:T237"/>
  <sheetViews>
    <sheetView workbookViewId="0" topLeftCell="C1">
      <selection activeCell="E73" sqref="E73"/>
    </sheetView>
  </sheetViews>
  <sheetFormatPr defaultColWidth="9.33203125" defaultRowHeight="12.75"/>
  <cols>
    <col min="1" max="2" width="3" style="3" customWidth="1"/>
    <col min="3" max="3" width="5.5" style="21" customWidth="1"/>
    <col min="4" max="4" width="35.16015625" style="21" customWidth="1"/>
    <col min="5" max="5" width="9.83203125" style="3" bestFit="1" customWidth="1"/>
    <col min="6" max="6" width="9" style="3" bestFit="1" customWidth="1"/>
    <col min="7" max="7" width="9.83203125" style="3" bestFit="1" customWidth="1"/>
    <col min="8" max="8" width="15.5" style="3" customWidth="1"/>
    <col min="9" max="9" width="13.33203125" style="3" bestFit="1" customWidth="1"/>
    <col min="10" max="10" width="15" style="3" customWidth="1"/>
    <col min="11" max="11" width="14" style="44" customWidth="1"/>
    <col min="12" max="12" width="15" style="3" customWidth="1"/>
    <col min="13" max="13" width="14" style="3" customWidth="1"/>
    <col min="14" max="14" width="13.83203125" style="3" customWidth="1"/>
    <col min="15" max="15" width="11.5" style="3" customWidth="1"/>
    <col min="16" max="16" width="11.83203125" style="3" customWidth="1"/>
    <col min="17" max="17" width="0.82421875" style="18" customWidth="1"/>
    <col min="18" max="18" width="13.83203125" style="18" customWidth="1"/>
    <col min="19" max="20" width="13.83203125" style="3" customWidth="1"/>
    <col min="21" max="16384" width="9.33203125" style="3" customWidth="1"/>
  </cols>
  <sheetData>
    <row r="1" spans="3:18" ht="12.75">
      <c r="C1" s="20" t="s">
        <v>30</v>
      </c>
      <c r="D1" s="20"/>
      <c r="R1" s="3"/>
    </row>
    <row r="2" spans="3:18" ht="12.75">
      <c r="C2" s="22" t="s">
        <v>131</v>
      </c>
      <c r="D2" s="22"/>
      <c r="R2" s="3"/>
    </row>
    <row r="3" spans="3:18" ht="12.75">
      <c r="C3" s="22" t="s">
        <v>406</v>
      </c>
      <c r="D3" s="22"/>
      <c r="R3" s="3"/>
    </row>
    <row r="4" spans="3:20" ht="12.75">
      <c r="C4" s="23"/>
      <c r="D4" s="23"/>
      <c r="E4" s="4"/>
      <c r="F4" s="4"/>
      <c r="G4" s="4"/>
      <c r="H4" s="4" t="s">
        <v>335</v>
      </c>
      <c r="I4" s="4"/>
      <c r="J4" s="4" t="s">
        <v>344</v>
      </c>
      <c r="K4" s="201"/>
      <c r="L4" s="4" t="s">
        <v>409</v>
      </c>
      <c r="M4" s="4"/>
      <c r="N4" s="4" t="s">
        <v>0</v>
      </c>
      <c r="O4" s="4" t="s">
        <v>176</v>
      </c>
      <c r="P4" s="4" t="s">
        <v>411</v>
      </c>
      <c r="Q4" s="33"/>
      <c r="R4" s="4" t="s">
        <v>408</v>
      </c>
      <c r="S4" s="4" t="s">
        <v>37</v>
      </c>
      <c r="T4" s="4" t="s">
        <v>479</v>
      </c>
    </row>
    <row r="5" spans="3:20" ht="12.75">
      <c r="C5" s="23"/>
      <c r="D5" s="23"/>
      <c r="E5" s="4"/>
      <c r="F5" s="4" t="s">
        <v>145</v>
      </c>
      <c r="G5" s="4" t="s">
        <v>1</v>
      </c>
      <c r="H5" s="145">
        <f>'LaborAdj%'!D26</f>
        <v>0.01519</v>
      </c>
      <c r="I5" s="4" t="s">
        <v>2</v>
      </c>
      <c r="J5" s="145">
        <f>'LaborAdj%'!D28</f>
        <v>0.038</v>
      </c>
      <c r="K5" s="201" t="s">
        <v>2</v>
      </c>
      <c r="L5" s="145">
        <f>'LaborAdj%'!D33</f>
        <v>0.01269</v>
      </c>
      <c r="M5" s="4" t="s">
        <v>2</v>
      </c>
      <c r="N5" s="53" t="str">
        <f>GasWAAdj!N5</f>
        <v>2008,2009,2010</v>
      </c>
      <c r="O5" s="4" t="s">
        <v>45</v>
      </c>
      <c r="P5" s="4" t="s">
        <v>45</v>
      </c>
      <c r="Q5" s="33"/>
      <c r="R5" s="4" t="s">
        <v>345</v>
      </c>
      <c r="S5" s="4" t="s">
        <v>45</v>
      </c>
      <c r="T5" s="4" t="s">
        <v>45</v>
      </c>
    </row>
    <row r="6" spans="5:20" ht="12.75">
      <c r="E6" s="6" t="s">
        <v>119</v>
      </c>
      <c r="F6" s="6" t="s">
        <v>146</v>
      </c>
      <c r="G6" s="6" t="s">
        <v>119</v>
      </c>
      <c r="H6" s="1">
        <f>'LaborAdj%'!D11</f>
        <v>0.01698</v>
      </c>
      <c r="I6" s="5" t="str">
        <f>GasWAAdj!I6</f>
        <v>2008 Increase</v>
      </c>
      <c r="J6" s="1">
        <f>'LaborAdj%'!D13</f>
        <v>0.04</v>
      </c>
      <c r="K6" s="202" t="str">
        <f>GasWAAdj!K6</f>
        <v>2009 Increase</v>
      </c>
      <c r="L6" s="1">
        <f>'LaborAdj%'!D18</f>
        <v>0.00999</v>
      </c>
      <c r="M6" s="5" t="str">
        <f>GasWAAdj!M6</f>
        <v>2010 Increase</v>
      </c>
      <c r="N6" s="5" t="s">
        <v>3</v>
      </c>
      <c r="O6" s="5" t="str">
        <f>GasWAAdj!O6</f>
        <v>2010 Exec</v>
      </c>
      <c r="P6" s="5" t="s">
        <v>163</v>
      </c>
      <c r="Q6" s="6"/>
      <c r="R6" s="5" t="s">
        <v>4</v>
      </c>
      <c r="S6" s="5" t="s">
        <v>4</v>
      </c>
      <c r="T6" s="5" t="s">
        <v>4</v>
      </c>
    </row>
    <row r="7" spans="5:18" ht="12.75">
      <c r="E7" s="6"/>
      <c r="F7" s="6"/>
      <c r="G7" s="6"/>
      <c r="H7" s="1"/>
      <c r="I7" s="5"/>
      <c r="J7" s="1"/>
      <c r="K7" s="202"/>
      <c r="L7" s="1"/>
      <c r="M7" s="5"/>
      <c r="N7" s="5"/>
      <c r="R7" s="3"/>
    </row>
    <row r="8" spans="3:18" ht="12.75">
      <c r="C8" s="21" t="s">
        <v>48</v>
      </c>
      <c r="E8" s="6"/>
      <c r="F8" s="6"/>
      <c r="G8" s="6"/>
      <c r="H8" s="1"/>
      <c r="I8" s="5"/>
      <c r="J8" s="1"/>
      <c r="K8" s="202"/>
      <c r="L8" s="1"/>
      <c r="M8" s="5"/>
      <c r="N8" s="5"/>
      <c r="R8" s="3"/>
    </row>
    <row r="9" spans="2:20" ht="12.75">
      <c r="B9" s="3" t="s">
        <v>33</v>
      </c>
      <c r="C9" s="2" t="s">
        <v>293</v>
      </c>
      <c r="D9" s="22"/>
      <c r="E9" s="25">
        <f>ROUND('GasLabor$'!O10,0)</f>
        <v>0</v>
      </c>
      <c r="F9" s="25"/>
      <c r="G9" s="25">
        <f>F9+E9</f>
        <v>0</v>
      </c>
      <c r="H9" s="27">
        <f>ROUND(IF($B9="a",G9*H$5,G9*H$6),0)</f>
        <v>0</v>
      </c>
      <c r="I9" s="25">
        <f>H9+G9</f>
        <v>0</v>
      </c>
      <c r="J9" s="27">
        <f>ROUND(IF($B9="a",I9*J$5,I9*J$6),0)</f>
        <v>0</v>
      </c>
      <c r="K9" s="203">
        <f>SUM(I9:J9)</f>
        <v>0</v>
      </c>
      <c r="L9" s="27">
        <f>ROUND(IF($B9="a",K9*L$5,K9*L$6),0)</f>
        <v>0</v>
      </c>
      <c r="M9" s="25">
        <f>L9+K9</f>
        <v>0</v>
      </c>
      <c r="N9" s="25">
        <f>+H9+J9+L9</f>
        <v>0</v>
      </c>
      <c r="O9" s="25"/>
      <c r="P9" s="25">
        <f>M9+O9</f>
        <v>0</v>
      </c>
      <c r="Q9" s="26"/>
      <c r="R9" s="25">
        <f>O9+F9</f>
        <v>0</v>
      </c>
      <c r="S9" s="25">
        <f>ROUND($S$74*E9/E$71,0)</f>
        <v>0</v>
      </c>
      <c r="T9" s="25">
        <f>ROUND($T$74*F9/F$71,0)</f>
        <v>0</v>
      </c>
    </row>
    <row r="10" spans="2:20" ht="12.75">
      <c r="B10" s="3" t="s">
        <v>33</v>
      </c>
      <c r="C10" s="2" t="s">
        <v>294</v>
      </c>
      <c r="D10" s="22"/>
      <c r="E10" s="25">
        <f>ROUND('GasLabor$'!O11,0)</f>
        <v>0</v>
      </c>
      <c r="F10" s="25"/>
      <c r="G10" s="25">
        <f>F10+E10</f>
        <v>0</v>
      </c>
      <c r="H10" s="27">
        <f>ROUND(IF($B10="a",G10*H$5,G10*H$6),0)</f>
        <v>0</v>
      </c>
      <c r="I10" s="25">
        <f>H10+G10</f>
        <v>0</v>
      </c>
      <c r="J10" s="27">
        <f>ROUND(IF($B10="a",I10*J$5,I10*J$6),0)</f>
        <v>0</v>
      </c>
      <c r="K10" s="203">
        <f>SUM(I10:J10)</f>
        <v>0</v>
      </c>
      <c r="L10" s="27">
        <f>ROUND(IF($B10="a",K10*L$5,K10*L$6),0)</f>
        <v>0</v>
      </c>
      <c r="M10" s="25">
        <f>L10+K10</f>
        <v>0</v>
      </c>
      <c r="N10" s="25">
        <f>+H10+J10+L10</f>
        <v>0</v>
      </c>
      <c r="O10" s="25"/>
      <c r="P10" s="25">
        <f>M10+O10</f>
        <v>0</v>
      </c>
      <c r="Q10" s="26"/>
      <c r="R10" s="25">
        <f>O10+F10</f>
        <v>0</v>
      </c>
      <c r="S10" s="25">
        <f>ROUND($S$74*E10/E$71,0)</f>
        <v>0</v>
      </c>
      <c r="T10" s="25">
        <f>ROUND($T$74*F10/F$71,0)</f>
        <v>0</v>
      </c>
    </row>
    <row r="11" spans="2:20" ht="12.75">
      <c r="B11" s="3" t="s">
        <v>33</v>
      </c>
      <c r="C11" s="2" t="s">
        <v>295</v>
      </c>
      <c r="D11" s="22"/>
      <c r="E11" s="25">
        <f>ROUND('GasLabor$'!O12,0)</f>
        <v>185592</v>
      </c>
      <c r="F11" s="25">
        <f>-RemoveExec!I19</f>
        <v>-13200</v>
      </c>
      <c r="G11" s="25">
        <f>F11+E11</f>
        <v>172392</v>
      </c>
      <c r="H11" s="27">
        <f>ROUND(IF($B11="a",G11*H$5,G11*H$6),0)</f>
        <v>2619</v>
      </c>
      <c r="I11" s="25">
        <f>H11+G11</f>
        <v>175011</v>
      </c>
      <c r="J11" s="27">
        <f>ROUND(IF($B11="a",I11*J$5,I11*J$6),0)</f>
        <v>6650</v>
      </c>
      <c r="K11" s="203">
        <f>SUM(I11:J11)</f>
        <v>181661</v>
      </c>
      <c r="L11" s="27">
        <f>ROUND(IF($B11="a",K11*L$5,K11*L$6),0)</f>
        <v>2305</v>
      </c>
      <c r="M11" s="25">
        <f>L11+K11</f>
        <v>183966</v>
      </c>
      <c r="N11" s="25">
        <f>+H11+J11+L11</f>
        <v>11574</v>
      </c>
      <c r="O11" s="25">
        <f>'Pro Forma Spread'!J37</f>
        <v>14619</v>
      </c>
      <c r="P11" s="25">
        <f>M11+O11</f>
        <v>198585</v>
      </c>
      <c r="Q11" s="26"/>
      <c r="R11" s="25">
        <f>O11+F11</f>
        <v>1419</v>
      </c>
      <c r="S11" s="25">
        <f>ROUND($S$74*E11/E$71,0)</f>
        <v>16717</v>
      </c>
      <c r="T11" s="25">
        <f>ROUND($T$74*F11/F$71,0)</f>
        <v>9646</v>
      </c>
    </row>
    <row r="12" spans="3:20" ht="12.75">
      <c r="C12" s="21" t="s">
        <v>39</v>
      </c>
      <c r="E12" s="29">
        <f aca="true" t="shared" si="0" ref="E12:P12">SUM(E9:E11)</f>
        <v>185592</v>
      </c>
      <c r="F12" s="29">
        <f t="shared" si="0"/>
        <v>-13200</v>
      </c>
      <c r="G12" s="29">
        <f t="shared" si="0"/>
        <v>172392</v>
      </c>
      <c r="H12" s="29">
        <f t="shared" si="0"/>
        <v>2619</v>
      </c>
      <c r="I12" s="29">
        <f t="shared" si="0"/>
        <v>175011</v>
      </c>
      <c r="J12" s="29">
        <f t="shared" si="0"/>
        <v>6650</v>
      </c>
      <c r="K12" s="204">
        <f t="shared" si="0"/>
        <v>181661</v>
      </c>
      <c r="L12" s="29">
        <f t="shared" si="0"/>
        <v>2305</v>
      </c>
      <c r="M12" s="29">
        <f t="shared" si="0"/>
        <v>183966</v>
      </c>
      <c r="N12" s="207">
        <f t="shared" si="0"/>
        <v>11574</v>
      </c>
      <c r="O12" s="29">
        <f t="shared" si="0"/>
        <v>14619</v>
      </c>
      <c r="P12" s="29">
        <f t="shared" si="0"/>
        <v>198585</v>
      </c>
      <c r="Q12" s="35"/>
      <c r="R12" s="29">
        <f>SUM(R9:R11)</f>
        <v>1419</v>
      </c>
      <c r="S12" s="207">
        <f>SUM(S9:S11)</f>
        <v>16717</v>
      </c>
      <c r="T12" s="207">
        <f>SUM(T9:T11)</f>
        <v>9646</v>
      </c>
    </row>
    <row r="13" spans="5:20" ht="12.75">
      <c r="E13" s="30"/>
      <c r="F13" s="30"/>
      <c r="G13" s="30"/>
      <c r="H13" s="30"/>
      <c r="I13" s="30"/>
      <c r="J13" s="30"/>
      <c r="K13" s="205"/>
      <c r="L13" s="30"/>
      <c r="M13" s="30"/>
      <c r="N13" s="30"/>
      <c r="O13" s="30"/>
      <c r="P13" s="30"/>
      <c r="Q13" s="35"/>
      <c r="R13" s="30"/>
      <c r="S13" s="30"/>
      <c r="T13" s="30"/>
    </row>
    <row r="14" spans="3:20" ht="12.75">
      <c r="C14" s="21" t="s">
        <v>130</v>
      </c>
      <c r="E14" s="30"/>
      <c r="F14" s="30"/>
      <c r="G14" s="30"/>
      <c r="H14" s="65"/>
      <c r="I14" s="26"/>
      <c r="J14" s="65"/>
      <c r="K14" s="206"/>
      <c r="L14" s="65"/>
      <c r="M14" s="26"/>
      <c r="N14" s="26"/>
      <c r="O14" s="26"/>
      <c r="P14" s="26"/>
      <c r="Q14" s="26"/>
      <c r="R14" s="26"/>
      <c r="S14" s="26"/>
      <c r="T14" s="26"/>
    </row>
    <row r="15" spans="2:20" ht="12.75">
      <c r="B15" s="3" t="s">
        <v>33</v>
      </c>
      <c r="C15" s="2" t="s">
        <v>296</v>
      </c>
      <c r="D15" s="22"/>
      <c r="E15" s="25">
        <f>ROUND('GasLabor$'!O16,0)</f>
        <v>2791</v>
      </c>
      <c r="F15" s="25"/>
      <c r="G15" s="25">
        <f>F15+E15</f>
        <v>2791</v>
      </c>
      <c r="H15" s="27">
        <f>ROUND(IF($B15="a",G15*H$5,G15*H$6),0)</f>
        <v>42</v>
      </c>
      <c r="I15" s="25">
        <f>H15+G15</f>
        <v>2833</v>
      </c>
      <c r="J15" s="27">
        <f>ROUND(IF($B15="a",I15*J$5,I15*J$6),0)</f>
        <v>108</v>
      </c>
      <c r="K15" s="203">
        <f>SUM(I15:J15)</f>
        <v>2941</v>
      </c>
      <c r="L15" s="27">
        <f>ROUND(IF($B15="a",K15*L$5,K15*L$6),0)</f>
        <v>37</v>
      </c>
      <c r="M15" s="25">
        <f>L15+K15</f>
        <v>2978</v>
      </c>
      <c r="N15" s="25">
        <f>+H15+J15+L15</f>
        <v>187</v>
      </c>
      <c r="O15" s="26"/>
      <c r="P15" s="25">
        <f>M15+O15</f>
        <v>2978</v>
      </c>
      <c r="Q15" s="26"/>
      <c r="R15" s="26">
        <f>O15+F15</f>
        <v>0</v>
      </c>
      <c r="S15" s="25">
        <f>ROUND($S$74*E15/E$71,0)</f>
        <v>251</v>
      </c>
      <c r="T15" s="25">
        <f>ROUND($T$74*F15/F$71,0)</f>
        <v>0</v>
      </c>
    </row>
    <row r="16" spans="3:20" ht="12.75">
      <c r="C16" s="2" t="s">
        <v>297</v>
      </c>
      <c r="D16" s="22"/>
      <c r="E16" s="25">
        <f>ROUND('GasLabor$'!O17,0)</f>
        <v>0</v>
      </c>
      <c r="F16" s="25"/>
      <c r="G16" s="25">
        <f>F16+E16</f>
        <v>0</v>
      </c>
      <c r="H16" s="25">
        <f>ROUND(IF($B16="a",G16*H$5,G16*H$6),0)</f>
        <v>0</v>
      </c>
      <c r="I16" s="25">
        <f>H16+G16</f>
        <v>0</v>
      </c>
      <c r="J16" s="25">
        <f>ROUND(IF($B16="a",I16*J$5,I16*J$6),0)</f>
        <v>0</v>
      </c>
      <c r="K16" s="203">
        <f>SUM(I16:J16)</f>
        <v>0</v>
      </c>
      <c r="L16" s="25">
        <f>ROUND(IF($B16="a",K16*L$5,K16*L$6),0)</f>
        <v>0</v>
      </c>
      <c r="M16" s="25">
        <f>L16+K16</f>
        <v>0</v>
      </c>
      <c r="N16" s="25">
        <f>+H16+J16+L16</f>
        <v>0</v>
      </c>
      <c r="O16" s="25"/>
      <c r="P16" s="25">
        <f>M16+O16</f>
        <v>0</v>
      </c>
      <c r="Q16" s="26"/>
      <c r="R16" s="25">
        <f>O16+F16</f>
        <v>0</v>
      </c>
      <c r="S16" s="25">
        <f>ROUND($S$74*E16/E$71,0)</f>
        <v>0</v>
      </c>
      <c r="T16" s="25">
        <f>ROUND($T$74*F16/F$71,0)</f>
        <v>0</v>
      </c>
    </row>
    <row r="17" spans="3:20" ht="12.75">
      <c r="C17" s="22" t="s">
        <v>43</v>
      </c>
      <c r="D17" s="22"/>
      <c r="E17" s="29">
        <f aca="true" t="shared" si="1" ref="E17:T17">SUM(E15:E16)</f>
        <v>2791</v>
      </c>
      <c r="F17" s="29">
        <f t="shared" si="1"/>
        <v>0</v>
      </c>
      <c r="G17" s="29">
        <f t="shared" si="1"/>
        <v>2791</v>
      </c>
      <c r="H17" s="29">
        <f t="shared" si="1"/>
        <v>42</v>
      </c>
      <c r="I17" s="29">
        <f t="shared" si="1"/>
        <v>2833</v>
      </c>
      <c r="J17" s="29">
        <f t="shared" si="1"/>
        <v>108</v>
      </c>
      <c r="K17" s="204">
        <f t="shared" si="1"/>
        <v>2941</v>
      </c>
      <c r="L17" s="29">
        <f t="shared" si="1"/>
        <v>37</v>
      </c>
      <c r="M17" s="29">
        <f t="shared" si="1"/>
        <v>2978</v>
      </c>
      <c r="N17" s="207">
        <f t="shared" si="1"/>
        <v>187</v>
      </c>
      <c r="O17" s="29">
        <f t="shared" si="1"/>
        <v>0</v>
      </c>
      <c r="P17" s="29">
        <f t="shared" si="1"/>
        <v>2978</v>
      </c>
      <c r="Q17" s="29">
        <f t="shared" si="1"/>
        <v>0</v>
      </c>
      <c r="R17" s="29">
        <f t="shared" si="1"/>
        <v>0</v>
      </c>
      <c r="S17" s="207">
        <f t="shared" si="1"/>
        <v>251</v>
      </c>
      <c r="T17" s="207">
        <f t="shared" si="1"/>
        <v>0</v>
      </c>
    </row>
    <row r="18" spans="5:20" ht="12.75">
      <c r="E18" s="30"/>
      <c r="F18" s="30"/>
      <c r="G18" s="30"/>
      <c r="H18" s="66"/>
      <c r="I18" s="26"/>
      <c r="J18" s="66"/>
      <c r="K18" s="206"/>
      <c r="L18" s="66"/>
      <c r="M18" s="26"/>
      <c r="N18" s="26"/>
      <c r="O18" s="26"/>
      <c r="P18" s="26"/>
      <c r="Q18" s="26"/>
      <c r="R18" s="26"/>
      <c r="S18" s="26"/>
      <c r="T18" s="26"/>
    </row>
    <row r="19" spans="3:20" ht="12.75">
      <c r="C19" s="21" t="s">
        <v>7</v>
      </c>
      <c r="E19" s="30"/>
      <c r="F19" s="30"/>
      <c r="G19" s="30"/>
      <c r="H19" s="65"/>
      <c r="I19" s="26"/>
      <c r="J19" s="65"/>
      <c r="K19" s="206"/>
      <c r="L19" s="65"/>
      <c r="M19" s="26"/>
      <c r="N19" s="26"/>
      <c r="O19" s="26"/>
      <c r="P19" s="26"/>
      <c r="Q19" s="26"/>
      <c r="R19" s="26"/>
      <c r="S19" s="26"/>
      <c r="T19" s="26"/>
    </row>
    <row r="20" spans="2:20" ht="12.75">
      <c r="B20" s="3" t="s">
        <v>33</v>
      </c>
      <c r="C20" s="2" t="s">
        <v>298</v>
      </c>
      <c r="D20" s="22"/>
      <c r="E20" s="25">
        <f>ROUND('GasLabor$'!O21,0)</f>
        <v>130175</v>
      </c>
      <c r="F20" s="25"/>
      <c r="G20" s="25">
        <f aca="true" t="shared" si="2" ref="G20:G37">F20+E20</f>
        <v>130175</v>
      </c>
      <c r="H20" s="27">
        <f aca="true" t="shared" si="3" ref="H20:H37">ROUND(IF($B20="a",G20*H$5,G20*H$6),0)</f>
        <v>1977</v>
      </c>
      <c r="I20" s="25">
        <f aca="true" t="shared" si="4" ref="I20:I37">H20+G20</f>
        <v>132152</v>
      </c>
      <c r="J20" s="27">
        <f aca="true" t="shared" si="5" ref="J20:J37">ROUND(IF($B20="a",I20*J$5,I20*J$6),0)</f>
        <v>5022</v>
      </c>
      <c r="K20" s="203">
        <f>SUM(I20:J20)</f>
        <v>137174</v>
      </c>
      <c r="L20" s="27">
        <f aca="true" t="shared" si="6" ref="L20:L37">ROUND(IF($B20="a",K20*L$5,K20*L$6),0)</f>
        <v>1741</v>
      </c>
      <c r="M20" s="25">
        <f aca="true" t="shared" si="7" ref="M20:M29">L20+K20</f>
        <v>138915</v>
      </c>
      <c r="N20" s="25">
        <f aca="true" t="shared" si="8" ref="N20:N37">+H20+J20+L20</f>
        <v>8740</v>
      </c>
      <c r="O20" s="26"/>
      <c r="P20" s="25">
        <f aca="true" t="shared" si="9" ref="P20:P37">M20+O20</f>
        <v>138915</v>
      </c>
      <c r="Q20" s="26"/>
      <c r="R20" s="26">
        <f aca="true" t="shared" si="10" ref="R20:R37">O20+F20</f>
        <v>0</v>
      </c>
      <c r="S20" s="25">
        <f aca="true" t="shared" si="11" ref="S20:S36">ROUND($S$74*E20/E$71,0)</f>
        <v>11725</v>
      </c>
      <c r="T20" s="25">
        <f>ROUND($T$74*F20/F$71,0)</f>
        <v>0</v>
      </c>
    </row>
    <row r="21" spans="3:20" ht="12.75">
      <c r="C21" s="22" t="s">
        <v>299</v>
      </c>
      <c r="D21" s="22"/>
      <c r="E21" s="25">
        <f>ROUND('GasLabor$'!O22,0)</f>
        <v>0</v>
      </c>
      <c r="F21" s="25"/>
      <c r="G21" s="25">
        <f t="shared" si="2"/>
        <v>0</v>
      </c>
      <c r="H21" s="65">
        <f t="shared" si="3"/>
        <v>0</v>
      </c>
      <c r="I21" s="26">
        <f t="shared" si="4"/>
        <v>0</v>
      </c>
      <c r="J21" s="65">
        <f t="shared" si="5"/>
        <v>0</v>
      </c>
      <c r="K21" s="203">
        <f aca="true" t="shared" si="12" ref="K21:K37">SUM(I21:J21)</f>
        <v>0</v>
      </c>
      <c r="L21" s="65">
        <f t="shared" si="6"/>
        <v>0</v>
      </c>
      <c r="M21" s="26">
        <f t="shared" si="7"/>
        <v>0</v>
      </c>
      <c r="N21" s="25">
        <f t="shared" si="8"/>
        <v>0</v>
      </c>
      <c r="O21" s="26"/>
      <c r="P21" s="25">
        <f t="shared" si="9"/>
        <v>0</v>
      </c>
      <c r="Q21" s="26"/>
      <c r="R21" s="26">
        <f t="shared" si="10"/>
        <v>0</v>
      </c>
      <c r="S21" s="25">
        <f t="shared" si="11"/>
        <v>0</v>
      </c>
      <c r="T21" s="25">
        <f aca="true" t="shared" si="13" ref="T21:T37">ROUND($T$74*F21/F$71,0)</f>
        <v>0</v>
      </c>
    </row>
    <row r="22" spans="3:20" ht="12.75">
      <c r="C22" s="2" t="s">
        <v>300</v>
      </c>
      <c r="D22" s="22"/>
      <c r="E22" s="25">
        <f>ROUND('GasLabor$'!O24,0)</f>
        <v>261459</v>
      </c>
      <c r="F22" s="25"/>
      <c r="G22" s="25">
        <f t="shared" si="2"/>
        <v>261459</v>
      </c>
      <c r="H22" s="26">
        <f t="shared" si="3"/>
        <v>4440</v>
      </c>
      <c r="I22" s="26">
        <f t="shared" si="4"/>
        <v>265899</v>
      </c>
      <c r="J22" s="26">
        <f t="shared" si="5"/>
        <v>10636</v>
      </c>
      <c r="K22" s="203">
        <f t="shared" si="12"/>
        <v>276535</v>
      </c>
      <c r="L22" s="26">
        <f t="shared" si="6"/>
        <v>2763</v>
      </c>
      <c r="M22" s="26">
        <f t="shared" si="7"/>
        <v>279298</v>
      </c>
      <c r="N22" s="25">
        <f t="shared" si="8"/>
        <v>17839</v>
      </c>
      <c r="O22" s="26"/>
      <c r="P22" s="25">
        <f t="shared" si="9"/>
        <v>279298</v>
      </c>
      <c r="Q22" s="26"/>
      <c r="R22" s="26">
        <f t="shared" si="10"/>
        <v>0</v>
      </c>
      <c r="S22" s="25">
        <f t="shared" si="11"/>
        <v>23551</v>
      </c>
      <c r="T22" s="25">
        <f t="shared" si="13"/>
        <v>0</v>
      </c>
    </row>
    <row r="23" spans="3:20" ht="12.75">
      <c r="C23" s="2" t="s">
        <v>301</v>
      </c>
      <c r="D23" s="22"/>
      <c r="E23" s="25">
        <f>ROUND('GasLabor$'!O25,0)</f>
        <v>38220</v>
      </c>
      <c r="F23" s="25"/>
      <c r="G23" s="25">
        <f t="shared" si="2"/>
        <v>38220</v>
      </c>
      <c r="H23" s="26">
        <f t="shared" si="3"/>
        <v>649</v>
      </c>
      <c r="I23" s="26">
        <f t="shared" si="4"/>
        <v>38869</v>
      </c>
      <c r="J23" s="26">
        <f t="shared" si="5"/>
        <v>1555</v>
      </c>
      <c r="K23" s="203">
        <f t="shared" si="12"/>
        <v>40424</v>
      </c>
      <c r="L23" s="26">
        <f t="shared" si="6"/>
        <v>404</v>
      </c>
      <c r="M23" s="26">
        <f t="shared" si="7"/>
        <v>40828</v>
      </c>
      <c r="N23" s="25">
        <f t="shared" si="8"/>
        <v>2608</v>
      </c>
      <c r="O23" s="26"/>
      <c r="P23" s="25">
        <f t="shared" si="9"/>
        <v>40828</v>
      </c>
      <c r="Q23" s="26"/>
      <c r="R23" s="26">
        <f t="shared" si="10"/>
        <v>0</v>
      </c>
      <c r="S23" s="25">
        <f t="shared" si="11"/>
        <v>3443</v>
      </c>
      <c r="T23" s="25">
        <f t="shared" si="13"/>
        <v>0</v>
      </c>
    </row>
    <row r="24" spans="3:20" ht="12.75">
      <c r="C24" s="2" t="s">
        <v>302</v>
      </c>
      <c r="D24" s="22"/>
      <c r="E24" s="25">
        <f>ROUND('GasLabor$'!O26,0)</f>
        <v>1263</v>
      </c>
      <c r="F24" s="25"/>
      <c r="G24" s="25">
        <f t="shared" si="2"/>
        <v>1263</v>
      </c>
      <c r="H24" s="26">
        <f t="shared" si="3"/>
        <v>21</v>
      </c>
      <c r="I24" s="26">
        <f t="shared" si="4"/>
        <v>1284</v>
      </c>
      <c r="J24" s="26">
        <f t="shared" si="5"/>
        <v>51</v>
      </c>
      <c r="K24" s="203">
        <f t="shared" si="12"/>
        <v>1335</v>
      </c>
      <c r="L24" s="26">
        <f t="shared" si="6"/>
        <v>13</v>
      </c>
      <c r="M24" s="26">
        <f t="shared" si="7"/>
        <v>1348</v>
      </c>
      <c r="N24" s="25">
        <f t="shared" si="8"/>
        <v>85</v>
      </c>
      <c r="O24" s="26"/>
      <c r="P24" s="25">
        <f t="shared" si="9"/>
        <v>1348</v>
      </c>
      <c r="Q24" s="26"/>
      <c r="R24" s="26">
        <f t="shared" si="10"/>
        <v>0</v>
      </c>
      <c r="S24" s="25">
        <f t="shared" si="11"/>
        <v>114</v>
      </c>
      <c r="T24" s="25">
        <f t="shared" si="13"/>
        <v>0</v>
      </c>
    </row>
    <row r="25" spans="3:20" ht="12.75">
      <c r="C25" s="2" t="s">
        <v>303</v>
      </c>
      <c r="D25" s="22"/>
      <c r="E25" s="25">
        <f>ROUND('GasLabor$'!O27,0)</f>
        <v>29060</v>
      </c>
      <c r="F25" s="25"/>
      <c r="G25" s="25">
        <f t="shared" si="2"/>
        <v>29060</v>
      </c>
      <c r="H25" s="65">
        <f t="shared" si="3"/>
        <v>493</v>
      </c>
      <c r="I25" s="26">
        <f t="shared" si="4"/>
        <v>29553</v>
      </c>
      <c r="J25" s="65">
        <f t="shared" si="5"/>
        <v>1182</v>
      </c>
      <c r="K25" s="203">
        <f t="shared" si="12"/>
        <v>30735</v>
      </c>
      <c r="L25" s="65">
        <f t="shared" si="6"/>
        <v>307</v>
      </c>
      <c r="M25" s="26">
        <f t="shared" si="7"/>
        <v>31042</v>
      </c>
      <c r="N25" s="25">
        <f t="shared" si="8"/>
        <v>1982</v>
      </c>
      <c r="O25" s="26"/>
      <c r="P25" s="25">
        <f t="shared" si="9"/>
        <v>31042</v>
      </c>
      <c r="Q25" s="26"/>
      <c r="R25" s="26">
        <f t="shared" si="10"/>
        <v>0</v>
      </c>
      <c r="S25" s="25">
        <f t="shared" si="11"/>
        <v>2618</v>
      </c>
      <c r="T25" s="25">
        <f t="shared" si="13"/>
        <v>0</v>
      </c>
    </row>
    <row r="26" spans="3:20" ht="12.75">
      <c r="C26" s="2" t="s">
        <v>304</v>
      </c>
      <c r="D26" s="22"/>
      <c r="E26" s="25">
        <f>ROUND('GasLabor$'!O28,0)</f>
        <v>264287</v>
      </c>
      <c r="F26" s="25"/>
      <c r="G26" s="25">
        <f t="shared" si="2"/>
        <v>264287</v>
      </c>
      <c r="H26" s="65">
        <f t="shared" si="3"/>
        <v>4488</v>
      </c>
      <c r="I26" s="26">
        <f t="shared" si="4"/>
        <v>268775</v>
      </c>
      <c r="J26" s="65">
        <f t="shared" si="5"/>
        <v>10751</v>
      </c>
      <c r="K26" s="203">
        <f t="shared" si="12"/>
        <v>279526</v>
      </c>
      <c r="L26" s="65">
        <f t="shared" si="6"/>
        <v>2792</v>
      </c>
      <c r="M26" s="26">
        <f t="shared" si="7"/>
        <v>282318</v>
      </c>
      <c r="N26" s="25">
        <f t="shared" si="8"/>
        <v>18031</v>
      </c>
      <c r="O26" s="26"/>
      <c r="P26" s="25">
        <f t="shared" si="9"/>
        <v>282318</v>
      </c>
      <c r="Q26" s="26"/>
      <c r="R26" s="26">
        <f t="shared" si="10"/>
        <v>0</v>
      </c>
      <c r="S26" s="25">
        <f t="shared" si="11"/>
        <v>23806</v>
      </c>
      <c r="T26" s="25">
        <f t="shared" si="13"/>
        <v>0</v>
      </c>
    </row>
    <row r="27" spans="3:20" ht="12.75">
      <c r="C27" s="2" t="s">
        <v>305</v>
      </c>
      <c r="D27" s="22"/>
      <c r="E27" s="25">
        <f>ROUND('GasLabor$'!O29,0)</f>
        <v>351849</v>
      </c>
      <c r="F27" s="25"/>
      <c r="G27" s="25">
        <f t="shared" si="2"/>
        <v>351849</v>
      </c>
      <c r="H27" s="65">
        <f t="shared" si="3"/>
        <v>5974</v>
      </c>
      <c r="I27" s="26">
        <f t="shared" si="4"/>
        <v>357823</v>
      </c>
      <c r="J27" s="65">
        <f t="shared" si="5"/>
        <v>14313</v>
      </c>
      <c r="K27" s="203">
        <f t="shared" si="12"/>
        <v>372136</v>
      </c>
      <c r="L27" s="65">
        <f t="shared" si="6"/>
        <v>3718</v>
      </c>
      <c r="M27" s="26">
        <f t="shared" si="7"/>
        <v>375854</v>
      </c>
      <c r="N27" s="25">
        <f t="shared" si="8"/>
        <v>24005</v>
      </c>
      <c r="O27" s="26"/>
      <c r="P27" s="25">
        <f t="shared" si="9"/>
        <v>375854</v>
      </c>
      <c r="Q27" s="26"/>
      <c r="R27" s="26">
        <f t="shared" si="10"/>
        <v>0</v>
      </c>
      <c r="S27" s="25">
        <f t="shared" si="11"/>
        <v>31693</v>
      </c>
      <c r="T27" s="25">
        <f t="shared" si="13"/>
        <v>0</v>
      </c>
    </row>
    <row r="28" spans="3:20" ht="12.75">
      <c r="C28" s="2" t="s">
        <v>306</v>
      </c>
      <c r="D28" s="22"/>
      <c r="E28" s="25">
        <f>ROUND('GasLabor$'!O30,0)</f>
        <v>317896</v>
      </c>
      <c r="F28" s="25"/>
      <c r="G28" s="25">
        <f t="shared" si="2"/>
        <v>317896</v>
      </c>
      <c r="H28" s="65">
        <f t="shared" si="3"/>
        <v>5398</v>
      </c>
      <c r="I28" s="26">
        <f t="shared" si="4"/>
        <v>323294</v>
      </c>
      <c r="J28" s="65">
        <f t="shared" si="5"/>
        <v>12932</v>
      </c>
      <c r="K28" s="203">
        <f t="shared" si="12"/>
        <v>336226</v>
      </c>
      <c r="L28" s="65">
        <f t="shared" si="6"/>
        <v>3359</v>
      </c>
      <c r="M28" s="26">
        <f t="shared" si="7"/>
        <v>339585</v>
      </c>
      <c r="N28" s="25">
        <f t="shared" si="8"/>
        <v>21689</v>
      </c>
      <c r="O28" s="26"/>
      <c r="P28" s="25">
        <f t="shared" si="9"/>
        <v>339585</v>
      </c>
      <c r="Q28" s="26"/>
      <c r="R28" s="26">
        <f t="shared" si="10"/>
        <v>0</v>
      </c>
      <c r="S28" s="25">
        <f t="shared" si="11"/>
        <v>28634</v>
      </c>
      <c r="T28" s="25">
        <f t="shared" si="13"/>
        <v>0</v>
      </c>
    </row>
    <row r="29" spans="3:20" ht="12.75">
      <c r="C29" s="2" t="s">
        <v>307</v>
      </c>
      <c r="D29" s="2"/>
      <c r="E29" s="25">
        <f>ROUND('GasLabor$'!O32,0)</f>
        <v>7711</v>
      </c>
      <c r="F29" s="25"/>
      <c r="G29" s="25">
        <f t="shared" si="2"/>
        <v>7711</v>
      </c>
      <c r="H29" s="65">
        <f t="shared" si="3"/>
        <v>131</v>
      </c>
      <c r="I29" s="26">
        <f t="shared" si="4"/>
        <v>7842</v>
      </c>
      <c r="J29" s="65">
        <f t="shared" si="5"/>
        <v>314</v>
      </c>
      <c r="K29" s="203">
        <f t="shared" si="12"/>
        <v>8156</v>
      </c>
      <c r="L29" s="65">
        <f t="shared" si="6"/>
        <v>81</v>
      </c>
      <c r="M29" s="26">
        <f t="shared" si="7"/>
        <v>8237</v>
      </c>
      <c r="N29" s="25">
        <f t="shared" si="8"/>
        <v>526</v>
      </c>
      <c r="O29" s="26"/>
      <c r="P29" s="25">
        <f t="shared" si="9"/>
        <v>8237</v>
      </c>
      <c r="Q29" s="26"/>
      <c r="R29" s="26">
        <f t="shared" si="10"/>
        <v>0</v>
      </c>
      <c r="S29" s="25">
        <f t="shared" si="11"/>
        <v>695</v>
      </c>
      <c r="T29" s="25">
        <f t="shared" si="13"/>
        <v>0</v>
      </c>
    </row>
    <row r="30" spans="3:20" ht="12.75">
      <c r="C30" s="2" t="s">
        <v>308</v>
      </c>
      <c r="D30" s="2"/>
      <c r="E30" s="25">
        <f>ROUND('GasLabor$'!O33,0)</f>
        <v>0</v>
      </c>
      <c r="F30" s="25"/>
      <c r="G30" s="25">
        <f>F30+E30</f>
        <v>0</v>
      </c>
      <c r="H30" s="65">
        <f t="shared" si="3"/>
        <v>0</v>
      </c>
      <c r="I30" s="26">
        <f>H30+G30</f>
        <v>0</v>
      </c>
      <c r="J30" s="65">
        <f t="shared" si="5"/>
        <v>0</v>
      </c>
      <c r="K30" s="203">
        <f t="shared" si="12"/>
        <v>0</v>
      </c>
      <c r="L30" s="65">
        <f t="shared" si="6"/>
        <v>0</v>
      </c>
      <c r="M30" s="26">
        <f>L30+K30</f>
        <v>0</v>
      </c>
      <c r="N30" s="25">
        <f t="shared" si="8"/>
        <v>0</v>
      </c>
      <c r="O30" s="26"/>
      <c r="P30" s="25">
        <f t="shared" si="9"/>
        <v>0</v>
      </c>
      <c r="Q30" s="26"/>
      <c r="R30" s="26">
        <f t="shared" si="10"/>
        <v>0</v>
      </c>
      <c r="S30" s="25">
        <f t="shared" si="11"/>
        <v>0</v>
      </c>
      <c r="T30" s="25">
        <f t="shared" si="13"/>
        <v>0</v>
      </c>
    </row>
    <row r="31" spans="3:20" ht="12.75">
      <c r="C31" s="2" t="s">
        <v>309</v>
      </c>
      <c r="D31" s="22"/>
      <c r="E31" s="25">
        <f>ROUND('GasLabor$'!O34,0)</f>
        <v>252449</v>
      </c>
      <c r="F31" s="25"/>
      <c r="G31" s="25">
        <f t="shared" si="2"/>
        <v>252449</v>
      </c>
      <c r="H31" s="65">
        <f t="shared" si="3"/>
        <v>4287</v>
      </c>
      <c r="I31" s="26">
        <f t="shared" si="4"/>
        <v>256736</v>
      </c>
      <c r="J31" s="65">
        <f t="shared" si="5"/>
        <v>10269</v>
      </c>
      <c r="K31" s="203">
        <f t="shared" si="12"/>
        <v>267005</v>
      </c>
      <c r="L31" s="65">
        <f t="shared" si="6"/>
        <v>2667</v>
      </c>
      <c r="M31" s="26">
        <f aca="true" t="shared" si="14" ref="M31:M37">L31+K31</f>
        <v>269672</v>
      </c>
      <c r="N31" s="25">
        <f t="shared" si="8"/>
        <v>17223</v>
      </c>
      <c r="O31" s="26"/>
      <c r="P31" s="25">
        <f t="shared" si="9"/>
        <v>269672</v>
      </c>
      <c r="Q31" s="26"/>
      <c r="R31" s="26">
        <f t="shared" si="10"/>
        <v>0</v>
      </c>
      <c r="S31" s="25">
        <f t="shared" si="11"/>
        <v>22739</v>
      </c>
      <c r="T31" s="25">
        <f t="shared" si="13"/>
        <v>0</v>
      </c>
    </row>
    <row r="32" spans="3:20" ht="12.75">
      <c r="C32" s="2" t="s">
        <v>310</v>
      </c>
      <c r="D32" s="22"/>
      <c r="E32" s="25">
        <f>ROUND('GasLabor$'!O36,0)</f>
        <v>31568</v>
      </c>
      <c r="F32" s="25"/>
      <c r="G32" s="25">
        <f t="shared" si="2"/>
        <v>31568</v>
      </c>
      <c r="H32" s="26">
        <f t="shared" si="3"/>
        <v>536</v>
      </c>
      <c r="I32" s="26">
        <f t="shared" si="4"/>
        <v>32104</v>
      </c>
      <c r="J32" s="26">
        <f t="shared" si="5"/>
        <v>1284</v>
      </c>
      <c r="K32" s="203">
        <f t="shared" si="12"/>
        <v>33388</v>
      </c>
      <c r="L32" s="26">
        <f t="shared" si="6"/>
        <v>334</v>
      </c>
      <c r="M32" s="26">
        <f t="shared" si="14"/>
        <v>33722</v>
      </c>
      <c r="N32" s="25">
        <f t="shared" si="8"/>
        <v>2154</v>
      </c>
      <c r="O32" s="26"/>
      <c r="P32" s="25">
        <f t="shared" si="9"/>
        <v>33722</v>
      </c>
      <c r="Q32" s="26"/>
      <c r="R32" s="26">
        <f t="shared" si="10"/>
        <v>0</v>
      </c>
      <c r="S32" s="25">
        <f t="shared" si="11"/>
        <v>2843</v>
      </c>
      <c r="T32" s="25">
        <f t="shared" si="13"/>
        <v>0</v>
      </c>
    </row>
    <row r="33" spans="3:20" ht="12.75">
      <c r="C33" s="2" t="s">
        <v>333</v>
      </c>
      <c r="D33" s="22"/>
      <c r="E33" s="25">
        <f>ROUND('GasLabor$'!O37,0)</f>
        <v>54137</v>
      </c>
      <c r="F33" s="25"/>
      <c r="G33" s="25">
        <f t="shared" si="2"/>
        <v>54137</v>
      </c>
      <c r="H33" s="26">
        <f t="shared" si="3"/>
        <v>919</v>
      </c>
      <c r="I33" s="26">
        <f t="shared" si="4"/>
        <v>55056</v>
      </c>
      <c r="J33" s="26">
        <f t="shared" si="5"/>
        <v>2202</v>
      </c>
      <c r="K33" s="203">
        <f t="shared" si="12"/>
        <v>57258</v>
      </c>
      <c r="L33" s="26">
        <f t="shared" si="6"/>
        <v>572</v>
      </c>
      <c r="M33" s="26">
        <f t="shared" si="14"/>
        <v>57830</v>
      </c>
      <c r="N33" s="25">
        <f t="shared" si="8"/>
        <v>3693</v>
      </c>
      <c r="O33" s="26"/>
      <c r="P33" s="25">
        <f t="shared" si="9"/>
        <v>57830</v>
      </c>
      <c r="Q33" s="26"/>
      <c r="R33" s="26">
        <f t="shared" si="10"/>
        <v>0</v>
      </c>
      <c r="S33" s="25">
        <f t="shared" si="11"/>
        <v>4876</v>
      </c>
      <c r="T33" s="25">
        <f t="shared" si="13"/>
        <v>0</v>
      </c>
    </row>
    <row r="34" spans="3:20" ht="12.75">
      <c r="C34" s="2" t="s">
        <v>312</v>
      </c>
      <c r="D34" s="22"/>
      <c r="E34" s="25">
        <f>ROUND('GasLabor$'!O38,0)</f>
        <v>11193</v>
      </c>
      <c r="F34" s="25"/>
      <c r="G34" s="25">
        <f t="shared" si="2"/>
        <v>11193</v>
      </c>
      <c r="H34" s="26">
        <f t="shared" si="3"/>
        <v>190</v>
      </c>
      <c r="I34" s="26">
        <f t="shared" si="4"/>
        <v>11383</v>
      </c>
      <c r="J34" s="26">
        <f t="shared" si="5"/>
        <v>455</v>
      </c>
      <c r="K34" s="203">
        <f t="shared" si="12"/>
        <v>11838</v>
      </c>
      <c r="L34" s="26">
        <f t="shared" si="6"/>
        <v>118</v>
      </c>
      <c r="M34" s="26">
        <f t="shared" si="14"/>
        <v>11956</v>
      </c>
      <c r="N34" s="25">
        <f t="shared" si="8"/>
        <v>763</v>
      </c>
      <c r="O34" s="26"/>
      <c r="P34" s="25">
        <f t="shared" si="9"/>
        <v>11956</v>
      </c>
      <c r="Q34" s="26"/>
      <c r="R34" s="26">
        <f t="shared" si="10"/>
        <v>0</v>
      </c>
      <c r="S34" s="25">
        <f t="shared" si="11"/>
        <v>1008</v>
      </c>
      <c r="T34" s="25">
        <f t="shared" si="13"/>
        <v>0</v>
      </c>
    </row>
    <row r="35" spans="3:20" ht="12.75">
      <c r="C35" s="2" t="s">
        <v>313</v>
      </c>
      <c r="D35" s="22"/>
      <c r="E35" s="25">
        <f>ROUND('GasLabor$'!O39,0)</f>
        <v>167988</v>
      </c>
      <c r="F35" s="25"/>
      <c r="G35" s="25">
        <f t="shared" si="2"/>
        <v>167988</v>
      </c>
      <c r="H35" s="65">
        <f t="shared" si="3"/>
        <v>2852</v>
      </c>
      <c r="I35" s="26">
        <f t="shared" si="4"/>
        <v>170840</v>
      </c>
      <c r="J35" s="65">
        <f t="shared" si="5"/>
        <v>6834</v>
      </c>
      <c r="K35" s="203">
        <f t="shared" si="12"/>
        <v>177674</v>
      </c>
      <c r="L35" s="65">
        <f t="shared" si="6"/>
        <v>1775</v>
      </c>
      <c r="M35" s="26">
        <f t="shared" si="14"/>
        <v>179449</v>
      </c>
      <c r="N35" s="25">
        <f t="shared" si="8"/>
        <v>11461</v>
      </c>
      <c r="O35" s="26"/>
      <c r="P35" s="25">
        <f t="shared" si="9"/>
        <v>179449</v>
      </c>
      <c r="Q35" s="26"/>
      <c r="R35" s="26">
        <f t="shared" si="10"/>
        <v>0</v>
      </c>
      <c r="S35" s="25">
        <f t="shared" si="11"/>
        <v>15131</v>
      </c>
      <c r="T35" s="25">
        <f t="shared" si="13"/>
        <v>0</v>
      </c>
    </row>
    <row r="36" spans="3:20" ht="12.75">
      <c r="C36" s="2" t="s">
        <v>314</v>
      </c>
      <c r="D36" s="22"/>
      <c r="E36" s="25">
        <f>ROUND('GasLabor$'!O40,0)</f>
        <v>112434</v>
      </c>
      <c r="F36" s="25"/>
      <c r="G36" s="25">
        <f t="shared" si="2"/>
        <v>112434</v>
      </c>
      <c r="H36" s="65">
        <f t="shared" si="3"/>
        <v>1909</v>
      </c>
      <c r="I36" s="26">
        <f t="shared" si="4"/>
        <v>114343</v>
      </c>
      <c r="J36" s="65">
        <f t="shared" si="5"/>
        <v>4574</v>
      </c>
      <c r="K36" s="203">
        <f t="shared" si="12"/>
        <v>118917</v>
      </c>
      <c r="L36" s="65">
        <f t="shared" si="6"/>
        <v>1188</v>
      </c>
      <c r="M36" s="26">
        <f t="shared" si="14"/>
        <v>120105</v>
      </c>
      <c r="N36" s="25">
        <f t="shared" si="8"/>
        <v>7671</v>
      </c>
      <c r="O36" s="26"/>
      <c r="P36" s="25">
        <f t="shared" si="9"/>
        <v>120105</v>
      </c>
      <c r="Q36" s="26"/>
      <c r="R36" s="26">
        <f t="shared" si="10"/>
        <v>0</v>
      </c>
      <c r="S36" s="25">
        <f t="shared" si="11"/>
        <v>10127</v>
      </c>
      <c r="T36" s="25">
        <f t="shared" si="13"/>
        <v>0</v>
      </c>
    </row>
    <row r="37" spans="2:20" ht="12.75">
      <c r="B37" s="178"/>
      <c r="C37" s="177">
        <v>894</v>
      </c>
      <c r="D37" s="22"/>
      <c r="E37" s="25">
        <f>ROUND('GasLabor$'!O41,0)</f>
        <v>3542</v>
      </c>
      <c r="F37" s="25"/>
      <c r="G37" s="25">
        <f t="shared" si="2"/>
        <v>3542</v>
      </c>
      <c r="H37" s="65">
        <f t="shared" si="3"/>
        <v>60</v>
      </c>
      <c r="I37" s="26">
        <f t="shared" si="4"/>
        <v>3602</v>
      </c>
      <c r="J37" s="65">
        <f t="shared" si="5"/>
        <v>144</v>
      </c>
      <c r="K37" s="203">
        <f t="shared" si="12"/>
        <v>3746</v>
      </c>
      <c r="L37" s="65">
        <f t="shared" si="6"/>
        <v>37</v>
      </c>
      <c r="M37" s="26">
        <f t="shared" si="14"/>
        <v>3783</v>
      </c>
      <c r="N37" s="25">
        <f t="shared" si="8"/>
        <v>241</v>
      </c>
      <c r="O37" s="26"/>
      <c r="P37" s="25">
        <f t="shared" si="9"/>
        <v>3783</v>
      </c>
      <c r="Q37" s="26"/>
      <c r="R37" s="26">
        <f t="shared" si="10"/>
        <v>0</v>
      </c>
      <c r="S37" s="25">
        <f>ROUND($S$74*E37/E$71,0)</f>
        <v>319</v>
      </c>
      <c r="T37" s="25">
        <f t="shared" si="13"/>
        <v>0</v>
      </c>
    </row>
    <row r="38" spans="3:20" ht="12.75">
      <c r="C38" s="21" t="s">
        <v>8</v>
      </c>
      <c r="E38" s="29">
        <f aca="true" t="shared" si="15" ref="E38:P38">SUM(E20:E37)</f>
        <v>2035231</v>
      </c>
      <c r="F38" s="29">
        <f t="shared" si="15"/>
        <v>0</v>
      </c>
      <c r="G38" s="29">
        <f t="shared" si="15"/>
        <v>2035231</v>
      </c>
      <c r="H38" s="29">
        <f t="shared" si="15"/>
        <v>34324</v>
      </c>
      <c r="I38" s="29">
        <f t="shared" si="15"/>
        <v>2069555</v>
      </c>
      <c r="J38" s="29">
        <f t="shared" si="15"/>
        <v>82518</v>
      </c>
      <c r="K38" s="204">
        <f t="shared" si="15"/>
        <v>2152073</v>
      </c>
      <c r="L38" s="29">
        <f t="shared" si="15"/>
        <v>21869</v>
      </c>
      <c r="M38" s="29">
        <f t="shared" si="15"/>
        <v>2173942</v>
      </c>
      <c r="N38" s="207">
        <f t="shared" si="15"/>
        <v>138711</v>
      </c>
      <c r="O38" s="29">
        <f t="shared" si="15"/>
        <v>0</v>
      </c>
      <c r="P38" s="29">
        <f t="shared" si="15"/>
        <v>2173942</v>
      </c>
      <c r="Q38" s="35"/>
      <c r="R38" s="29">
        <f>SUM(R20:R37)</f>
        <v>0</v>
      </c>
      <c r="S38" s="207">
        <f>SUM(S20:S37)</f>
        <v>183322</v>
      </c>
      <c r="T38" s="207">
        <f>SUM(T20:T37)</f>
        <v>0</v>
      </c>
    </row>
    <row r="39" spans="5:20" ht="12.75">
      <c r="E39" s="30"/>
      <c r="F39" s="30"/>
      <c r="G39" s="30"/>
      <c r="H39" s="30"/>
      <c r="I39" s="30"/>
      <c r="J39" s="30"/>
      <c r="K39" s="205"/>
      <c r="L39" s="30"/>
      <c r="M39" s="30"/>
      <c r="N39" s="30"/>
      <c r="O39" s="30"/>
      <c r="P39" s="30"/>
      <c r="Q39" s="35"/>
      <c r="R39" s="30"/>
      <c r="S39" s="30"/>
      <c r="T39" s="30"/>
    </row>
    <row r="40" spans="3:20" ht="12.75">
      <c r="C40" s="21" t="s">
        <v>9</v>
      </c>
      <c r="E40" s="30"/>
      <c r="F40" s="30"/>
      <c r="G40" s="30"/>
      <c r="H40" s="65"/>
      <c r="I40" s="26"/>
      <c r="J40" s="65"/>
      <c r="K40" s="206"/>
      <c r="L40" s="65"/>
      <c r="M40" s="26"/>
      <c r="N40" s="26"/>
      <c r="O40" s="26"/>
      <c r="P40" s="26"/>
      <c r="Q40" s="26"/>
      <c r="R40" s="26"/>
      <c r="S40" s="26"/>
      <c r="T40" s="26"/>
    </row>
    <row r="41" spans="2:20" ht="12.75">
      <c r="B41" s="3" t="s">
        <v>33</v>
      </c>
      <c r="C41" s="2" t="s">
        <v>315</v>
      </c>
      <c r="D41" s="22"/>
      <c r="E41" s="25">
        <f>ROUND('GasLabor$'!O45,0)</f>
        <v>68386</v>
      </c>
      <c r="F41" s="25"/>
      <c r="G41" s="25">
        <f>F41+E41</f>
        <v>68386</v>
      </c>
      <c r="H41" s="27">
        <f>ROUND(IF($B41="a",G41*H$5,G41*H$6),0)</f>
        <v>1039</v>
      </c>
      <c r="I41" s="25">
        <f>H41+G41</f>
        <v>69425</v>
      </c>
      <c r="J41" s="27">
        <f>ROUND(IF($B41="a",I41*J$5,I41*J$6),0)</f>
        <v>2638</v>
      </c>
      <c r="K41" s="203">
        <f>SUM(I41:J41)</f>
        <v>72063</v>
      </c>
      <c r="L41" s="27">
        <f>ROUND(IF($B41="a",K41*L$5,K41*L$6),0)</f>
        <v>914</v>
      </c>
      <c r="M41" s="25">
        <f>L41+K41</f>
        <v>72977</v>
      </c>
      <c r="N41" s="25">
        <f>+H41+J41+L41</f>
        <v>4591</v>
      </c>
      <c r="O41" s="25"/>
      <c r="P41" s="25">
        <f>M41+O41</f>
        <v>72977</v>
      </c>
      <c r="Q41" s="26"/>
      <c r="R41" s="25">
        <f>O41+F41</f>
        <v>0</v>
      </c>
      <c r="S41" s="25">
        <f>ROUND($S$74*E41/E$71,0)</f>
        <v>6160</v>
      </c>
      <c r="T41" s="25">
        <f>ROUND($T$74*F41/F$71,0)</f>
        <v>0</v>
      </c>
    </row>
    <row r="42" spans="3:20" ht="12.75">
      <c r="C42" s="2" t="s">
        <v>316</v>
      </c>
      <c r="D42" s="22"/>
      <c r="E42" s="25">
        <f>ROUND('GasLabor$'!O46,0)</f>
        <v>86724</v>
      </c>
      <c r="F42" s="25"/>
      <c r="G42" s="25">
        <f>F42+E42</f>
        <v>86724</v>
      </c>
      <c r="H42" s="28">
        <f>ROUND(IF($B42="a",G42*H$5,G42*H$6),0)</f>
        <v>1473</v>
      </c>
      <c r="I42" s="25">
        <f>H42+G42</f>
        <v>88197</v>
      </c>
      <c r="J42" s="28">
        <f>ROUND(IF($B42="a",I42*J$5,I42*J$6),0)</f>
        <v>3528</v>
      </c>
      <c r="K42" s="203">
        <f>SUM(I42:J42)</f>
        <v>91725</v>
      </c>
      <c r="L42" s="28">
        <f>ROUND(IF($B42="a",K42*L$5,K42*L$6),0)</f>
        <v>916</v>
      </c>
      <c r="M42" s="25">
        <f>L42+K42</f>
        <v>92641</v>
      </c>
      <c r="N42" s="25">
        <f>+H42+J42+L42</f>
        <v>5917</v>
      </c>
      <c r="O42" s="25"/>
      <c r="P42" s="25">
        <f>M42+O42</f>
        <v>92641</v>
      </c>
      <c r="Q42" s="26"/>
      <c r="R42" s="25">
        <f>O42+F42</f>
        <v>0</v>
      </c>
      <c r="S42" s="25">
        <f>ROUND($S$74*E42/E$71,0)</f>
        <v>7812</v>
      </c>
      <c r="T42" s="25">
        <f>ROUND($T$74*F42/F$71,0)</f>
        <v>0</v>
      </c>
    </row>
    <row r="43" spans="2:20" ht="12.75">
      <c r="B43" s="3" t="s">
        <v>33</v>
      </c>
      <c r="C43" s="2" t="s">
        <v>334</v>
      </c>
      <c r="D43" s="22"/>
      <c r="E43" s="25">
        <f>ROUND('GasLabor$'!O47,0)</f>
        <v>592214</v>
      </c>
      <c r="F43" s="25"/>
      <c r="G43" s="25">
        <f>F43+E43</f>
        <v>592214</v>
      </c>
      <c r="H43" s="27">
        <f>ROUND(IF($B43="a",G43*H$5,G43*H$6),0)</f>
        <v>8996</v>
      </c>
      <c r="I43" s="25">
        <f>H43+G43</f>
        <v>601210</v>
      </c>
      <c r="J43" s="27">
        <f>ROUND(IF($B43="a",I43*J$5,I43*J$6),0)</f>
        <v>22846</v>
      </c>
      <c r="K43" s="203">
        <f>SUM(I43:J43)</f>
        <v>624056</v>
      </c>
      <c r="L43" s="27">
        <f>ROUND(IF($B43="a",K43*L$5,K43*L$6),0)</f>
        <v>7919</v>
      </c>
      <c r="M43" s="25">
        <f>L43+K43</f>
        <v>631975</v>
      </c>
      <c r="N43" s="25">
        <f>+H43+J43+L43</f>
        <v>39761</v>
      </c>
      <c r="O43" s="25"/>
      <c r="P43" s="25">
        <f>M43+O43</f>
        <v>631975</v>
      </c>
      <c r="Q43" s="26"/>
      <c r="R43" s="25">
        <f>O43+F43</f>
        <v>0</v>
      </c>
      <c r="S43" s="25">
        <f>ROUND($S$74*E43/E$71,0)</f>
        <v>53343</v>
      </c>
      <c r="T43" s="25">
        <f>ROUND($T$74*F43/F$71,0)</f>
        <v>0</v>
      </c>
    </row>
    <row r="44" spans="2:20" ht="12.75">
      <c r="B44" s="3" t="s">
        <v>33</v>
      </c>
      <c r="C44" s="2" t="s">
        <v>318</v>
      </c>
      <c r="D44" s="22"/>
      <c r="E44" s="25">
        <f>ROUND('GasLabor$'!O48,0)</f>
        <v>18305</v>
      </c>
      <c r="F44" s="25"/>
      <c r="G44" s="25">
        <f>F44+E44</f>
        <v>18305</v>
      </c>
      <c r="H44" s="27">
        <f>ROUND(IF($B44="a",G44*H$5,G44*H$6),0)</f>
        <v>278</v>
      </c>
      <c r="I44" s="25">
        <f>H44+G44</f>
        <v>18583</v>
      </c>
      <c r="J44" s="27">
        <f>ROUND(IF($B44="a",I44*J$5,I44*J$6),0)</f>
        <v>706</v>
      </c>
      <c r="K44" s="203">
        <f>SUM(I44:J44)</f>
        <v>19289</v>
      </c>
      <c r="L44" s="27">
        <f>ROUND(IF($B44="a",K44*L$5,K44*L$6),0)</f>
        <v>245</v>
      </c>
      <c r="M44" s="25">
        <f>L44+K44</f>
        <v>19534</v>
      </c>
      <c r="N44" s="25">
        <f>+H44+J44+L44</f>
        <v>1229</v>
      </c>
      <c r="O44" s="25"/>
      <c r="P44" s="25">
        <f>M44+O44</f>
        <v>19534</v>
      </c>
      <c r="Q44" s="26"/>
      <c r="R44" s="25">
        <f>O44+F44</f>
        <v>0</v>
      </c>
      <c r="S44" s="25">
        <f>ROUND($S$74*E44/E$71,0)</f>
        <v>1649</v>
      </c>
      <c r="T44" s="25">
        <f>ROUND($T$74*F44/F$71,0)</f>
        <v>0</v>
      </c>
    </row>
    <row r="45" spans="3:20" ht="12.75">
      <c r="C45" s="21" t="s">
        <v>10</v>
      </c>
      <c r="E45" s="29">
        <f aca="true" t="shared" si="16" ref="E45:N45">SUM(E41:E44)</f>
        <v>765629</v>
      </c>
      <c r="F45" s="29">
        <f t="shared" si="16"/>
        <v>0</v>
      </c>
      <c r="G45" s="29">
        <f t="shared" si="16"/>
        <v>765629</v>
      </c>
      <c r="H45" s="29">
        <f t="shared" si="16"/>
        <v>11786</v>
      </c>
      <c r="I45" s="29">
        <f t="shared" si="16"/>
        <v>777415</v>
      </c>
      <c r="J45" s="29">
        <f>SUM(J41:J44)</f>
        <v>29718</v>
      </c>
      <c r="K45" s="204">
        <f>SUM(K41:K44)</f>
        <v>807133</v>
      </c>
      <c r="L45" s="29">
        <f>SUM(L41:L44)</f>
        <v>9994</v>
      </c>
      <c r="M45" s="29">
        <f>SUM(M41:M44)</f>
        <v>817127</v>
      </c>
      <c r="N45" s="207">
        <f t="shared" si="16"/>
        <v>51498</v>
      </c>
      <c r="O45" s="29">
        <f>SUM(O41:O44)</f>
        <v>0</v>
      </c>
      <c r="P45" s="29">
        <f>SUM(P41:P44)</f>
        <v>817127</v>
      </c>
      <c r="Q45" s="35"/>
      <c r="R45" s="29">
        <f>SUM(R41:R44)</f>
        <v>0</v>
      </c>
      <c r="S45" s="207">
        <f>SUM(S41:S44)</f>
        <v>68964</v>
      </c>
      <c r="T45" s="207">
        <f>SUM(T41:T44)</f>
        <v>0</v>
      </c>
    </row>
    <row r="46" spans="5:20" ht="12.75">
      <c r="E46" s="30"/>
      <c r="F46" s="30"/>
      <c r="G46" s="30"/>
      <c r="H46" s="30"/>
      <c r="I46" s="30"/>
      <c r="J46" s="30"/>
      <c r="K46" s="205"/>
      <c r="L46" s="30"/>
      <c r="M46" s="30"/>
      <c r="N46" s="30"/>
      <c r="O46" s="30"/>
      <c r="P46" s="30"/>
      <c r="Q46" s="35"/>
      <c r="R46" s="30"/>
      <c r="S46" s="30"/>
      <c r="T46" s="30"/>
    </row>
    <row r="47" spans="3:20" ht="12.75">
      <c r="C47" s="21" t="s">
        <v>11</v>
      </c>
      <c r="E47" s="30"/>
      <c r="F47" s="30"/>
      <c r="G47" s="30"/>
      <c r="H47" s="30"/>
      <c r="I47" s="30"/>
      <c r="J47" s="30"/>
      <c r="K47" s="205"/>
      <c r="L47" s="30"/>
      <c r="M47" s="30"/>
      <c r="N47" s="30"/>
      <c r="O47" s="30"/>
      <c r="P47" s="30"/>
      <c r="Q47" s="35"/>
      <c r="R47" s="30"/>
      <c r="S47" s="30"/>
      <c r="T47" s="30"/>
    </row>
    <row r="48" spans="2:20" ht="12.75">
      <c r="B48" s="3" t="s">
        <v>33</v>
      </c>
      <c r="C48" s="2" t="s">
        <v>319</v>
      </c>
      <c r="D48" s="22"/>
      <c r="E48" s="25">
        <f>ROUND('GasLabor$'!O53,0)</f>
        <v>61496</v>
      </c>
      <c r="F48" s="25"/>
      <c r="G48" s="25">
        <f>F48+E48</f>
        <v>61496</v>
      </c>
      <c r="H48" s="27">
        <f>ROUND(IF($B48="a",G48*H$5,G48*H$6),0)</f>
        <v>934</v>
      </c>
      <c r="I48" s="25">
        <f>H48+G48</f>
        <v>62430</v>
      </c>
      <c r="J48" s="27">
        <f>ROUND(IF($B48="a",I48*J$5,I48*J$6),0)</f>
        <v>2372</v>
      </c>
      <c r="K48" s="203">
        <f>SUM(I48:J48)</f>
        <v>64802</v>
      </c>
      <c r="L48" s="27">
        <f>ROUND(IF($B48="a",K48*L$5,K48*L$6),0)</f>
        <v>822</v>
      </c>
      <c r="M48" s="25">
        <f>L48+K48</f>
        <v>65624</v>
      </c>
      <c r="N48" s="25">
        <f>+H48+J48+L48</f>
        <v>4128</v>
      </c>
      <c r="O48" s="25"/>
      <c r="P48" s="25">
        <f>M48+O48</f>
        <v>65624</v>
      </c>
      <c r="Q48" s="26"/>
      <c r="R48" s="25">
        <f>O48+F48</f>
        <v>0</v>
      </c>
      <c r="S48" s="25">
        <f>ROUND($S$74*E48/E$71,0)</f>
        <v>5539</v>
      </c>
      <c r="T48" s="25">
        <f>ROUND($T$74*F48/F$71,0)</f>
        <v>0</v>
      </c>
    </row>
    <row r="49" spans="2:20" ht="12.75">
      <c r="B49" s="3" t="s">
        <v>33</v>
      </c>
      <c r="C49" s="2" t="s">
        <v>320</v>
      </c>
      <c r="D49" s="22"/>
      <c r="E49" s="25">
        <f>ROUND('GasLabor$'!O54,0)</f>
        <v>3288</v>
      </c>
      <c r="F49" s="25"/>
      <c r="G49" s="25">
        <f>F49+E49</f>
        <v>3288</v>
      </c>
      <c r="H49" s="27">
        <f>ROUND(IF($B49="a",G49*H$5,G49*H$6),0)</f>
        <v>50</v>
      </c>
      <c r="I49" s="25">
        <f>H49+G49</f>
        <v>3338</v>
      </c>
      <c r="J49" s="27">
        <f>ROUND(IF($B49="a",I49*J$5,I49*J$6),0)</f>
        <v>127</v>
      </c>
      <c r="K49" s="203">
        <f>SUM(I49:J49)</f>
        <v>3465</v>
      </c>
      <c r="L49" s="27">
        <f>ROUND(IF($B49="a",K49*L$5,K49*L$6),0)</f>
        <v>44</v>
      </c>
      <c r="M49" s="25">
        <f>L49+K49</f>
        <v>3509</v>
      </c>
      <c r="N49" s="25">
        <f>+H49+J49+L49</f>
        <v>221</v>
      </c>
      <c r="O49" s="25"/>
      <c r="P49" s="25">
        <f>M49+O49</f>
        <v>3509</v>
      </c>
      <c r="Q49" s="26"/>
      <c r="R49" s="25">
        <f>O49+F49</f>
        <v>0</v>
      </c>
      <c r="S49" s="25">
        <f>ROUND($S$74*E49/E$71,0)</f>
        <v>296</v>
      </c>
      <c r="T49" s="25">
        <f>ROUND($T$74*F49/F$71,0)</f>
        <v>0</v>
      </c>
    </row>
    <row r="50" spans="2:20" ht="12.75">
      <c r="B50" s="3" t="s">
        <v>33</v>
      </c>
      <c r="C50" s="2" t="s">
        <v>321</v>
      </c>
      <c r="D50" s="22"/>
      <c r="E50" s="25">
        <f>ROUND('GasLabor$'!O55,0)</f>
        <v>27</v>
      </c>
      <c r="F50" s="25"/>
      <c r="G50" s="25">
        <f>F50+E50</f>
        <v>27</v>
      </c>
      <c r="H50" s="27">
        <f>ROUND(IF($B50="a",G50*H$5,G50*H$6),0)</f>
        <v>0</v>
      </c>
      <c r="I50" s="25">
        <f>H50+G50</f>
        <v>27</v>
      </c>
      <c r="J50" s="27">
        <f>ROUND(IF($B50="a",I50*J$5,I50*J$6),0)</f>
        <v>1</v>
      </c>
      <c r="K50" s="203">
        <f>SUM(I50:J50)</f>
        <v>28</v>
      </c>
      <c r="L50" s="27">
        <f>ROUND(IF($B50="a",K50*L$5,K50*L$6),0)</f>
        <v>0</v>
      </c>
      <c r="M50" s="25">
        <f>L50+K50</f>
        <v>28</v>
      </c>
      <c r="N50" s="25">
        <f>+H50+J50+L50</f>
        <v>1</v>
      </c>
      <c r="O50" s="25"/>
      <c r="P50" s="25">
        <f>M50+O50</f>
        <v>28</v>
      </c>
      <c r="Q50" s="26"/>
      <c r="R50" s="25">
        <f>O50+F50</f>
        <v>0</v>
      </c>
      <c r="S50" s="25">
        <f>ROUND($S$74*E50/E$71,0)</f>
        <v>2</v>
      </c>
      <c r="T50" s="25">
        <f>ROUND($T$74*F50/F$71,0)</f>
        <v>0</v>
      </c>
    </row>
    <row r="51" spans="3:20" ht="12.75">
      <c r="C51" s="21" t="s">
        <v>12</v>
      </c>
      <c r="E51" s="29">
        <f aca="true" t="shared" si="17" ref="E51:N51">SUM(E48:E50)</f>
        <v>64811</v>
      </c>
      <c r="F51" s="29">
        <f t="shared" si="17"/>
        <v>0</v>
      </c>
      <c r="G51" s="29">
        <f t="shared" si="17"/>
        <v>64811</v>
      </c>
      <c r="H51" s="29">
        <f t="shared" si="17"/>
        <v>984</v>
      </c>
      <c r="I51" s="29">
        <f t="shared" si="17"/>
        <v>65795</v>
      </c>
      <c r="J51" s="29">
        <f>SUM(J48:J50)</f>
        <v>2500</v>
      </c>
      <c r="K51" s="204">
        <f>SUM(K48:K50)</f>
        <v>68295</v>
      </c>
      <c r="L51" s="29">
        <f>SUM(L48:L50)</f>
        <v>866</v>
      </c>
      <c r="M51" s="29">
        <f>SUM(M48:M50)</f>
        <v>69161</v>
      </c>
      <c r="N51" s="207">
        <f t="shared" si="17"/>
        <v>4350</v>
      </c>
      <c r="O51" s="29">
        <f>SUM(O48:O50)</f>
        <v>0</v>
      </c>
      <c r="P51" s="29">
        <f>SUM(P48:P50)</f>
        <v>69161</v>
      </c>
      <c r="Q51" s="35"/>
      <c r="R51" s="29">
        <f>SUM(R48:R50)</f>
        <v>0</v>
      </c>
      <c r="S51" s="207">
        <f>SUM(S48:S50)</f>
        <v>5837</v>
      </c>
      <c r="T51" s="207">
        <f>SUM(T48:T50)</f>
        <v>0</v>
      </c>
    </row>
    <row r="52" spans="5:20" ht="12.75">
      <c r="E52" s="30"/>
      <c r="F52" s="30"/>
      <c r="G52" s="30"/>
      <c r="H52" s="30"/>
      <c r="I52" s="30"/>
      <c r="J52" s="30"/>
      <c r="K52" s="205"/>
      <c r="L52" s="30"/>
      <c r="M52" s="30"/>
      <c r="N52" s="30"/>
      <c r="O52" s="30"/>
      <c r="P52" s="30"/>
      <c r="Q52" s="35"/>
      <c r="R52" s="30"/>
      <c r="S52" s="30"/>
      <c r="T52" s="30"/>
    </row>
    <row r="53" spans="3:20" ht="12.75">
      <c r="C53" s="21" t="s">
        <v>13</v>
      </c>
      <c r="E53" s="30"/>
      <c r="F53" s="30"/>
      <c r="G53" s="30"/>
      <c r="H53" s="30"/>
      <c r="I53" s="30"/>
      <c r="J53" s="30"/>
      <c r="K53" s="205"/>
      <c r="L53" s="30"/>
      <c r="M53" s="30"/>
      <c r="N53" s="30"/>
      <c r="O53" s="30"/>
      <c r="P53" s="30"/>
      <c r="Q53" s="35"/>
      <c r="R53" s="30"/>
      <c r="S53" s="30"/>
      <c r="T53" s="30"/>
    </row>
    <row r="54" spans="2:20" ht="12.75">
      <c r="B54" s="3" t="s">
        <v>33</v>
      </c>
      <c r="C54" s="2" t="s">
        <v>322</v>
      </c>
      <c r="D54" s="22"/>
      <c r="E54" s="25">
        <f>ROUND('GasLabor$'!O59,0)</f>
        <v>0</v>
      </c>
      <c r="F54" s="25"/>
      <c r="G54" s="25">
        <f>F54+E54</f>
        <v>0</v>
      </c>
      <c r="H54" s="27">
        <f>ROUND(IF($B54="a",G54*H$5,G54*H$6),0)</f>
        <v>0</v>
      </c>
      <c r="I54" s="25">
        <f>H54+G54</f>
        <v>0</v>
      </c>
      <c r="J54" s="27">
        <f>ROUND(IF($B54="a",I54*J$5,I54*J$6),0)</f>
        <v>0</v>
      </c>
      <c r="K54" s="203">
        <f>SUM(I54:J54)</f>
        <v>0</v>
      </c>
      <c r="L54" s="27">
        <f>ROUND(IF($B54="a",K54*L$5,K54*L$6),0)</f>
        <v>0</v>
      </c>
      <c r="M54" s="25">
        <f>L54+K54</f>
        <v>0</v>
      </c>
      <c r="N54" s="25">
        <f>+H54+J54+L54</f>
        <v>0</v>
      </c>
      <c r="O54" s="25"/>
      <c r="P54" s="25">
        <f>M54+O54</f>
        <v>0</v>
      </c>
      <c r="Q54" s="26"/>
      <c r="R54" s="25">
        <f>O54+F54</f>
        <v>0</v>
      </c>
      <c r="S54" s="25">
        <f>ROUND($S$74*E54/E$71,0)</f>
        <v>0</v>
      </c>
      <c r="T54" s="25">
        <f>ROUND($T$74*F54/F$71,0)</f>
        <v>0</v>
      </c>
    </row>
    <row r="55" spans="2:20" ht="12.75">
      <c r="B55" s="3" t="s">
        <v>33</v>
      </c>
      <c r="C55" s="2" t="s">
        <v>323</v>
      </c>
      <c r="D55" s="22"/>
      <c r="E55" s="25">
        <f>ROUND('GasLabor$'!O60,0)</f>
        <v>61832</v>
      </c>
      <c r="F55" s="25"/>
      <c r="G55" s="25">
        <f>F55+E55</f>
        <v>61832</v>
      </c>
      <c r="H55" s="27">
        <f>ROUND(IF($B55="a",G55*H$5,G55*H$6),0)</f>
        <v>939</v>
      </c>
      <c r="I55" s="25">
        <f>H55+G55</f>
        <v>62771</v>
      </c>
      <c r="J55" s="27">
        <f>ROUND(IF($B55="a",I55*J$5,I55*J$6),0)</f>
        <v>2385</v>
      </c>
      <c r="K55" s="203">
        <f>SUM(I55:J55)</f>
        <v>65156</v>
      </c>
      <c r="L55" s="27">
        <f>ROUND(IF($B55="a",K55*L$5,K55*L$6),0)</f>
        <v>827</v>
      </c>
      <c r="M55" s="25">
        <f>L55+K55</f>
        <v>65983</v>
      </c>
      <c r="N55" s="25">
        <f>+H55+J55+L55</f>
        <v>4151</v>
      </c>
      <c r="O55" s="25"/>
      <c r="P55" s="25">
        <f>M55+O55</f>
        <v>65983</v>
      </c>
      <c r="Q55" s="26"/>
      <c r="R55" s="25">
        <f>O55+F55</f>
        <v>0</v>
      </c>
      <c r="S55" s="25">
        <f>ROUND($S$74*E55/E$71,0)</f>
        <v>5569</v>
      </c>
      <c r="T55" s="25">
        <f>ROUND($T$74*F55/F$71,0)</f>
        <v>0</v>
      </c>
    </row>
    <row r="56" spans="2:20" ht="12.75">
      <c r="B56" s="3" t="s">
        <v>33</v>
      </c>
      <c r="C56" s="2" t="s">
        <v>324</v>
      </c>
      <c r="D56" s="22"/>
      <c r="E56" s="25">
        <f>ROUND('GasLabor$'!O61,0)</f>
        <v>0</v>
      </c>
      <c r="F56" s="25"/>
      <c r="G56" s="25">
        <f>F56+E56</f>
        <v>0</v>
      </c>
      <c r="H56" s="27">
        <f>ROUND(IF($B56="a",G56*H$5,G56*H$6),0)</f>
        <v>0</v>
      </c>
      <c r="I56" s="25">
        <f>H56+G56</f>
        <v>0</v>
      </c>
      <c r="J56" s="27">
        <f>ROUND(IF($B56="a",I56*J$5,I56*J$6),0)</f>
        <v>0</v>
      </c>
      <c r="K56" s="203">
        <f>SUM(I56:J56)</f>
        <v>0</v>
      </c>
      <c r="L56" s="27">
        <f>ROUND(IF($B56="a",K56*L$5,K56*L$6),0)</f>
        <v>0</v>
      </c>
      <c r="M56" s="25">
        <f>L56+K56</f>
        <v>0</v>
      </c>
      <c r="N56" s="25">
        <f>+H56+J56+L56</f>
        <v>0</v>
      </c>
      <c r="O56" s="25"/>
      <c r="P56" s="25">
        <f>M56+O56</f>
        <v>0</v>
      </c>
      <c r="Q56" s="26"/>
      <c r="R56" s="25">
        <f>O56+F56</f>
        <v>0</v>
      </c>
      <c r="S56" s="25">
        <f>ROUND($S$74*E56/E$71,0)</f>
        <v>0</v>
      </c>
      <c r="T56" s="25">
        <f>ROUND($T$74*F56/F$71,0)</f>
        <v>0</v>
      </c>
    </row>
    <row r="57" spans="2:20" ht="12.75">
      <c r="B57" s="3" t="s">
        <v>33</v>
      </c>
      <c r="C57" s="2" t="s">
        <v>325</v>
      </c>
      <c r="D57" s="22"/>
      <c r="E57" s="25">
        <f>ROUND('GasLabor$'!O62,0)</f>
        <v>0</v>
      </c>
      <c r="F57" s="25"/>
      <c r="G57" s="25">
        <f>F57+E57</f>
        <v>0</v>
      </c>
      <c r="H57" s="27">
        <f>ROUND(IF($B57="a",G57*H$5,G57*H$6),0)</f>
        <v>0</v>
      </c>
      <c r="I57" s="25">
        <f>H57+G57</f>
        <v>0</v>
      </c>
      <c r="J57" s="27">
        <f>ROUND(IF($B57="a",I57*J$5,I57*J$6),0)</f>
        <v>0</v>
      </c>
      <c r="K57" s="203">
        <f>SUM(I57:J57)</f>
        <v>0</v>
      </c>
      <c r="L57" s="27">
        <f>ROUND(IF($B57="a",K57*L$5,K57*L$6),0)</f>
        <v>0</v>
      </c>
      <c r="M57" s="25">
        <f>L57+K57</f>
        <v>0</v>
      </c>
      <c r="N57" s="25">
        <f>+H57+J57+L57</f>
        <v>0</v>
      </c>
      <c r="O57" s="25"/>
      <c r="P57" s="25">
        <f>M57+O57</f>
        <v>0</v>
      </c>
      <c r="Q57" s="26"/>
      <c r="R57" s="25">
        <f>O57+F57</f>
        <v>0</v>
      </c>
      <c r="S57" s="25">
        <f>ROUND($S$74*E57/E$71,0)</f>
        <v>0</v>
      </c>
      <c r="T57" s="25">
        <f>ROUND($T$74*F57/F$71,0)</f>
        <v>0</v>
      </c>
    </row>
    <row r="58" spans="3:20" ht="12.75">
      <c r="C58" s="21" t="s">
        <v>14</v>
      </c>
      <c r="E58" s="29">
        <f>SUM(E54:E57)</f>
        <v>61832</v>
      </c>
      <c r="F58" s="29">
        <f aca="true" t="shared" si="18" ref="F58:N58">SUM(F54:F57)</f>
        <v>0</v>
      </c>
      <c r="G58" s="29">
        <f t="shared" si="18"/>
        <v>61832</v>
      </c>
      <c r="H58" s="29">
        <f t="shared" si="18"/>
        <v>939</v>
      </c>
      <c r="I58" s="29">
        <f t="shared" si="18"/>
        <v>62771</v>
      </c>
      <c r="J58" s="29">
        <f t="shared" si="18"/>
        <v>2385</v>
      </c>
      <c r="K58" s="204">
        <f t="shared" si="18"/>
        <v>65156</v>
      </c>
      <c r="L58" s="29">
        <f>SUM(L54:L57)</f>
        <v>827</v>
      </c>
      <c r="M58" s="29">
        <f>SUM(M54:M57)</f>
        <v>65983</v>
      </c>
      <c r="N58" s="207">
        <f t="shared" si="18"/>
        <v>4151</v>
      </c>
      <c r="O58" s="29">
        <f>SUM(O54:O57)</f>
        <v>0</v>
      </c>
      <c r="P58" s="29">
        <f>SUM(P54:P57)</f>
        <v>65983</v>
      </c>
      <c r="Q58" s="35"/>
      <c r="R58" s="29">
        <f>SUM(R54:R57)</f>
        <v>0</v>
      </c>
      <c r="S58" s="207">
        <f>SUM(S54:S57)</f>
        <v>5569</v>
      </c>
      <c r="T58" s="207">
        <f>SUM(T54:T57)</f>
        <v>0</v>
      </c>
    </row>
    <row r="59" spans="5:20" ht="12.75">
      <c r="E59" s="30"/>
      <c r="F59" s="30"/>
      <c r="G59" s="30"/>
      <c r="H59" s="30"/>
      <c r="I59" s="30"/>
      <c r="J59" s="30"/>
      <c r="K59" s="205"/>
      <c r="L59" s="30"/>
      <c r="M59" s="30"/>
      <c r="N59" s="30"/>
      <c r="O59" s="30"/>
      <c r="P59" s="30"/>
      <c r="Q59" s="35"/>
      <c r="R59" s="30"/>
      <c r="S59" s="30"/>
      <c r="T59" s="30"/>
    </row>
    <row r="60" spans="3:20" ht="12.75">
      <c r="C60" s="21" t="s">
        <v>15</v>
      </c>
      <c r="E60" s="30"/>
      <c r="F60" s="30"/>
      <c r="G60" s="30"/>
      <c r="H60" s="30"/>
      <c r="I60" s="30"/>
      <c r="J60" s="30"/>
      <c r="K60" s="205"/>
      <c r="L60" s="30"/>
      <c r="M60" s="30"/>
      <c r="N60" s="30"/>
      <c r="O60" s="30"/>
      <c r="P60" s="30"/>
      <c r="Q60" s="35"/>
      <c r="R60" s="30"/>
      <c r="S60" s="30"/>
      <c r="T60" s="30"/>
    </row>
    <row r="61" spans="2:20" ht="12.75">
      <c r="B61" s="3" t="s">
        <v>33</v>
      </c>
      <c r="C61" s="2" t="s">
        <v>326</v>
      </c>
      <c r="D61" s="22"/>
      <c r="E61" s="25">
        <f>ROUND('GasLabor$'!O66,0)</f>
        <v>929015</v>
      </c>
      <c r="F61" s="25">
        <f>-RemoveExec!I17</f>
        <v>-173121</v>
      </c>
      <c r="G61" s="25">
        <f aca="true" t="shared" si="19" ref="G61:G68">F61+E61</f>
        <v>755894</v>
      </c>
      <c r="H61" s="27">
        <f aca="true" t="shared" si="20" ref="H61:H68">ROUND(IF($B61="a",G61*H$5,G61*H$6),0)</f>
        <v>11482</v>
      </c>
      <c r="I61" s="25">
        <f aca="true" t="shared" si="21" ref="I61:I68">H61+G61</f>
        <v>767376</v>
      </c>
      <c r="J61" s="27">
        <f aca="true" t="shared" si="22" ref="J61:J68">ROUND(IF($B61="a",I61*J$5,I61*J$6),0)</f>
        <v>29160</v>
      </c>
      <c r="K61" s="203">
        <f>SUM(I61:J61)</f>
        <v>796536</v>
      </c>
      <c r="L61" s="27">
        <f aca="true" t="shared" si="23" ref="L61:L68">ROUND(IF($B61="a",K61*L$5,K61*L$6),0)</f>
        <v>10108</v>
      </c>
      <c r="M61" s="25">
        <f aca="true" t="shared" si="24" ref="M61:M68">L61+K61</f>
        <v>806644</v>
      </c>
      <c r="N61" s="25">
        <f aca="true" t="shared" si="25" ref="N61:N68">+H61+J61+L61</f>
        <v>50750</v>
      </c>
      <c r="O61" s="25">
        <f>'Pro Forma Spread'!J35</f>
        <v>203753</v>
      </c>
      <c r="P61" s="25">
        <f aca="true" t="shared" si="26" ref="P61:P68">M61+O61</f>
        <v>1010397</v>
      </c>
      <c r="Q61" s="26"/>
      <c r="R61" s="25">
        <f aca="true" t="shared" si="27" ref="R61:R68">O61+F61</f>
        <v>30632</v>
      </c>
      <c r="S61" s="25">
        <f>ROUND($S$74*E61/E$71,0)-1</f>
        <v>83680</v>
      </c>
      <c r="T61" s="25">
        <f>ROUND($T$74*F61/F$71,0)</f>
        <v>126505</v>
      </c>
    </row>
    <row r="62" spans="2:20" ht="12.75">
      <c r="B62" s="44"/>
      <c r="C62" s="43">
        <v>921</v>
      </c>
      <c r="D62" s="22"/>
      <c r="E62" s="25">
        <f>ROUND('GasLabor$'!O67,0)</f>
        <v>1608</v>
      </c>
      <c r="F62" s="25"/>
      <c r="G62" s="25">
        <f t="shared" si="19"/>
        <v>1608</v>
      </c>
      <c r="H62" s="27">
        <f t="shared" si="20"/>
        <v>27</v>
      </c>
      <c r="I62" s="25">
        <f t="shared" si="21"/>
        <v>1635</v>
      </c>
      <c r="J62" s="27">
        <f t="shared" si="22"/>
        <v>65</v>
      </c>
      <c r="K62" s="203">
        <f aca="true" t="shared" si="28" ref="K62:K68">SUM(I62:J62)</f>
        <v>1700</v>
      </c>
      <c r="L62" s="27">
        <f t="shared" si="23"/>
        <v>17</v>
      </c>
      <c r="M62" s="25">
        <f t="shared" si="24"/>
        <v>1717</v>
      </c>
      <c r="N62" s="25">
        <f t="shared" si="25"/>
        <v>109</v>
      </c>
      <c r="O62" s="25">
        <f>'Pro Forma Spread'!J36</f>
        <v>0</v>
      </c>
      <c r="P62" s="25">
        <f t="shared" si="26"/>
        <v>1717</v>
      </c>
      <c r="Q62" s="26"/>
      <c r="R62" s="25">
        <f t="shared" si="27"/>
        <v>0</v>
      </c>
      <c r="S62" s="25">
        <f aca="true" t="shared" si="29" ref="S62:S68">ROUND($S$74*E62/E$71,0)</f>
        <v>145</v>
      </c>
      <c r="T62" s="25">
        <f>ROUND($T$74*F62/F$71,0)</f>
        <v>0</v>
      </c>
    </row>
    <row r="63" spans="2:20" ht="12.75">
      <c r="B63" s="3" t="s">
        <v>33</v>
      </c>
      <c r="C63" s="2" t="s">
        <v>327</v>
      </c>
      <c r="D63" s="22"/>
      <c r="E63" s="25">
        <f>ROUND('GasLabor$'!O68,0)</f>
        <v>177</v>
      </c>
      <c r="F63" s="25"/>
      <c r="G63" s="25">
        <f t="shared" si="19"/>
        <v>177</v>
      </c>
      <c r="H63" s="27">
        <f t="shared" si="20"/>
        <v>3</v>
      </c>
      <c r="I63" s="25">
        <f t="shared" si="21"/>
        <v>180</v>
      </c>
      <c r="J63" s="27">
        <f t="shared" si="22"/>
        <v>7</v>
      </c>
      <c r="K63" s="203">
        <f t="shared" si="28"/>
        <v>187</v>
      </c>
      <c r="L63" s="27">
        <f t="shared" si="23"/>
        <v>2</v>
      </c>
      <c r="M63" s="25">
        <f t="shared" si="24"/>
        <v>189</v>
      </c>
      <c r="N63" s="25">
        <f t="shared" si="25"/>
        <v>12</v>
      </c>
      <c r="O63" s="25"/>
      <c r="P63" s="25">
        <f t="shared" si="26"/>
        <v>189</v>
      </c>
      <c r="Q63" s="26"/>
      <c r="R63" s="25">
        <f t="shared" si="27"/>
        <v>0</v>
      </c>
      <c r="S63" s="25">
        <f t="shared" si="29"/>
        <v>16</v>
      </c>
      <c r="T63" s="25">
        <f aca="true" t="shared" si="30" ref="T63:T68">ROUND($T$74*F63/F$71,0)</f>
        <v>0</v>
      </c>
    </row>
    <row r="64" spans="2:20" ht="12.75">
      <c r="B64" s="3" t="s">
        <v>33</v>
      </c>
      <c r="C64" s="2" t="s">
        <v>328</v>
      </c>
      <c r="D64" s="22"/>
      <c r="E64" s="25">
        <f>ROUND('GasLabor$'!O69,0)</f>
        <v>0</v>
      </c>
      <c r="F64" s="25"/>
      <c r="G64" s="25">
        <f t="shared" si="19"/>
        <v>0</v>
      </c>
      <c r="H64" s="27">
        <f t="shared" si="20"/>
        <v>0</v>
      </c>
      <c r="I64" s="25">
        <f t="shared" si="21"/>
        <v>0</v>
      </c>
      <c r="J64" s="27">
        <f t="shared" si="22"/>
        <v>0</v>
      </c>
      <c r="K64" s="203">
        <f t="shared" si="28"/>
        <v>0</v>
      </c>
      <c r="L64" s="27">
        <f t="shared" si="23"/>
        <v>0</v>
      </c>
      <c r="M64" s="25">
        <f t="shared" si="24"/>
        <v>0</v>
      </c>
      <c r="N64" s="25">
        <f t="shared" si="25"/>
        <v>0</v>
      </c>
      <c r="O64" s="25"/>
      <c r="P64" s="25">
        <f t="shared" si="26"/>
        <v>0</v>
      </c>
      <c r="Q64" s="26"/>
      <c r="R64" s="25">
        <f t="shared" si="27"/>
        <v>0</v>
      </c>
      <c r="S64" s="25">
        <f t="shared" si="29"/>
        <v>0</v>
      </c>
      <c r="T64" s="25">
        <f t="shared" si="30"/>
        <v>0</v>
      </c>
    </row>
    <row r="65" spans="2:20" ht="12.75">
      <c r="B65" s="3" t="s">
        <v>33</v>
      </c>
      <c r="C65" s="2" t="s">
        <v>329</v>
      </c>
      <c r="D65" s="22"/>
      <c r="E65" s="25">
        <f>ROUND('GasLabor$'!O70,0)</f>
        <v>15533</v>
      </c>
      <c r="F65" s="25"/>
      <c r="G65" s="25">
        <f t="shared" si="19"/>
        <v>15533</v>
      </c>
      <c r="H65" s="27">
        <f t="shared" si="20"/>
        <v>236</v>
      </c>
      <c r="I65" s="25">
        <f t="shared" si="21"/>
        <v>15769</v>
      </c>
      <c r="J65" s="27">
        <f t="shared" si="22"/>
        <v>599</v>
      </c>
      <c r="K65" s="203">
        <f t="shared" si="28"/>
        <v>16368</v>
      </c>
      <c r="L65" s="27">
        <f t="shared" si="23"/>
        <v>208</v>
      </c>
      <c r="M65" s="25">
        <f t="shared" si="24"/>
        <v>16576</v>
      </c>
      <c r="N65" s="25">
        <f t="shared" si="25"/>
        <v>1043</v>
      </c>
      <c r="O65" s="25"/>
      <c r="P65" s="25">
        <f t="shared" si="26"/>
        <v>16576</v>
      </c>
      <c r="Q65" s="26"/>
      <c r="R65" s="25">
        <f t="shared" si="27"/>
        <v>0</v>
      </c>
      <c r="S65" s="25">
        <f t="shared" si="29"/>
        <v>1399</v>
      </c>
      <c r="T65" s="25">
        <f t="shared" si="30"/>
        <v>0</v>
      </c>
    </row>
    <row r="66" spans="2:20" ht="12.75">
      <c r="B66" s="3" t="s">
        <v>33</v>
      </c>
      <c r="C66" s="2" t="s">
        <v>330</v>
      </c>
      <c r="D66" s="22"/>
      <c r="E66" s="25">
        <f>ROUND('GasLabor$'!O72,0)</f>
        <v>104131</v>
      </c>
      <c r="F66" s="25"/>
      <c r="G66" s="25">
        <f t="shared" si="19"/>
        <v>104131</v>
      </c>
      <c r="H66" s="27">
        <f t="shared" si="20"/>
        <v>1582</v>
      </c>
      <c r="I66" s="25">
        <f t="shared" si="21"/>
        <v>105713</v>
      </c>
      <c r="J66" s="27">
        <f t="shared" si="22"/>
        <v>4017</v>
      </c>
      <c r="K66" s="203">
        <f t="shared" si="28"/>
        <v>109730</v>
      </c>
      <c r="L66" s="27">
        <f t="shared" si="23"/>
        <v>1392</v>
      </c>
      <c r="M66" s="25">
        <f t="shared" si="24"/>
        <v>111122</v>
      </c>
      <c r="N66" s="25">
        <f t="shared" si="25"/>
        <v>6991</v>
      </c>
      <c r="O66" s="25"/>
      <c r="P66" s="25">
        <f t="shared" si="26"/>
        <v>111122</v>
      </c>
      <c r="Q66" s="26"/>
      <c r="R66" s="25">
        <f t="shared" si="27"/>
        <v>0</v>
      </c>
      <c r="S66" s="25">
        <f t="shared" si="29"/>
        <v>9380</v>
      </c>
      <c r="T66" s="25">
        <f t="shared" si="30"/>
        <v>0</v>
      </c>
    </row>
    <row r="67" spans="2:20" ht="12.75">
      <c r="B67" s="3" t="s">
        <v>33</v>
      </c>
      <c r="C67" s="2" t="s">
        <v>331</v>
      </c>
      <c r="D67" s="22"/>
      <c r="E67" s="25">
        <f>ROUND('GasLabor$'!O73,0)</f>
        <v>26203</v>
      </c>
      <c r="F67" s="25">
        <f>-RemoveExec!I18</f>
        <v>0</v>
      </c>
      <c r="G67" s="25">
        <f t="shared" si="19"/>
        <v>26203</v>
      </c>
      <c r="H67" s="27">
        <f t="shared" si="20"/>
        <v>398</v>
      </c>
      <c r="I67" s="25">
        <f t="shared" si="21"/>
        <v>26601</v>
      </c>
      <c r="J67" s="27">
        <f t="shared" si="22"/>
        <v>1011</v>
      </c>
      <c r="K67" s="203">
        <f t="shared" si="28"/>
        <v>27612</v>
      </c>
      <c r="L67" s="27">
        <f t="shared" si="23"/>
        <v>350</v>
      </c>
      <c r="M67" s="25">
        <f t="shared" si="24"/>
        <v>27962</v>
      </c>
      <c r="N67" s="25">
        <f t="shared" si="25"/>
        <v>1759</v>
      </c>
      <c r="O67" s="25"/>
      <c r="P67" s="25">
        <f t="shared" si="26"/>
        <v>27962</v>
      </c>
      <c r="Q67" s="26"/>
      <c r="R67" s="25">
        <f t="shared" si="27"/>
        <v>0</v>
      </c>
      <c r="S67" s="25">
        <f t="shared" si="29"/>
        <v>2360</v>
      </c>
      <c r="T67" s="25">
        <f t="shared" si="30"/>
        <v>0</v>
      </c>
    </row>
    <row r="68" spans="3:20" ht="12.75">
      <c r="C68" s="2" t="s">
        <v>332</v>
      </c>
      <c r="D68" s="22"/>
      <c r="E68" s="25">
        <f>ROUND('GasLabor$'!O75,0)</f>
        <v>97957</v>
      </c>
      <c r="F68" s="25"/>
      <c r="G68" s="25">
        <f t="shared" si="19"/>
        <v>97957</v>
      </c>
      <c r="H68" s="27">
        <f t="shared" si="20"/>
        <v>1663</v>
      </c>
      <c r="I68" s="25">
        <f t="shared" si="21"/>
        <v>99620</v>
      </c>
      <c r="J68" s="27">
        <f t="shared" si="22"/>
        <v>3985</v>
      </c>
      <c r="K68" s="203">
        <f t="shared" si="28"/>
        <v>103605</v>
      </c>
      <c r="L68" s="27">
        <f t="shared" si="23"/>
        <v>1035</v>
      </c>
      <c r="M68" s="25">
        <f t="shared" si="24"/>
        <v>104640</v>
      </c>
      <c r="N68" s="25">
        <f t="shared" si="25"/>
        <v>6683</v>
      </c>
      <c r="O68" s="25"/>
      <c r="P68" s="25">
        <f t="shared" si="26"/>
        <v>104640</v>
      </c>
      <c r="Q68" s="26"/>
      <c r="R68" s="25">
        <f t="shared" si="27"/>
        <v>0</v>
      </c>
      <c r="S68" s="25">
        <f t="shared" si="29"/>
        <v>8823</v>
      </c>
      <c r="T68" s="25">
        <f t="shared" si="30"/>
        <v>0</v>
      </c>
    </row>
    <row r="69" spans="3:20" ht="12.75">
      <c r="C69" s="21" t="s">
        <v>16</v>
      </c>
      <c r="E69" s="29">
        <f aca="true" t="shared" si="31" ref="E69:N69">SUM(E61:E68)</f>
        <v>1174624</v>
      </c>
      <c r="F69" s="29">
        <f t="shared" si="31"/>
        <v>-173121</v>
      </c>
      <c r="G69" s="29">
        <f t="shared" si="31"/>
        <v>1001503</v>
      </c>
      <c r="H69" s="29">
        <f t="shared" si="31"/>
        <v>15391</v>
      </c>
      <c r="I69" s="29">
        <f t="shared" si="31"/>
        <v>1016894</v>
      </c>
      <c r="J69" s="29">
        <f>SUM(J61:J68)</f>
        <v>38844</v>
      </c>
      <c r="K69" s="204">
        <f>SUM(K61:K68)</f>
        <v>1055738</v>
      </c>
      <c r="L69" s="29">
        <f>SUM(L61:L68)</f>
        <v>13112</v>
      </c>
      <c r="M69" s="29">
        <f>SUM(M61:M68)</f>
        <v>1068850</v>
      </c>
      <c r="N69" s="207">
        <f t="shared" si="31"/>
        <v>67347</v>
      </c>
      <c r="O69" s="29">
        <f>SUM(O61:O68)</f>
        <v>203753</v>
      </c>
      <c r="P69" s="29">
        <f>SUM(P61:P68)</f>
        <v>1272603</v>
      </c>
      <c r="Q69" s="35"/>
      <c r="R69" s="29">
        <f>SUM(R61:R68)</f>
        <v>30632</v>
      </c>
      <c r="S69" s="207">
        <f>SUM(S61:S68)</f>
        <v>105803</v>
      </c>
      <c r="T69" s="207">
        <f>SUM(T61:T68)</f>
        <v>126505</v>
      </c>
    </row>
    <row r="70" spans="5:20" ht="12.75">
      <c r="E70" s="30"/>
      <c r="F70" s="30"/>
      <c r="G70" s="30"/>
      <c r="H70" s="30"/>
      <c r="I70" s="30"/>
      <c r="J70" s="30"/>
      <c r="K70" s="205"/>
      <c r="L70" s="30"/>
      <c r="M70" s="30"/>
      <c r="N70" s="30"/>
      <c r="O70" s="30"/>
      <c r="P70" s="30"/>
      <c r="Q70" s="35"/>
      <c r="R70" s="30"/>
      <c r="S70" s="30"/>
      <c r="T70" s="30"/>
    </row>
    <row r="71" spans="3:20" ht="12.75">
      <c r="C71" s="21" t="s">
        <v>180</v>
      </c>
      <c r="E71" s="29">
        <f aca="true" t="shared" si="32" ref="E71:N71">E12+E17+E38+E45+E51+E58+E69</f>
        <v>4290510</v>
      </c>
      <c r="F71" s="29">
        <f t="shared" si="32"/>
        <v>-186321</v>
      </c>
      <c r="G71" s="207">
        <f t="shared" si="32"/>
        <v>4104189</v>
      </c>
      <c r="H71" s="29">
        <f t="shared" si="32"/>
        <v>66085</v>
      </c>
      <c r="I71" s="29">
        <f t="shared" si="32"/>
        <v>4170274</v>
      </c>
      <c r="J71" s="29">
        <f t="shared" si="32"/>
        <v>162723</v>
      </c>
      <c r="K71" s="204">
        <f t="shared" si="32"/>
        <v>4332997</v>
      </c>
      <c r="L71" s="29">
        <f>L12+L17+L38+L45+L51+L58+L69</f>
        <v>49010</v>
      </c>
      <c r="M71" s="207">
        <f>M12+M17+M38+M45+M51+M58+M69</f>
        <v>4382007</v>
      </c>
      <c r="N71" s="207">
        <f t="shared" si="32"/>
        <v>277818</v>
      </c>
      <c r="O71" s="29">
        <f>O12+O17+O38+O45+O51+O58+O69</f>
        <v>218372</v>
      </c>
      <c r="P71" s="29">
        <f>P12+P17+P38+P45+P51+P58+P69</f>
        <v>4600379</v>
      </c>
      <c r="Q71" s="35"/>
      <c r="R71" s="29">
        <f>R12+R17+R38+R45+R51+R58+R69</f>
        <v>32051</v>
      </c>
      <c r="S71" s="207">
        <f>S12+S17+S38+S45+S51+S58+S69</f>
        <v>386463</v>
      </c>
      <c r="T71" s="207">
        <f>T12+T17+T38+T45+T51+T58+T69</f>
        <v>136151</v>
      </c>
    </row>
    <row r="72" spans="5:20" ht="12.75">
      <c r="E72" s="30"/>
      <c r="F72" s="30"/>
      <c r="G72" s="30"/>
      <c r="H72" s="30"/>
      <c r="I72" s="30"/>
      <c r="J72" s="30"/>
      <c r="K72" s="205"/>
      <c r="L72" s="30"/>
      <c r="M72" s="30"/>
      <c r="N72" s="30"/>
      <c r="O72" s="30"/>
      <c r="P72" s="30"/>
      <c r="Q72" s="35"/>
      <c r="R72" s="30"/>
      <c r="S72" s="30"/>
      <c r="T72" s="30"/>
    </row>
    <row r="73" spans="5:20" ht="12.75">
      <c r="E73" s="26">
        <f>'GasLabor$'!O78</f>
        <v>4290510</v>
      </c>
      <c r="F73" s="176">
        <f>RemoveExec!I22</f>
        <v>186321</v>
      </c>
      <c r="G73" s="26"/>
      <c r="H73" s="26"/>
      <c r="I73" s="26"/>
      <c r="J73" s="26"/>
      <c r="K73" s="206"/>
      <c r="L73" s="26"/>
      <c r="M73" s="26"/>
      <c r="N73" s="26"/>
      <c r="O73" s="26"/>
      <c r="P73" s="26"/>
      <c r="Q73" s="26"/>
      <c r="R73" s="26"/>
      <c r="S73" s="26"/>
      <c r="T73" s="26"/>
    </row>
    <row r="74" spans="4:20" ht="12.75">
      <c r="D74" s="16"/>
      <c r="E74" s="26"/>
      <c r="F74" s="176"/>
      <c r="G74" s="26"/>
      <c r="H74" s="26"/>
      <c r="I74" s="26"/>
      <c r="J74" s="26"/>
      <c r="K74" s="206"/>
      <c r="L74" s="26"/>
      <c r="M74" s="26"/>
      <c r="N74" s="26">
        <f>L71+J71+H71</f>
        <v>277818</v>
      </c>
      <c r="O74" s="26">
        <f>'Pro Forma Spread'!J38</f>
        <v>218372</v>
      </c>
      <c r="P74" s="26">
        <f>M71+O71</f>
        <v>4600379</v>
      </c>
      <c r="Q74" s="26"/>
      <c r="R74" s="26">
        <f>O71+F71</f>
        <v>32051</v>
      </c>
      <c r="S74" s="182">
        <f>Pension!G27</f>
        <v>386466</v>
      </c>
      <c r="T74" s="182">
        <f>Pension!H27</f>
        <v>136151</v>
      </c>
    </row>
    <row r="75" spans="7:13" ht="12.75">
      <c r="G75" s="26"/>
      <c r="H75" s="65"/>
      <c r="I75" s="26"/>
      <c r="J75" s="65"/>
      <c r="K75" s="206"/>
      <c r="L75" s="65"/>
      <c r="M75" s="26"/>
    </row>
    <row r="76" spans="6:18" ht="12.75">
      <c r="F76" s="26"/>
      <c r="G76" s="26"/>
      <c r="H76" s="65"/>
      <c r="I76" s="26"/>
      <c r="J76" s="65"/>
      <c r="K76" s="206"/>
      <c r="L76" s="65"/>
      <c r="M76" s="26"/>
      <c r="N76" s="26"/>
      <c r="O76" s="26"/>
      <c r="P76" s="26"/>
      <c r="Q76" s="26"/>
      <c r="R76" s="26"/>
    </row>
    <row r="77" spans="5:20" ht="12.75">
      <c r="E77" s="26"/>
      <c r="F77" s="26"/>
      <c r="G77" s="26"/>
      <c r="H77" s="65"/>
      <c r="I77" s="26"/>
      <c r="J77" s="65"/>
      <c r="K77" s="206"/>
      <c r="L77" s="65"/>
      <c r="M77" s="26"/>
      <c r="N77" s="26"/>
      <c r="O77" s="26"/>
      <c r="P77" s="26"/>
      <c r="Q77" s="26"/>
      <c r="R77" s="26"/>
      <c r="S77" s="26"/>
      <c r="T77" s="26"/>
    </row>
    <row r="78" spans="5:20" ht="12.75">
      <c r="E78" s="26"/>
      <c r="F78" s="26"/>
      <c r="G78" s="26"/>
      <c r="H78" s="65"/>
      <c r="I78" s="26"/>
      <c r="J78" s="65"/>
      <c r="K78" s="206"/>
      <c r="L78" s="65"/>
      <c r="M78" s="26"/>
      <c r="N78" s="26"/>
      <c r="O78" s="26"/>
      <c r="P78" s="26"/>
      <c r="Q78" s="26"/>
      <c r="R78" s="26"/>
      <c r="S78" s="26"/>
      <c r="T78" s="26"/>
    </row>
    <row r="79" spans="5:20" ht="12.75">
      <c r="E79" s="26"/>
      <c r="F79" s="26"/>
      <c r="G79" s="26"/>
      <c r="H79" s="66"/>
      <c r="I79" s="26"/>
      <c r="J79" s="66"/>
      <c r="K79" s="206"/>
      <c r="L79" s="66"/>
      <c r="M79" s="26"/>
      <c r="N79" s="26"/>
      <c r="O79" s="26"/>
      <c r="P79" s="26"/>
      <c r="Q79" s="26"/>
      <c r="R79" s="26"/>
      <c r="S79" s="26"/>
      <c r="T79" s="26"/>
    </row>
    <row r="80" spans="5:20" ht="12.75">
      <c r="E80" s="26"/>
      <c r="F80" s="26"/>
      <c r="G80" s="26"/>
      <c r="H80" s="65"/>
      <c r="I80" s="26"/>
      <c r="J80" s="65"/>
      <c r="K80" s="206"/>
      <c r="L80" s="65"/>
      <c r="M80" s="26"/>
      <c r="N80" s="26"/>
      <c r="O80" s="26"/>
      <c r="P80" s="26"/>
      <c r="Q80" s="26"/>
      <c r="R80" s="26"/>
      <c r="S80" s="26"/>
      <c r="T80" s="26"/>
    </row>
    <row r="81" spans="5:20" ht="12.75">
      <c r="E81" s="26"/>
      <c r="F81" s="26"/>
      <c r="G81" s="26"/>
      <c r="H81" s="65"/>
      <c r="I81" s="26"/>
      <c r="J81" s="65"/>
      <c r="K81" s="206"/>
      <c r="L81" s="65"/>
      <c r="M81" s="26"/>
      <c r="N81" s="26"/>
      <c r="O81" s="26"/>
      <c r="P81" s="26"/>
      <c r="Q81" s="26"/>
      <c r="R81" s="26"/>
      <c r="S81" s="26"/>
      <c r="T81" s="26"/>
    </row>
    <row r="82" spans="9:20" ht="12.75">
      <c r="I82" s="26"/>
      <c r="J82" s="65"/>
      <c r="K82" s="206"/>
      <c r="L82" s="65"/>
      <c r="M82" s="26"/>
      <c r="N82" s="26"/>
      <c r="O82" s="26"/>
      <c r="P82" s="26"/>
      <c r="Q82" s="26"/>
      <c r="R82" s="26"/>
      <c r="S82" s="26"/>
      <c r="T82" s="26"/>
    </row>
    <row r="83" spans="9:20" ht="12.75">
      <c r="I83" s="26"/>
      <c r="J83" s="65"/>
      <c r="K83" s="206"/>
      <c r="L83" s="65"/>
      <c r="M83" s="26"/>
      <c r="N83" s="26"/>
      <c r="O83" s="26"/>
      <c r="P83" s="26"/>
      <c r="Q83" s="26"/>
      <c r="R83" s="26"/>
      <c r="S83" s="26"/>
      <c r="T83" s="26"/>
    </row>
    <row r="84" spans="9:20" ht="12.75">
      <c r="I84" s="26"/>
      <c r="J84" s="65"/>
      <c r="K84" s="206"/>
      <c r="L84" s="65"/>
      <c r="M84" s="26"/>
      <c r="N84" s="26"/>
      <c r="O84" s="26"/>
      <c r="P84" s="26"/>
      <c r="Q84" s="26"/>
      <c r="R84" s="26"/>
      <c r="S84" s="26"/>
      <c r="T84" s="26"/>
    </row>
    <row r="85" spans="9:20" ht="12.75">
      <c r="I85" s="26"/>
      <c r="J85" s="65"/>
      <c r="K85" s="206"/>
      <c r="L85" s="65"/>
      <c r="M85" s="26"/>
      <c r="N85" s="26"/>
      <c r="O85" s="26"/>
      <c r="P85" s="26"/>
      <c r="Q85" s="26"/>
      <c r="R85" s="26"/>
      <c r="S85" s="26"/>
      <c r="T85" s="26"/>
    </row>
    <row r="86" spans="9:20" ht="12.75">
      <c r="I86" s="26"/>
      <c r="J86" s="65"/>
      <c r="K86" s="206"/>
      <c r="L86" s="65"/>
      <c r="M86" s="26"/>
      <c r="N86" s="26"/>
      <c r="O86" s="26"/>
      <c r="P86" s="26"/>
      <c r="Q86" s="26"/>
      <c r="R86" s="26"/>
      <c r="S86" s="26"/>
      <c r="T86" s="26"/>
    </row>
    <row r="87" spans="9:20" ht="12.75">
      <c r="I87" s="26"/>
      <c r="J87" s="65"/>
      <c r="K87" s="206"/>
      <c r="L87" s="65"/>
      <c r="M87" s="26"/>
      <c r="N87" s="26"/>
      <c r="O87" s="26"/>
      <c r="P87" s="26"/>
      <c r="Q87" s="26"/>
      <c r="R87" s="26"/>
      <c r="S87" s="26"/>
      <c r="T87" s="26"/>
    </row>
    <row r="88" spans="9:20" ht="12.75">
      <c r="I88" s="26"/>
      <c r="J88" s="26"/>
      <c r="K88" s="206"/>
      <c r="L88" s="26"/>
      <c r="M88" s="26"/>
      <c r="N88" s="26"/>
      <c r="O88" s="26"/>
      <c r="P88" s="26"/>
      <c r="Q88" s="26"/>
      <c r="R88" s="26"/>
      <c r="S88" s="26"/>
      <c r="T88" s="26"/>
    </row>
    <row r="89" spans="9:20" ht="12.75">
      <c r="I89" s="26"/>
      <c r="J89" s="26"/>
      <c r="K89" s="206"/>
      <c r="L89" s="26"/>
      <c r="M89" s="26"/>
      <c r="N89" s="26"/>
      <c r="O89" s="26"/>
      <c r="P89" s="26"/>
      <c r="Q89" s="26"/>
      <c r="R89" s="26"/>
      <c r="S89" s="26"/>
      <c r="T89" s="26"/>
    </row>
    <row r="90" spans="9:20" ht="12.75">
      <c r="I90" s="26"/>
      <c r="J90" s="26"/>
      <c r="K90" s="206"/>
      <c r="L90" s="26"/>
      <c r="M90" s="26"/>
      <c r="N90" s="26"/>
      <c r="O90" s="26"/>
      <c r="P90" s="26"/>
      <c r="Q90" s="26"/>
      <c r="R90" s="26"/>
      <c r="S90" s="26"/>
      <c r="T90" s="26"/>
    </row>
    <row r="91" spans="9:20" ht="12.75">
      <c r="I91" s="26"/>
      <c r="J91" s="66"/>
      <c r="K91" s="206"/>
      <c r="L91" s="66"/>
      <c r="M91" s="26"/>
      <c r="N91" s="26"/>
      <c r="O91" s="26"/>
      <c r="P91" s="26"/>
      <c r="Q91" s="26"/>
      <c r="R91" s="26"/>
      <c r="S91" s="26"/>
      <c r="T91" s="26"/>
    </row>
    <row r="92" spans="9:20" ht="12.75">
      <c r="I92" s="26"/>
      <c r="J92" s="65"/>
      <c r="K92" s="206"/>
      <c r="L92" s="65"/>
      <c r="M92" s="26"/>
      <c r="N92" s="26"/>
      <c r="O92" s="26"/>
      <c r="P92" s="26"/>
      <c r="Q92" s="26"/>
      <c r="R92" s="26"/>
      <c r="S92" s="26"/>
      <c r="T92" s="26"/>
    </row>
    <row r="93" spans="9:20" ht="12.75">
      <c r="I93" s="26"/>
      <c r="J93" s="66"/>
      <c r="K93" s="206"/>
      <c r="L93" s="66"/>
      <c r="M93" s="26"/>
      <c r="N93" s="26"/>
      <c r="O93" s="26"/>
      <c r="P93" s="26"/>
      <c r="Q93" s="26"/>
      <c r="R93" s="26"/>
      <c r="S93" s="26"/>
      <c r="T93" s="26"/>
    </row>
    <row r="94" spans="9:20" ht="12.75">
      <c r="I94" s="26"/>
      <c r="J94" s="66"/>
      <c r="K94" s="206"/>
      <c r="L94" s="66"/>
      <c r="M94" s="26"/>
      <c r="N94" s="26"/>
      <c r="O94" s="26"/>
      <c r="P94" s="26"/>
      <c r="Q94" s="26"/>
      <c r="R94" s="26"/>
      <c r="S94" s="26"/>
      <c r="T94" s="26"/>
    </row>
    <row r="95" spans="9:20" ht="12.75">
      <c r="I95" s="26"/>
      <c r="J95" s="26"/>
      <c r="K95" s="206"/>
      <c r="L95" s="26"/>
      <c r="M95" s="26"/>
      <c r="N95" s="26"/>
      <c r="O95" s="26"/>
      <c r="P95" s="26"/>
      <c r="Q95" s="26"/>
      <c r="R95" s="26"/>
      <c r="S95" s="26"/>
      <c r="T95" s="26"/>
    </row>
    <row r="96" spans="9:20" ht="12.75">
      <c r="I96" s="26"/>
      <c r="J96" s="26"/>
      <c r="K96" s="206"/>
      <c r="L96" s="26"/>
      <c r="M96" s="26"/>
      <c r="N96" s="26"/>
      <c r="O96" s="26"/>
      <c r="P96" s="26"/>
      <c r="Q96" s="26"/>
      <c r="R96" s="26"/>
      <c r="S96" s="26"/>
      <c r="T96" s="26"/>
    </row>
    <row r="97" spans="9:20" ht="12.75">
      <c r="I97" s="26"/>
      <c r="J97" s="26"/>
      <c r="K97" s="206"/>
      <c r="L97" s="26"/>
      <c r="M97" s="26"/>
      <c r="N97" s="26"/>
      <c r="O97" s="26"/>
      <c r="P97" s="26"/>
      <c r="Q97" s="26"/>
      <c r="R97" s="26"/>
      <c r="S97" s="26"/>
      <c r="T97" s="26"/>
    </row>
    <row r="98" spans="9:20" ht="12.75">
      <c r="I98" s="26"/>
      <c r="J98" s="66"/>
      <c r="K98" s="206"/>
      <c r="L98" s="66"/>
      <c r="M98" s="26"/>
      <c r="N98" s="26"/>
      <c r="O98" s="26"/>
      <c r="P98" s="26"/>
      <c r="Q98" s="26"/>
      <c r="R98" s="26"/>
      <c r="S98" s="26"/>
      <c r="T98" s="26"/>
    </row>
    <row r="99" spans="9:20" ht="12.75">
      <c r="I99" s="26"/>
      <c r="J99" s="66"/>
      <c r="K99" s="206"/>
      <c r="L99" s="66"/>
      <c r="M99" s="26"/>
      <c r="N99" s="26"/>
      <c r="O99" s="26"/>
      <c r="P99" s="26"/>
      <c r="Q99" s="26"/>
      <c r="R99" s="26"/>
      <c r="S99" s="26"/>
      <c r="T99" s="26"/>
    </row>
    <row r="100" spans="9:20" ht="12.75">
      <c r="I100" s="26"/>
      <c r="J100" s="66"/>
      <c r="K100" s="206"/>
      <c r="L100" s="66"/>
      <c r="M100" s="26"/>
      <c r="N100" s="26"/>
      <c r="O100" s="26"/>
      <c r="P100" s="26"/>
      <c r="Q100" s="26"/>
      <c r="R100" s="26"/>
      <c r="S100" s="26"/>
      <c r="T100" s="26"/>
    </row>
    <row r="101" spans="9:20" ht="12.75">
      <c r="I101" s="26"/>
      <c r="J101" s="66"/>
      <c r="K101" s="206"/>
      <c r="L101" s="66"/>
      <c r="M101" s="26"/>
      <c r="N101" s="26"/>
      <c r="O101" s="26"/>
      <c r="P101" s="26"/>
      <c r="Q101" s="26"/>
      <c r="R101" s="26"/>
      <c r="S101" s="26"/>
      <c r="T101" s="26"/>
    </row>
    <row r="102" spans="9:20" ht="12.75">
      <c r="I102" s="26"/>
      <c r="J102" s="26"/>
      <c r="K102" s="20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5:20" ht="12.75">
      <c r="E103" s="26"/>
      <c r="F103" s="26"/>
      <c r="G103" s="26"/>
      <c r="H103" s="26"/>
      <c r="I103" s="26"/>
      <c r="J103" s="26"/>
      <c r="K103" s="20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5:20" ht="12.75">
      <c r="E104" s="26"/>
      <c r="F104" s="26"/>
      <c r="G104" s="26"/>
      <c r="H104" s="26"/>
      <c r="I104" s="26"/>
      <c r="J104" s="26"/>
      <c r="K104" s="20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5:20" ht="12.75">
      <c r="E105" s="26"/>
      <c r="F105" s="26"/>
      <c r="G105" s="26"/>
      <c r="H105" s="66"/>
      <c r="I105" s="26"/>
      <c r="J105" s="66"/>
      <c r="K105" s="206"/>
      <c r="L105" s="66"/>
      <c r="M105" s="26"/>
      <c r="N105" s="26"/>
      <c r="O105" s="26"/>
      <c r="P105" s="26"/>
      <c r="Q105" s="26"/>
      <c r="R105" s="26"/>
      <c r="S105" s="26"/>
      <c r="T105" s="26"/>
    </row>
    <row r="106" spans="5:20" ht="12.75">
      <c r="E106" s="26"/>
      <c r="F106" s="26"/>
      <c r="G106" s="26"/>
      <c r="H106" s="26"/>
      <c r="I106" s="26"/>
      <c r="J106" s="26"/>
      <c r="K106" s="20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5:20" ht="12.75">
      <c r="E107" s="26"/>
      <c r="F107" s="26"/>
      <c r="G107" s="26"/>
      <c r="H107" s="26"/>
      <c r="I107" s="26"/>
      <c r="J107" s="26"/>
      <c r="K107" s="20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5:20" ht="12.75">
      <c r="E108" s="26"/>
      <c r="F108" s="26"/>
      <c r="G108" s="26"/>
      <c r="H108" s="26"/>
      <c r="I108" s="26"/>
      <c r="J108" s="26"/>
      <c r="K108" s="20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5:20" ht="12.75">
      <c r="E109" s="26"/>
      <c r="F109" s="26"/>
      <c r="G109" s="26"/>
      <c r="H109" s="66"/>
      <c r="I109" s="26"/>
      <c r="J109" s="66"/>
      <c r="K109" s="206"/>
      <c r="L109" s="66"/>
      <c r="M109" s="26"/>
      <c r="N109" s="26"/>
      <c r="O109" s="26"/>
      <c r="P109" s="26"/>
      <c r="Q109" s="26"/>
      <c r="R109" s="26"/>
      <c r="S109" s="26"/>
      <c r="T109" s="26"/>
    </row>
    <row r="110" spans="5:20" ht="12.75">
      <c r="E110" s="26"/>
      <c r="F110" s="26"/>
      <c r="G110" s="26"/>
      <c r="H110" s="66"/>
      <c r="I110" s="26"/>
      <c r="J110" s="66"/>
      <c r="K110" s="206"/>
      <c r="L110" s="66"/>
      <c r="M110" s="26"/>
      <c r="N110" s="26"/>
      <c r="O110" s="26"/>
      <c r="P110" s="26"/>
      <c r="Q110" s="26"/>
      <c r="R110" s="26"/>
      <c r="S110" s="26"/>
      <c r="T110" s="26"/>
    </row>
    <row r="111" spans="5:20" ht="12.75">
      <c r="E111" s="26"/>
      <c r="F111" s="26"/>
      <c r="G111" s="26"/>
      <c r="H111" s="66"/>
      <c r="I111" s="26"/>
      <c r="J111" s="66"/>
      <c r="K111" s="206"/>
      <c r="L111" s="66"/>
      <c r="M111" s="26"/>
      <c r="N111" s="26"/>
      <c r="O111" s="26"/>
      <c r="P111" s="26"/>
      <c r="Q111" s="26"/>
      <c r="R111" s="26"/>
      <c r="S111" s="26"/>
      <c r="T111" s="26"/>
    </row>
    <row r="112" spans="5:20" ht="12.75">
      <c r="E112" s="26"/>
      <c r="F112" s="26"/>
      <c r="G112" s="26"/>
      <c r="H112" s="66"/>
      <c r="I112" s="26"/>
      <c r="J112" s="66"/>
      <c r="K112" s="206"/>
      <c r="L112" s="66"/>
      <c r="M112" s="26"/>
      <c r="N112" s="26"/>
      <c r="O112" s="26"/>
      <c r="P112" s="26"/>
      <c r="Q112" s="26"/>
      <c r="R112" s="26"/>
      <c r="S112" s="26"/>
      <c r="T112" s="26"/>
    </row>
    <row r="113" spans="5:20" ht="12.75">
      <c r="E113" s="26"/>
      <c r="F113" s="26"/>
      <c r="G113" s="26"/>
      <c r="H113" s="66"/>
      <c r="I113" s="26"/>
      <c r="J113" s="66"/>
      <c r="K113" s="206"/>
      <c r="L113" s="66"/>
      <c r="M113" s="26"/>
      <c r="N113" s="26"/>
      <c r="O113" s="26"/>
      <c r="P113" s="26"/>
      <c r="Q113" s="26"/>
      <c r="R113" s="26"/>
      <c r="S113" s="26"/>
      <c r="T113" s="26"/>
    </row>
    <row r="114" spans="5:20" ht="12.75">
      <c r="E114" s="26"/>
      <c r="F114" s="26"/>
      <c r="G114" s="26"/>
      <c r="H114" s="66"/>
      <c r="I114" s="26"/>
      <c r="J114" s="66"/>
      <c r="K114" s="206"/>
      <c r="L114" s="66"/>
      <c r="M114" s="26"/>
      <c r="N114" s="26"/>
      <c r="O114" s="26"/>
      <c r="P114" s="26"/>
      <c r="Q114" s="26"/>
      <c r="R114" s="26"/>
      <c r="S114" s="26"/>
      <c r="T114" s="26"/>
    </row>
    <row r="115" spans="5:20" ht="12.75">
      <c r="E115" s="26"/>
      <c r="F115" s="26"/>
      <c r="G115" s="26"/>
      <c r="H115" s="66"/>
      <c r="I115" s="26"/>
      <c r="J115" s="66"/>
      <c r="K115" s="206"/>
      <c r="L115" s="66"/>
      <c r="M115" s="26"/>
      <c r="N115" s="26"/>
      <c r="O115" s="26"/>
      <c r="P115" s="26"/>
      <c r="Q115" s="26"/>
      <c r="R115" s="26"/>
      <c r="S115" s="26"/>
      <c r="T115" s="26"/>
    </row>
    <row r="116" spans="5:20" ht="12.75">
      <c r="E116" s="26"/>
      <c r="F116" s="26"/>
      <c r="G116" s="26"/>
      <c r="H116" s="66"/>
      <c r="I116" s="26"/>
      <c r="J116" s="66"/>
      <c r="K116" s="206"/>
      <c r="L116" s="66"/>
      <c r="M116" s="26"/>
      <c r="N116" s="26"/>
      <c r="O116" s="26"/>
      <c r="P116" s="26"/>
      <c r="Q116" s="26"/>
      <c r="R116" s="26"/>
      <c r="S116" s="26"/>
      <c r="T116" s="26"/>
    </row>
    <row r="117" spans="5:20" ht="12.75">
      <c r="E117" s="26"/>
      <c r="F117" s="26"/>
      <c r="G117" s="26"/>
      <c r="H117" s="66"/>
      <c r="I117" s="26"/>
      <c r="J117" s="66"/>
      <c r="K117" s="206"/>
      <c r="L117" s="66"/>
      <c r="M117" s="26"/>
      <c r="N117" s="26"/>
      <c r="O117" s="26"/>
      <c r="P117" s="26"/>
      <c r="Q117" s="26"/>
      <c r="R117" s="26"/>
      <c r="S117" s="26"/>
      <c r="T117" s="26"/>
    </row>
    <row r="118" spans="5:20" ht="12.75">
      <c r="E118" s="26"/>
      <c r="F118" s="26"/>
      <c r="G118" s="26"/>
      <c r="H118" s="65"/>
      <c r="I118" s="26"/>
      <c r="J118" s="65"/>
      <c r="K118" s="206"/>
      <c r="L118" s="65"/>
      <c r="M118" s="26"/>
      <c r="N118" s="26"/>
      <c r="O118" s="26"/>
      <c r="P118" s="26"/>
      <c r="Q118" s="26"/>
      <c r="R118" s="26"/>
      <c r="S118" s="26"/>
      <c r="T118" s="26"/>
    </row>
    <row r="119" spans="5:20" ht="12.75">
      <c r="E119" s="26"/>
      <c r="F119" s="26"/>
      <c r="G119" s="26"/>
      <c r="H119" s="26"/>
      <c r="I119" s="26"/>
      <c r="J119" s="26"/>
      <c r="K119" s="20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5:20" ht="12.75">
      <c r="E120" s="26"/>
      <c r="F120" s="26"/>
      <c r="G120" s="26"/>
      <c r="H120" s="26"/>
      <c r="I120" s="26"/>
      <c r="J120" s="26"/>
      <c r="K120" s="20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5:20" ht="12.75">
      <c r="E121" s="26"/>
      <c r="F121" s="26"/>
      <c r="G121" s="26"/>
      <c r="H121" s="26"/>
      <c r="I121" s="26"/>
      <c r="J121" s="26"/>
      <c r="K121" s="20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5:20" ht="12.75">
      <c r="E122" s="26"/>
      <c r="F122" s="26"/>
      <c r="G122" s="26"/>
      <c r="H122" s="26"/>
      <c r="I122" s="26"/>
      <c r="J122" s="26"/>
      <c r="K122" s="20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5:20" ht="12.75">
      <c r="E123" s="26"/>
      <c r="F123" s="26"/>
      <c r="G123" s="26"/>
      <c r="H123" s="26"/>
      <c r="I123" s="26"/>
      <c r="J123" s="26"/>
      <c r="K123" s="20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5:20" ht="12.75">
      <c r="E124" s="26"/>
      <c r="F124" s="26"/>
      <c r="G124" s="26"/>
      <c r="H124" s="26"/>
      <c r="I124" s="26"/>
      <c r="J124" s="26"/>
      <c r="K124" s="20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5:20" ht="12.75">
      <c r="E125" s="25"/>
      <c r="F125" s="25"/>
      <c r="G125" s="25"/>
      <c r="H125" s="26"/>
      <c r="I125" s="26"/>
      <c r="J125" s="26"/>
      <c r="K125" s="20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5:20" ht="12.75">
      <c r="E126" s="25"/>
      <c r="F126" s="25"/>
      <c r="G126" s="25"/>
      <c r="H126" s="25"/>
      <c r="I126" s="25"/>
      <c r="J126" s="25"/>
      <c r="K126" s="203"/>
      <c r="L126" s="25"/>
      <c r="M126" s="25"/>
      <c r="N126" s="25"/>
      <c r="O126" s="25"/>
      <c r="P126" s="25"/>
      <c r="Q126" s="26"/>
      <c r="R126" s="26"/>
      <c r="S126" s="25"/>
      <c r="T126" s="25"/>
    </row>
    <row r="127" spans="5:20" ht="12.75">
      <c r="E127" s="25"/>
      <c r="F127" s="25"/>
      <c r="G127" s="25"/>
      <c r="H127" s="25"/>
      <c r="I127" s="25"/>
      <c r="J127" s="25"/>
      <c r="K127" s="203"/>
      <c r="L127" s="25"/>
      <c r="M127" s="25"/>
      <c r="N127" s="25"/>
      <c r="O127" s="25"/>
      <c r="P127" s="25"/>
      <c r="Q127" s="26"/>
      <c r="R127" s="26"/>
      <c r="S127" s="25"/>
      <c r="T127" s="25"/>
    </row>
    <row r="128" spans="5:20" ht="12.75">
      <c r="E128" s="25"/>
      <c r="F128" s="25"/>
      <c r="G128" s="25"/>
      <c r="H128" s="25"/>
      <c r="I128" s="25"/>
      <c r="J128" s="25"/>
      <c r="K128" s="203"/>
      <c r="L128" s="25"/>
      <c r="M128" s="25"/>
      <c r="N128" s="25"/>
      <c r="O128" s="25"/>
      <c r="P128" s="25"/>
      <c r="Q128" s="26"/>
      <c r="R128" s="26"/>
      <c r="S128" s="25"/>
      <c r="T128" s="25"/>
    </row>
    <row r="129" spans="5:20" ht="12.75">
      <c r="E129" s="25"/>
      <c r="F129" s="25"/>
      <c r="G129" s="25"/>
      <c r="H129" s="25"/>
      <c r="I129" s="25"/>
      <c r="J129" s="25"/>
      <c r="K129" s="203"/>
      <c r="L129" s="25"/>
      <c r="M129" s="25"/>
      <c r="N129" s="25"/>
      <c r="O129" s="25"/>
      <c r="P129" s="25"/>
      <c r="Q129" s="26"/>
      <c r="R129" s="26"/>
      <c r="S129" s="25"/>
      <c r="T129" s="25"/>
    </row>
    <row r="130" spans="5:20" ht="12.75">
      <c r="E130" s="25"/>
      <c r="F130" s="25"/>
      <c r="G130" s="25"/>
      <c r="H130" s="25"/>
      <c r="I130" s="25"/>
      <c r="J130" s="25"/>
      <c r="K130" s="203"/>
      <c r="L130" s="25"/>
      <c r="M130" s="25"/>
      <c r="N130" s="25"/>
      <c r="O130" s="25"/>
      <c r="P130" s="25"/>
      <c r="Q130" s="26"/>
      <c r="R130" s="26"/>
      <c r="S130" s="25"/>
      <c r="T130" s="25"/>
    </row>
    <row r="131" spans="5:20" ht="12.75">
      <c r="E131" s="25"/>
      <c r="F131" s="25"/>
      <c r="G131" s="25"/>
      <c r="H131" s="25"/>
      <c r="I131" s="25"/>
      <c r="J131" s="25"/>
      <c r="K131" s="203"/>
      <c r="L131" s="25"/>
      <c r="M131" s="25"/>
      <c r="N131" s="25"/>
      <c r="O131" s="25"/>
      <c r="P131" s="25"/>
      <c r="Q131" s="26"/>
      <c r="R131" s="26"/>
      <c r="S131" s="25"/>
      <c r="T131" s="25"/>
    </row>
    <row r="132" spans="5:20" ht="12.75">
      <c r="E132" s="25"/>
      <c r="F132" s="25"/>
      <c r="G132" s="25"/>
      <c r="H132" s="25"/>
      <c r="I132" s="25"/>
      <c r="J132" s="25"/>
      <c r="K132" s="203"/>
      <c r="L132" s="25"/>
      <c r="M132" s="25"/>
      <c r="N132" s="25"/>
      <c r="O132" s="25"/>
      <c r="P132" s="25"/>
      <c r="Q132" s="26"/>
      <c r="R132" s="26"/>
      <c r="S132" s="25"/>
      <c r="T132" s="25"/>
    </row>
    <row r="133" spans="5:20" ht="12.75">
      <c r="E133" s="25"/>
      <c r="F133" s="25"/>
      <c r="G133" s="25"/>
      <c r="H133" s="25"/>
      <c r="I133" s="25"/>
      <c r="J133" s="25"/>
      <c r="K133" s="203"/>
      <c r="L133" s="25"/>
      <c r="M133" s="25"/>
      <c r="N133" s="25"/>
      <c r="O133" s="25"/>
      <c r="P133" s="25"/>
      <c r="Q133" s="26"/>
      <c r="R133" s="26"/>
      <c r="S133" s="25"/>
      <c r="T133" s="25"/>
    </row>
    <row r="134" spans="5:20" ht="12.75">
      <c r="E134" s="25"/>
      <c r="F134" s="25"/>
      <c r="G134" s="25"/>
      <c r="H134" s="25"/>
      <c r="I134" s="25"/>
      <c r="J134" s="25"/>
      <c r="K134" s="203"/>
      <c r="L134" s="25"/>
      <c r="M134" s="25"/>
      <c r="N134" s="25"/>
      <c r="O134" s="25"/>
      <c r="P134" s="25"/>
      <c r="Q134" s="26"/>
      <c r="R134" s="26"/>
      <c r="S134" s="25"/>
      <c r="T134" s="25"/>
    </row>
    <row r="135" spans="5:20" ht="12.75">
      <c r="E135" s="25"/>
      <c r="F135" s="25"/>
      <c r="G135" s="25"/>
      <c r="H135" s="25"/>
      <c r="I135" s="25"/>
      <c r="J135" s="25"/>
      <c r="K135" s="203"/>
      <c r="L135" s="25"/>
      <c r="M135" s="25"/>
      <c r="N135" s="25"/>
      <c r="O135" s="25"/>
      <c r="P135" s="25"/>
      <c r="Q135" s="26"/>
      <c r="R135" s="26"/>
      <c r="S135" s="25"/>
      <c r="T135" s="25"/>
    </row>
    <row r="136" spans="5:20" ht="12.75">
      <c r="E136" s="25"/>
      <c r="F136" s="25"/>
      <c r="G136" s="25"/>
      <c r="H136" s="25"/>
      <c r="I136" s="25"/>
      <c r="J136" s="25"/>
      <c r="K136" s="203"/>
      <c r="L136" s="25"/>
      <c r="M136" s="25"/>
      <c r="N136" s="25"/>
      <c r="O136" s="25"/>
      <c r="P136" s="25"/>
      <c r="Q136" s="26"/>
      <c r="R136" s="26"/>
      <c r="S136" s="25"/>
      <c r="T136" s="25"/>
    </row>
    <row r="137" spans="5:20" ht="12.75">
      <c r="E137" s="25"/>
      <c r="F137" s="25"/>
      <c r="G137" s="25"/>
      <c r="H137" s="25"/>
      <c r="I137" s="25"/>
      <c r="J137" s="25"/>
      <c r="K137" s="203"/>
      <c r="L137" s="25"/>
      <c r="M137" s="25"/>
      <c r="N137" s="25"/>
      <c r="O137" s="25"/>
      <c r="P137" s="25"/>
      <c r="Q137" s="26"/>
      <c r="R137" s="26"/>
      <c r="S137" s="25"/>
      <c r="T137" s="25"/>
    </row>
    <row r="138" spans="5:20" ht="12.75">
      <c r="E138" s="25"/>
      <c r="F138" s="25"/>
      <c r="G138" s="25"/>
      <c r="H138" s="25"/>
      <c r="I138" s="25"/>
      <c r="J138" s="25"/>
      <c r="K138" s="203"/>
      <c r="L138" s="25"/>
      <c r="M138" s="25"/>
      <c r="N138" s="25"/>
      <c r="O138" s="25"/>
      <c r="P138" s="25"/>
      <c r="Q138" s="26"/>
      <c r="R138" s="26"/>
      <c r="S138" s="25"/>
      <c r="T138" s="25"/>
    </row>
    <row r="139" spans="5:20" ht="12.75">
      <c r="E139" s="25"/>
      <c r="F139" s="25"/>
      <c r="G139" s="25"/>
      <c r="H139" s="25"/>
      <c r="I139" s="25"/>
      <c r="J139" s="25"/>
      <c r="K139" s="203"/>
      <c r="L139" s="25"/>
      <c r="M139" s="25"/>
      <c r="N139" s="25"/>
      <c r="O139" s="25"/>
      <c r="P139" s="25"/>
      <c r="Q139" s="26"/>
      <c r="R139" s="26"/>
      <c r="S139" s="25"/>
      <c r="T139" s="25"/>
    </row>
    <row r="140" spans="5:20" ht="12.75">
      <c r="E140" s="25"/>
      <c r="F140" s="25"/>
      <c r="G140" s="25"/>
      <c r="H140" s="25"/>
      <c r="I140" s="25"/>
      <c r="J140" s="25"/>
      <c r="K140" s="203"/>
      <c r="L140" s="25"/>
      <c r="M140" s="25"/>
      <c r="N140" s="25"/>
      <c r="O140" s="25"/>
      <c r="P140" s="25"/>
      <c r="Q140" s="26"/>
      <c r="R140" s="26"/>
      <c r="S140" s="25"/>
      <c r="T140" s="25"/>
    </row>
    <row r="141" spans="5:20" ht="12.75">
      <c r="E141" s="25"/>
      <c r="F141" s="25"/>
      <c r="G141" s="25"/>
      <c r="H141" s="25"/>
      <c r="I141" s="25"/>
      <c r="J141" s="25"/>
      <c r="K141" s="203"/>
      <c r="L141" s="25"/>
      <c r="M141" s="25"/>
      <c r="N141" s="25"/>
      <c r="O141" s="25"/>
      <c r="P141" s="25"/>
      <c r="Q141" s="26"/>
      <c r="R141" s="26"/>
      <c r="S141" s="25"/>
      <c r="T141" s="25"/>
    </row>
    <row r="142" spans="5:20" ht="12.75">
      <c r="E142" s="25"/>
      <c r="F142" s="25"/>
      <c r="G142" s="25"/>
      <c r="H142" s="25"/>
      <c r="I142" s="25"/>
      <c r="J142" s="25"/>
      <c r="K142" s="203"/>
      <c r="L142" s="25"/>
      <c r="M142" s="25"/>
      <c r="N142" s="25"/>
      <c r="O142" s="25"/>
      <c r="P142" s="25"/>
      <c r="Q142" s="26"/>
      <c r="R142" s="26"/>
      <c r="S142" s="25"/>
      <c r="T142" s="25"/>
    </row>
    <row r="143" spans="5:20" ht="12.75">
      <c r="E143" s="25"/>
      <c r="F143" s="25"/>
      <c r="G143" s="25"/>
      <c r="H143" s="25"/>
      <c r="I143" s="25"/>
      <c r="J143" s="25"/>
      <c r="K143" s="203"/>
      <c r="L143" s="25"/>
      <c r="M143" s="25"/>
      <c r="N143" s="25"/>
      <c r="O143" s="25"/>
      <c r="P143" s="25"/>
      <c r="Q143" s="26"/>
      <c r="R143" s="26"/>
      <c r="S143" s="25"/>
      <c r="T143" s="25"/>
    </row>
    <row r="144" spans="5:20" ht="12.75">
      <c r="E144" s="25"/>
      <c r="F144" s="25"/>
      <c r="G144" s="25"/>
      <c r="H144" s="25"/>
      <c r="I144" s="25"/>
      <c r="J144" s="25"/>
      <c r="K144" s="203"/>
      <c r="L144" s="25"/>
      <c r="M144" s="25"/>
      <c r="N144" s="25"/>
      <c r="O144" s="25"/>
      <c r="P144" s="25"/>
      <c r="Q144" s="26"/>
      <c r="R144" s="26"/>
      <c r="S144" s="25"/>
      <c r="T144" s="25"/>
    </row>
    <row r="145" spans="5:20" ht="12.75">
      <c r="E145" s="25"/>
      <c r="F145" s="25"/>
      <c r="G145" s="25"/>
      <c r="H145" s="25"/>
      <c r="I145" s="25"/>
      <c r="J145" s="25"/>
      <c r="K145" s="203"/>
      <c r="L145" s="25"/>
      <c r="M145" s="25"/>
      <c r="N145" s="25"/>
      <c r="O145" s="25"/>
      <c r="P145" s="25"/>
      <c r="Q145" s="26"/>
      <c r="R145" s="26"/>
      <c r="S145" s="25"/>
      <c r="T145" s="25"/>
    </row>
    <row r="146" spans="5:20" ht="12.75">
      <c r="E146" s="25"/>
      <c r="F146" s="25"/>
      <c r="G146" s="25"/>
      <c r="H146" s="25"/>
      <c r="I146" s="25"/>
      <c r="J146" s="25"/>
      <c r="K146" s="203"/>
      <c r="L146" s="25"/>
      <c r="M146" s="25"/>
      <c r="N146" s="25"/>
      <c r="O146" s="25"/>
      <c r="P146" s="25"/>
      <c r="Q146" s="26"/>
      <c r="R146" s="26"/>
      <c r="S146" s="25"/>
      <c r="T146" s="25"/>
    </row>
    <row r="147" spans="5:20" ht="12.75">
      <c r="E147" s="25"/>
      <c r="F147" s="25"/>
      <c r="G147" s="25"/>
      <c r="H147" s="25"/>
      <c r="I147" s="25"/>
      <c r="J147" s="25"/>
      <c r="K147" s="203"/>
      <c r="L147" s="25"/>
      <c r="M147" s="25"/>
      <c r="N147" s="25"/>
      <c r="O147" s="25"/>
      <c r="P147" s="25"/>
      <c r="Q147" s="26"/>
      <c r="R147" s="26"/>
      <c r="S147" s="25"/>
      <c r="T147" s="25"/>
    </row>
    <row r="148" spans="5:20" ht="12.75">
      <c r="E148" s="25"/>
      <c r="F148" s="25"/>
      <c r="G148" s="25"/>
      <c r="H148" s="25"/>
      <c r="I148" s="25"/>
      <c r="J148" s="25"/>
      <c r="K148" s="203"/>
      <c r="L148" s="25"/>
      <c r="M148" s="25"/>
      <c r="N148" s="25"/>
      <c r="O148" s="25"/>
      <c r="P148" s="25"/>
      <c r="Q148" s="26"/>
      <c r="R148" s="26"/>
      <c r="S148" s="25"/>
      <c r="T148" s="25"/>
    </row>
    <row r="149" spans="5:20" ht="12.75">
      <c r="E149" s="25"/>
      <c r="F149" s="25"/>
      <c r="G149" s="25"/>
      <c r="H149" s="25"/>
      <c r="I149" s="25"/>
      <c r="J149" s="25"/>
      <c r="K149" s="203"/>
      <c r="L149" s="25"/>
      <c r="M149" s="25"/>
      <c r="N149" s="25"/>
      <c r="O149" s="25"/>
      <c r="P149" s="25"/>
      <c r="Q149" s="26"/>
      <c r="R149" s="26"/>
      <c r="S149" s="25"/>
      <c r="T149" s="25"/>
    </row>
    <row r="150" spans="5:20" ht="12.75">
      <c r="E150" s="25"/>
      <c r="F150" s="25"/>
      <c r="G150" s="25"/>
      <c r="H150" s="25"/>
      <c r="I150" s="25"/>
      <c r="J150" s="25"/>
      <c r="K150" s="203"/>
      <c r="L150" s="25"/>
      <c r="M150" s="25"/>
      <c r="N150" s="25"/>
      <c r="O150" s="25"/>
      <c r="P150" s="25"/>
      <c r="Q150" s="26"/>
      <c r="R150" s="26"/>
      <c r="S150" s="25"/>
      <c r="T150" s="25"/>
    </row>
    <row r="151" spans="5:20" ht="12.75">
      <c r="E151" s="25"/>
      <c r="F151" s="25"/>
      <c r="G151" s="25"/>
      <c r="H151" s="25"/>
      <c r="I151" s="25"/>
      <c r="J151" s="25"/>
      <c r="K151" s="203"/>
      <c r="L151" s="25"/>
      <c r="M151" s="25"/>
      <c r="N151" s="25"/>
      <c r="O151" s="25"/>
      <c r="P151" s="25"/>
      <c r="Q151" s="26"/>
      <c r="R151" s="26"/>
      <c r="S151" s="25"/>
      <c r="T151" s="25"/>
    </row>
    <row r="152" spans="5:20" ht="12.75">
      <c r="E152" s="25"/>
      <c r="F152" s="25"/>
      <c r="G152" s="25"/>
      <c r="H152" s="25"/>
      <c r="I152" s="25"/>
      <c r="J152" s="25"/>
      <c r="K152" s="203"/>
      <c r="L152" s="25"/>
      <c r="M152" s="25"/>
      <c r="N152" s="25"/>
      <c r="O152" s="25"/>
      <c r="P152" s="25"/>
      <c r="Q152" s="26"/>
      <c r="R152" s="26"/>
      <c r="S152" s="25"/>
      <c r="T152" s="25"/>
    </row>
    <row r="153" spans="5:20" ht="12.75">
      <c r="E153" s="25"/>
      <c r="F153" s="25"/>
      <c r="G153" s="25"/>
      <c r="H153" s="25"/>
      <c r="I153" s="25"/>
      <c r="J153" s="25"/>
      <c r="K153" s="203"/>
      <c r="L153" s="25"/>
      <c r="M153" s="25"/>
      <c r="N153" s="25"/>
      <c r="O153" s="25"/>
      <c r="P153" s="25"/>
      <c r="Q153" s="26"/>
      <c r="R153" s="26"/>
      <c r="S153" s="25"/>
      <c r="T153" s="25"/>
    </row>
    <row r="154" spans="5:20" ht="12.75">
      <c r="E154" s="25"/>
      <c r="F154" s="25"/>
      <c r="G154" s="25"/>
      <c r="H154" s="25"/>
      <c r="I154" s="25"/>
      <c r="J154" s="25"/>
      <c r="K154" s="203"/>
      <c r="L154" s="25"/>
      <c r="M154" s="25"/>
      <c r="N154" s="25"/>
      <c r="O154" s="25"/>
      <c r="P154" s="25"/>
      <c r="Q154" s="26"/>
      <c r="R154" s="26"/>
      <c r="S154" s="25"/>
      <c r="T154" s="25"/>
    </row>
    <row r="155" spans="5:20" ht="12.75">
      <c r="E155" s="25"/>
      <c r="F155" s="25"/>
      <c r="G155" s="25"/>
      <c r="H155" s="25"/>
      <c r="I155" s="25"/>
      <c r="J155" s="25"/>
      <c r="K155" s="203"/>
      <c r="L155" s="25"/>
      <c r="M155" s="25"/>
      <c r="N155" s="25"/>
      <c r="O155" s="25"/>
      <c r="P155" s="25"/>
      <c r="Q155" s="26"/>
      <c r="R155" s="26"/>
      <c r="S155" s="25"/>
      <c r="T155" s="25"/>
    </row>
    <row r="156" spans="5:20" ht="12.75">
      <c r="E156" s="25"/>
      <c r="F156" s="25"/>
      <c r="G156" s="25"/>
      <c r="H156" s="25"/>
      <c r="I156" s="25"/>
      <c r="J156" s="25"/>
      <c r="K156" s="203"/>
      <c r="L156" s="25"/>
      <c r="M156" s="25"/>
      <c r="N156" s="25"/>
      <c r="O156" s="25"/>
      <c r="P156" s="25"/>
      <c r="Q156" s="26"/>
      <c r="R156" s="26"/>
      <c r="S156" s="25"/>
      <c r="T156" s="25"/>
    </row>
    <row r="157" spans="5:20" ht="12.75">
      <c r="E157" s="25"/>
      <c r="F157" s="25"/>
      <c r="G157" s="25"/>
      <c r="H157" s="25"/>
      <c r="I157" s="25"/>
      <c r="J157" s="25"/>
      <c r="K157" s="203"/>
      <c r="L157" s="25"/>
      <c r="M157" s="25"/>
      <c r="N157" s="25"/>
      <c r="O157" s="25"/>
      <c r="P157" s="25"/>
      <c r="Q157" s="26"/>
      <c r="R157" s="26"/>
      <c r="S157" s="25"/>
      <c r="T157" s="25"/>
    </row>
    <row r="158" spans="5:20" ht="12.75">
      <c r="E158" s="25"/>
      <c r="F158" s="25"/>
      <c r="G158" s="25"/>
      <c r="H158" s="25"/>
      <c r="I158" s="25"/>
      <c r="J158" s="25"/>
      <c r="K158" s="203"/>
      <c r="L158" s="25"/>
      <c r="M158" s="25"/>
      <c r="N158" s="25"/>
      <c r="O158" s="25"/>
      <c r="P158" s="25"/>
      <c r="Q158" s="26"/>
      <c r="R158" s="26"/>
      <c r="S158" s="25"/>
      <c r="T158" s="25"/>
    </row>
    <row r="159" spans="5:20" ht="12.75">
      <c r="E159" s="25"/>
      <c r="F159" s="25"/>
      <c r="G159" s="25"/>
      <c r="H159" s="25"/>
      <c r="I159" s="25"/>
      <c r="J159" s="25"/>
      <c r="K159" s="203"/>
      <c r="L159" s="25"/>
      <c r="M159" s="25"/>
      <c r="N159" s="25"/>
      <c r="O159" s="25"/>
      <c r="P159" s="25"/>
      <c r="Q159" s="26"/>
      <c r="R159" s="26"/>
      <c r="S159" s="25"/>
      <c r="T159" s="25"/>
    </row>
    <row r="160" spans="5:20" ht="12.75">
      <c r="E160" s="25"/>
      <c r="F160" s="25"/>
      <c r="G160" s="25"/>
      <c r="H160" s="25"/>
      <c r="I160" s="25"/>
      <c r="J160" s="25"/>
      <c r="K160" s="203"/>
      <c r="L160" s="25"/>
      <c r="M160" s="25"/>
      <c r="N160" s="25"/>
      <c r="O160" s="25"/>
      <c r="P160" s="25"/>
      <c r="Q160" s="26"/>
      <c r="R160" s="26"/>
      <c r="S160" s="25"/>
      <c r="T160" s="25"/>
    </row>
    <row r="161" spans="5:20" ht="12.75">
      <c r="E161" s="25"/>
      <c r="F161" s="25"/>
      <c r="G161" s="25"/>
      <c r="H161" s="25"/>
      <c r="I161" s="25"/>
      <c r="J161" s="25"/>
      <c r="K161" s="203"/>
      <c r="L161" s="25"/>
      <c r="M161" s="25"/>
      <c r="N161" s="25"/>
      <c r="O161" s="25"/>
      <c r="P161" s="25"/>
      <c r="Q161" s="26"/>
      <c r="R161" s="26"/>
      <c r="S161" s="25"/>
      <c r="T161" s="25"/>
    </row>
    <row r="162" spans="5:20" ht="12.75">
      <c r="E162" s="25"/>
      <c r="F162" s="25"/>
      <c r="G162" s="25"/>
      <c r="H162" s="25"/>
      <c r="I162" s="25"/>
      <c r="J162" s="25"/>
      <c r="K162" s="203"/>
      <c r="L162" s="25"/>
      <c r="M162" s="25"/>
      <c r="N162" s="25"/>
      <c r="O162" s="25"/>
      <c r="P162" s="25"/>
      <c r="Q162" s="26"/>
      <c r="R162" s="26"/>
      <c r="S162" s="25"/>
      <c r="T162" s="25"/>
    </row>
    <row r="163" spans="5:20" ht="12.75">
      <c r="E163" s="25"/>
      <c r="F163" s="25"/>
      <c r="G163" s="25"/>
      <c r="H163" s="25"/>
      <c r="I163" s="25"/>
      <c r="J163" s="25"/>
      <c r="K163" s="203"/>
      <c r="L163" s="25"/>
      <c r="M163" s="25"/>
      <c r="N163" s="25"/>
      <c r="O163" s="25"/>
      <c r="P163" s="25"/>
      <c r="Q163" s="26"/>
      <c r="R163" s="26"/>
      <c r="S163" s="25"/>
      <c r="T163" s="25"/>
    </row>
    <row r="164" spans="5:20" ht="12.75">
      <c r="E164" s="25"/>
      <c r="F164" s="25"/>
      <c r="G164" s="25"/>
      <c r="H164" s="25"/>
      <c r="I164" s="25"/>
      <c r="J164" s="25"/>
      <c r="K164" s="203"/>
      <c r="L164" s="25"/>
      <c r="M164" s="25"/>
      <c r="N164" s="25"/>
      <c r="O164" s="25"/>
      <c r="P164" s="25"/>
      <c r="Q164" s="26"/>
      <c r="R164" s="26"/>
      <c r="S164" s="25"/>
      <c r="T164" s="25"/>
    </row>
    <row r="165" spans="5:20" ht="12.75">
      <c r="E165" s="25"/>
      <c r="F165" s="25"/>
      <c r="G165" s="25"/>
      <c r="H165" s="25"/>
      <c r="I165" s="25"/>
      <c r="J165" s="25"/>
      <c r="K165" s="203"/>
      <c r="L165" s="25"/>
      <c r="M165" s="25"/>
      <c r="N165" s="25"/>
      <c r="O165" s="25"/>
      <c r="P165" s="25"/>
      <c r="Q165" s="26"/>
      <c r="R165" s="26"/>
      <c r="S165" s="25"/>
      <c r="T165" s="25"/>
    </row>
    <row r="166" spans="5:20" ht="12.75">
      <c r="E166" s="25"/>
      <c r="F166" s="25"/>
      <c r="G166" s="25"/>
      <c r="H166" s="25"/>
      <c r="I166" s="25"/>
      <c r="J166" s="25"/>
      <c r="K166" s="203"/>
      <c r="L166" s="25"/>
      <c r="M166" s="25"/>
      <c r="N166" s="25"/>
      <c r="O166" s="25"/>
      <c r="P166" s="25"/>
      <c r="Q166" s="26"/>
      <c r="R166" s="26"/>
      <c r="S166" s="25"/>
      <c r="T166" s="25"/>
    </row>
    <row r="167" spans="5:20" ht="12.75">
      <c r="E167" s="25"/>
      <c r="F167" s="25"/>
      <c r="G167" s="25"/>
      <c r="H167" s="25"/>
      <c r="I167" s="25"/>
      <c r="J167" s="25"/>
      <c r="K167" s="203"/>
      <c r="L167" s="25"/>
      <c r="M167" s="25"/>
      <c r="N167" s="25"/>
      <c r="O167" s="25"/>
      <c r="P167" s="25"/>
      <c r="Q167" s="26"/>
      <c r="R167" s="26"/>
      <c r="S167" s="25"/>
      <c r="T167" s="25"/>
    </row>
    <row r="168" spans="5:20" ht="12.75">
      <c r="E168" s="25"/>
      <c r="F168" s="25"/>
      <c r="G168" s="25"/>
      <c r="H168" s="25"/>
      <c r="I168" s="25"/>
      <c r="J168" s="25"/>
      <c r="K168" s="203"/>
      <c r="L168" s="25"/>
      <c r="M168" s="25"/>
      <c r="N168" s="25"/>
      <c r="O168" s="25"/>
      <c r="P168" s="25"/>
      <c r="Q168" s="26"/>
      <c r="R168" s="26"/>
      <c r="S168" s="25"/>
      <c r="T168" s="25"/>
    </row>
    <row r="169" spans="5:20" ht="12.75">
      <c r="E169" s="25"/>
      <c r="F169" s="25"/>
      <c r="G169" s="25"/>
      <c r="H169" s="25"/>
      <c r="I169" s="25"/>
      <c r="J169" s="25"/>
      <c r="K169" s="203"/>
      <c r="L169" s="25"/>
      <c r="M169" s="25"/>
      <c r="N169" s="25"/>
      <c r="O169" s="25"/>
      <c r="P169" s="25"/>
      <c r="Q169" s="26"/>
      <c r="R169" s="26"/>
      <c r="S169" s="25"/>
      <c r="T169" s="25"/>
    </row>
    <row r="170" spans="5:20" ht="12.75">
      <c r="E170" s="25"/>
      <c r="F170" s="25"/>
      <c r="G170" s="25"/>
      <c r="H170" s="25"/>
      <c r="I170" s="25"/>
      <c r="J170" s="25"/>
      <c r="K170" s="203"/>
      <c r="L170" s="25"/>
      <c r="M170" s="25"/>
      <c r="N170" s="25"/>
      <c r="O170" s="25"/>
      <c r="P170" s="25"/>
      <c r="Q170" s="26"/>
      <c r="R170" s="26"/>
      <c r="S170" s="25"/>
      <c r="T170" s="25"/>
    </row>
    <row r="171" spans="5:20" ht="12.75">
      <c r="E171" s="25"/>
      <c r="F171" s="25"/>
      <c r="G171" s="25"/>
      <c r="H171" s="25"/>
      <c r="I171" s="25"/>
      <c r="J171" s="25"/>
      <c r="K171" s="203"/>
      <c r="L171" s="25"/>
      <c r="M171" s="25"/>
      <c r="N171" s="25"/>
      <c r="O171" s="25"/>
      <c r="P171" s="25"/>
      <c r="Q171" s="26"/>
      <c r="R171" s="26"/>
      <c r="S171" s="25"/>
      <c r="T171" s="25"/>
    </row>
    <row r="172" spans="5:20" ht="12.75">
      <c r="E172" s="25"/>
      <c r="F172" s="25"/>
      <c r="G172" s="25"/>
      <c r="H172" s="25"/>
      <c r="I172" s="25"/>
      <c r="J172" s="25"/>
      <c r="K172" s="203"/>
      <c r="L172" s="25"/>
      <c r="M172" s="25"/>
      <c r="N172" s="25"/>
      <c r="O172" s="25"/>
      <c r="P172" s="25"/>
      <c r="Q172" s="26"/>
      <c r="R172" s="26"/>
      <c r="S172" s="25"/>
      <c r="T172" s="25"/>
    </row>
    <row r="173" spans="5:20" ht="12.75">
      <c r="E173" s="25"/>
      <c r="F173" s="25"/>
      <c r="G173" s="25"/>
      <c r="H173" s="25"/>
      <c r="I173" s="25"/>
      <c r="J173" s="25"/>
      <c r="K173" s="203"/>
      <c r="L173" s="25"/>
      <c r="M173" s="25"/>
      <c r="N173" s="25"/>
      <c r="O173" s="25"/>
      <c r="P173" s="25"/>
      <c r="Q173" s="26"/>
      <c r="R173" s="26"/>
      <c r="S173" s="25"/>
      <c r="T173" s="25"/>
    </row>
    <row r="174" spans="5:20" ht="12.75">
      <c r="E174" s="25"/>
      <c r="F174" s="25"/>
      <c r="G174" s="25"/>
      <c r="H174" s="25"/>
      <c r="I174" s="25"/>
      <c r="J174" s="25"/>
      <c r="K174" s="203"/>
      <c r="L174" s="25"/>
      <c r="M174" s="25"/>
      <c r="N174" s="25"/>
      <c r="O174" s="25"/>
      <c r="P174" s="25"/>
      <c r="Q174" s="26"/>
      <c r="R174" s="26"/>
      <c r="S174" s="25"/>
      <c r="T174" s="25"/>
    </row>
    <row r="175" spans="5:20" ht="12.75">
      <c r="E175" s="25"/>
      <c r="F175" s="25"/>
      <c r="G175" s="25"/>
      <c r="H175" s="25"/>
      <c r="I175" s="25"/>
      <c r="J175" s="25"/>
      <c r="K175" s="203"/>
      <c r="L175" s="25"/>
      <c r="M175" s="25"/>
      <c r="N175" s="25"/>
      <c r="O175" s="25"/>
      <c r="P175" s="25"/>
      <c r="Q175" s="26"/>
      <c r="R175" s="26"/>
      <c r="S175" s="25"/>
      <c r="T175" s="25"/>
    </row>
    <row r="176" spans="5:20" ht="12.75">
      <c r="E176" s="25"/>
      <c r="F176" s="25"/>
      <c r="G176" s="25"/>
      <c r="H176" s="25"/>
      <c r="I176" s="25"/>
      <c r="J176" s="25"/>
      <c r="K176" s="203"/>
      <c r="L176" s="25"/>
      <c r="M176" s="25"/>
      <c r="N176" s="25"/>
      <c r="O176" s="25"/>
      <c r="P176" s="25"/>
      <c r="Q176" s="26"/>
      <c r="R176" s="26"/>
      <c r="S176" s="25"/>
      <c r="T176" s="25"/>
    </row>
    <row r="177" spans="5:20" ht="12.75">
      <c r="E177" s="25"/>
      <c r="F177" s="25"/>
      <c r="G177" s="25"/>
      <c r="H177" s="25"/>
      <c r="I177" s="25"/>
      <c r="J177" s="25"/>
      <c r="K177" s="203"/>
      <c r="L177" s="25"/>
      <c r="M177" s="25"/>
      <c r="N177" s="25"/>
      <c r="O177" s="25"/>
      <c r="P177" s="25"/>
      <c r="Q177" s="26"/>
      <c r="R177" s="26"/>
      <c r="S177" s="25"/>
      <c r="T177" s="25"/>
    </row>
    <row r="178" spans="5:20" ht="12.75">
      <c r="E178" s="25"/>
      <c r="F178" s="25"/>
      <c r="G178" s="25"/>
      <c r="H178" s="25"/>
      <c r="I178" s="25"/>
      <c r="J178" s="25"/>
      <c r="K178" s="203"/>
      <c r="L178" s="25"/>
      <c r="M178" s="25"/>
      <c r="N178" s="25"/>
      <c r="O178" s="25"/>
      <c r="P178" s="25"/>
      <c r="Q178" s="26"/>
      <c r="R178" s="26"/>
      <c r="S178" s="25"/>
      <c r="T178" s="25"/>
    </row>
    <row r="179" spans="5:20" ht="12.75">
      <c r="E179" s="25"/>
      <c r="F179" s="25"/>
      <c r="G179" s="25"/>
      <c r="H179" s="25"/>
      <c r="I179" s="25"/>
      <c r="J179" s="25"/>
      <c r="K179" s="203"/>
      <c r="L179" s="25"/>
      <c r="M179" s="25"/>
      <c r="N179" s="25"/>
      <c r="O179" s="25"/>
      <c r="P179" s="25"/>
      <c r="Q179" s="26"/>
      <c r="R179" s="26"/>
      <c r="S179" s="25"/>
      <c r="T179" s="25"/>
    </row>
    <row r="180" spans="5:20" ht="12.75">
      <c r="E180" s="25"/>
      <c r="F180" s="25"/>
      <c r="G180" s="25"/>
      <c r="H180" s="25"/>
      <c r="I180" s="25"/>
      <c r="J180" s="25"/>
      <c r="K180" s="203"/>
      <c r="L180" s="25"/>
      <c r="M180" s="25"/>
      <c r="N180" s="25"/>
      <c r="O180" s="25"/>
      <c r="P180" s="25"/>
      <c r="Q180" s="26"/>
      <c r="R180" s="26"/>
      <c r="S180" s="25"/>
      <c r="T180" s="25"/>
    </row>
    <row r="181" spans="5:20" ht="12.75">
      <c r="E181" s="25"/>
      <c r="F181" s="25"/>
      <c r="G181" s="25"/>
      <c r="H181" s="25"/>
      <c r="I181" s="25"/>
      <c r="J181" s="25"/>
      <c r="K181" s="203"/>
      <c r="L181" s="25"/>
      <c r="M181" s="25"/>
      <c r="N181" s="25"/>
      <c r="O181" s="25"/>
      <c r="P181" s="25"/>
      <c r="Q181" s="26"/>
      <c r="R181" s="26"/>
      <c r="S181" s="25"/>
      <c r="T181" s="25"/>
    </row>
    <row r="182" spans="5:20" ht="12.75">
      <c r="E182" s="25"/>
      <c r="F182" s="25"/>
      <c r="G182" s="25"/>
      <c r="H182" s="25"/>
      <c r="I182" s="25"/>
      <c r="J182" s="25"/>
      <c r="K182" s="203"/>
      <c r="L182" s="25"/>
      <c r="M182" s="25"/>
      <c r="N182" s="25"/>
      <c r="O182" s="25"/>
      <c r="P182" s="25"/>
      <c r="Q182" s="26"/>
      <c r="R182" s="26"/>
      <c r="S182" s="25"/>
      <c r="T182" s="25"/>
    </row>
    <row r="183" spans="5:20" ht="12.75">
      <c r="E183" s="25"/>
      <c r="F183" s="25"/>
      <c r="G183" s="25"/>
      <c r="H183" s="25"/>
      <c r="I183" s="25"/>
      <c r="J183" s="25"/>
      <c r="K183" s="203"/>
      <c r="L183" s="25"/>
      <c r="M183" s="25"/>
      <c r="N183" s="25"/>
      <c r="O183" s="25"/>
      <c r="P183" s="25"/>
      <c r="Q183" s="26"/>
      <c r="R183" s="26"/>
      <c r="S183" s="25"/>
      <c r="T183" s="25"/>
    </row>
    <row r="184" spans="5:20" ht="12.75">
      <c r="E184" s="25"/>
      <c r="F184" s="25"/>
      <c r="G184" s="25"/>
      <c r="H184" s="25"/>
      <c r="I184" s="25"/>
      <c r="J184" s="25"/>
      <c r="K184" s="203"/>
      <c r="L184" s="25"/>
      <c r="M184" s="25"/>
      <c r="N184" s="25"/>
      <c r="O184" s="25"/>
      <c r="P184" s="25"/>
      <c r="Q184" s="26"/>
      <c r="R184" s="26"/>
      <c r="S184" s="25"/>
      <c r="T184" s="25"/>
    </row>
    <row r="185" spans="5:20" ht="12.75">
      <c r="E185" s="25"/>
      <c r="F185" s="25"/>
      <c r="G185" s="25"/>
      <c r="H185" s="25"/>
      <c r="I185" s="25"/>
      <c r="J185" s="25"/>
      <c r="K185" s="203"/>
      <c r="L185" s="25"/>
      <c r="M185" s="25"/>
      <c r="N185" s="25"/>
      <c r="O185" s="25"/>
      <c r="P185" s="25"/>
      <c r="Q185" s="26"/>
      <c r="R185" s="26"/>
      <c r="S185" s="25"/>
      <c r="T185" s="25"/>
    </row>
    <row r="186" spans="5:20" ht="12.75">
      <c r="E186" s="25"/>
      <c r="F186" s="25"/>
      <c r="G186" s="25"/>
      <c r="H186" s="25"/>
      <c r="I186" s="25"/>
      <c r="J186" s="25"/>
      <c r="K186" s="203"/>
      <c r="L186" s="25"/>
      <c r="M186" s="25"/>
      <c r="N186" s="25"/>
      <c r="O186" s="25"/>
      <c r="P186" s="25"/>
      <c r="Q186" s="26"/>
      <c r="R186" s="26"/>
      <c r="S186" s="25"/>
      <c r="T186" s="25"/>
    </row>
    <row r="187" spans="5:20" ht="12.75">
      <c r="E187" s="25"/>
      <c r="F187" s="25"/>
      <c r="G187" s="25"/>
      <c r="H187" s="25"/>
      <c r="I187" s="25"/>
      <c r="J187" s="25"/>
      <c r="K187" s="203"/>
      <c r="L187" s="25"/>
      <c r="M187" s="25"/>
      <c r="N187" s="25"/>
      <c r="O187" s="25"/>
      <c r="P187" s="25"/>
      <c r="Q187" s="26"/>
      <c r="R187" s="26"/>
      <c r="S187" s="25"/>
      <c r="T187" s="25"/>
    </row>
    <row r="188" spans="5:20" ht="12.75">
      <c r="E188" s="25"/>
      <c r="F188" s="25"/>
      <c r="G188" s="25"/>
      <c r="H188" s="25"/>
      <c r="I188" s="25"/>
      <c r="J188" s="25"/>
      <c r="K188" s="203"/>
      <c r="L188" s="25"/>
      <c r="M188" s="25"/>
      <c r="N188" s="25"/>
      <c r="O188" s="25"/>
      <c r="P188" s="25"/>
      <c r="Q188" s="26"/>
      <c r="R188" s="26"/>
      <c r="S188" s="25"/>
      <c r="T188" s="25"/>
    </row>
    <row r="189" spans="5:20" ht="12.75">
      <c r="E189" s="25"/>
      <c r="F189" s="25"/>
      <c r="G189" s="25"/>
      <c r="H189" s="25"/>
      <c r="I189" s="25"/>
      <c r="J189" s="25"/>
      <c r="K189" s="203"/>
      <c r="L189" s="25"/>
      <c r="M189" s="25"/>
      <c r="N189" s="25"/>
      <c r="O189" s="25"/>
      <c r="P189" s="25"/>
      <c r="Q189" s="26"/>
      <c r="R189" s="26"/>
      <c r="S189" s="25"/>
      <c r="T189" s="25"/>
    </row>
    <row r="190" spans="5:20" ht="12.75">
      <c r="E190" s="25"/>
      <c r="F190" s="25"/>
      <c r="G190" s="25"/>
      <c r="H190" s="25"/>
      <c r="I190" s="25"/>
      <c r="J190" s="25"/>
      <c r="K190" s="203"/>
      <c r="L190" s="25"/>
      <c r="M190" s="25"/>
      <c r="N190" s="25"/>
      <c r="O190" s="25"/>
      <c r="P190" s="25"/>
      <c r="Q190" s="26"/>
      <c r="R190" s="26"/>
      <c r="S190" s="25"/>
      <c r="T190" s="25"/>
    </row>
    <row r="191" spans="5:20" ht="12.75">
      <c r="E191" s="25"/>
      <c r="F191" s="25"/>
      <c r="G191" s="25"/>
      <c r="H191" s="25"/>
      <c r="I191" s="25"/>
      <c r="J191" s="25"/>
      <c r="K191" s="203"/>
      <c r="L191" s="25"/>
      <c r="M191" s="25"/>
      <c r="N191" s="25"/>
      <c r="O191" s="25"/>
      <c r="P191" s="25"/>
      <c r="Q191" s="26"/>
      <c r="R191" s="26"/>
      <c r="S191" s="25"/>
      <c r="T191" s="25"/>
    </row>
    <row r="192" spans="5:20" ht="12.75">
      <c r="E192" s="25"/>
      <c r="F192" s="25"/>
      <c r="G192" s="25"/>
      <c r="H192" s="25"/>
      <c r="I192" s="25"/>
      <c r="J192" s="25"/>
      <c r="K192" s="203"/>
      <c r="L192" s="25"/>
      <c r="M192" s="25"/>
      <c r="N192" s="25"/>
      <c r="O192" s="25"/>
      <c r="P192" s="25"/>
      <c r="Q192" s="26"/>
      <c r="R192" s="26"/>
      <c r="S192" s="25"/>
      <c r="T192" s="25"/>
    </row>
    <row r="193" spans="5:20" ht="12.75">
      <c r="E193" s="25"/>
      <c r="F193" s="25"/>
      <c r="G193" s="25"/>
      <c r="H193" s="25"/>
      <c r="I193" s="25"/>
      <c r="J193" s="25"/>
      <c r="K193" s="203"/>
      <c r="L193" s="25"/>
      <c r="M193" s="25"/>
      <c r="N193" s="25"/>
      <c r="O193" s="25"/>
      <c r="P193" s="25"/>
      <c r="Q193" s="26"/>
      <c r="R193" s="26"/>
      <c r="S193" s="25"/>
      <c r="T193" s="25"/>
    </row>
    <row r="194" spans="5:20" ht="12.75">
      <c r="E194" s="25"/>
      <c r="F194" s="25"/>
      <c r="G194" s="25"/>
      <c r="H194" s="25"/>
      <c r="I194" s="25"/>
      <c r="J194" s="25"/>
      <c r="K194" s="203"/>
      <c r="L194" s="25"/>
      <c r="M194" s="25"/>
      <c r="N194" s="25"/>
      <c r="O194" s="25"/>
      <c r="P194" s="25"/>
      <c r="Q194" s="26"/>
      <c r="R194" s="26"/>
      <c r="S194" s="25"/>
      <c r="T194" s="25"/>
    </row>
    <row r="195" spans="5:20" ht="12.75">
      <c r="E195" s="25"/>
      <c r="F195" s="25"/>
      <c r="G195" s="25"/>
      <c r="H195" s="25"/>
      <c r="I195" s="25"/>
      <c r="J195" s="25"/>
      <c r="K195" s="203"/>
      <c r="L195" s="25"/>
      <c r="M195" s="25"/>
      <c r="N195" s="25"/>
      <c r="O195" s="25"/>
      <c r="P195" s="25"/>
      <c r="Q195" s="26"/>
      <c r="R195" s="26"/>
      <c r="S195" s="25"/>
      <c r="T195" s="25"/>
    </row>
    <row r="196" spans="5:20" ht="12.75">
      <c r="E196" s="25"/>
      <c r="F196" s="25"/>
      <c r="G196" s="25"/>
      <c r="H196" s="25"/>
      <c r="I196" s="25"/>
      <c r="J196" s="25"/>
      <c r="K196" s="203"/>
      <c r="L196" s="25"/>
      <c r="M196" s="25"/>
      <c r="N196" s="25"/>
      <c r="O196" s="25"/>
      <c r="P196" s="25"/>
      <c r="Q196" s="26"/>
      <c r="R196" s="26"/>
      <c r="S196" s="25"/>
      <c r="T196" s="25"/>
    </row>
    <row r="197" spans="5:20" ht="12.75">
      <c r="E197" s="25"/>
      <c r="F197" s="25"/>
      <c r="G197" s="25"/>
      <c r="H197" s="25"/>
      <c r="I197" s="25"/>
      <c r="J197" s="25"/>
      <c r="K197" s="203"/>
      <c r="L197" s="25"/>
      <c r="M197" s="25"/>
      <c r="N197" s="25"/>
      <c r="O197" s="25"/>
      <c r="P197" s="25"/>
      <c r="Q197" s="26"/>
      <c r="R197" s="26"/>
      <c r="S197" s="25"/>
      <c r="T197" s="25"/>
    </row>
    <row r="198" spans="5:20" ht="12.75">
      <c r="E198" s="25"/>
      <c r="F198" s="25"/>
      <c r="G198" s="25"/>
      <c r="H198" s="25"/>
      <c r="I198" s="25"/>
      <c r="J198" s="25"/>
      <c r="K198" s="203"/>
      <c r="L198" s="25"/>
      <c r="M198" s="25"/>
      <c r="N198" s="25"/>
      <c r="O198" s="25"/>
      <c r="P198" s="25"/>
      <c r="Q198" s="26"/>
      <c r="R198" s="26"/>
      <c r="S198" s="25"/>
      <c r="T198" s="25"/>
    </row>
    <row r="199" spans="5:20" ht="12.75">
      <c r="E199" s="25"/>
      <c r="F199" s="25"/>
      <c r="G199" s="25"/>
      <c r="H199" s="25"/>
      <c r="I199" s="25"/>
      <c r="J199" s="25"/>
      <c r="K199" s="203"/>
      <c r="L199" s="25"/>
      <c r="M199" s="25"/>
      <c r="N199" s="25"/>
      <c r="O199" s="25"/>
      <c r="P199" s="25"/>
      <c r="Q199" s="26"/>
      <c r="R199" s="26"/>
      <c r="S199" s="25"/>
      <c r="T199" s="25"/>
    </row>
    <row r="200" spans="5:20" ht="12.75">
      <c r="E200" s="25"/>
      <c r="F200" s="25"/>
      <c r="G200" s="25"/>
      <c r="H200" s="25"/>
      <c r="I200" s="25"/>
      <c r="J200" s="25"/>
      <c r="K200" s="203"/>
      <c r="L200" s="25"/>
      <c r="M200" s="25"/>
      <c r="N200" s="25"/>
      <c r="O200" s="25"/>
      <c r="P200" s="25"/>
      <c r="Q200" s="26"/>
      <c r="R200" s="26"/>
      <c r="S200" s="25"/>
      <c r="T200" s="25"/>
    </row>
    <row r="201" spans="5:20" ht="12.75">
      <c r="E201" s="25"/>
      <c r="F201" s="25"/>
      <c r="G201" s="25"/>
      <c r="H201" s="25"/>
      <c r="I201" s="25"/>
      <c r="J201" s="25"/>
      <c r="K201" s="203"/>
      <c r="L201" s="25"/>
      <c r="M201" s="25"/>
      <c r="N201" s="25"/>
      <c r="O201" s="25"/>
      <c r="P201" s="25"/>
      <c r="Q201" s="26"/>
      <c r="R201" s="26"/>
      <c r="S201" s="25"/>
      <c r="T201" s="25"/>
    </row>
    <row r="202" spans="5:20" ht="12.75">
      <c r="E202" s="25"/>
      <c r="F202" s="25"/>
      <c r="G202" s="25"/>
      <c r="H202" s="25"/>
      <c r="I202" s="25"/>
      <c r="J202" s="25"/>
      <c r="K202" s="203"/>
      <c r="L202" s="25"/>
      <c r="M202" s="25"/>
      <c r="N202" s="25"/>
      <c r="O202" s="25"/>
      <c r="P202" s="25"/>
      <c r="Q202" s="26"/>
      <c r="R202" s="26"/>
      <c r="S202" s="25"/>
      <c r="T202" s="25"/>
    </row>
    <row r="203" spans="5:20" ht="12.75">
      <c r="E203" s="25"/>
      <c r="F203" s="25"/>
      <c r="G203" s="25"/>
      <c r="H203" s="25"/>
      <c r="I203" s="25"/>
      <c r="J203" s="25"/>
      <c r="K203" s="203"/>
      <c r="L203" s="25"/>
      <c r="M203" s="25"/>
      <c r="N203" s="25"/>
      <c r="O203" s="25"/>
      <c r="P203" s="25"/>
      <c r="Q203" s="26"/>
      <c r="R203" s="26"/>
      <c r="S203" s="25"/>
      <c r="T203" s="25"/>
    </row>
    <row r="204" spans="5:20" ht="12.75">
      <c r="E204" s="25"/>
      <c r="F204" s="25"/>
      <c r="G204" s="25"/>
      <c r="H204" s="25"/>
      <c r="I204" s="25"/>
      <c r="J204" s="25"/>
      <c r="K204" s="203"/>
      <c r="L204" s="25"/>
      <c r="M204" s="25"/>
      <c r="N204" s="25"/>
      <c r="O204" s="25"/>
      <c r="P204" s="25"/>
      <c r="Q204" s="26"/>
      <c r="R204" s="26"/>
      <c r="S204" s="25"/>
      <c r="T204" s="25"/>
    </row>
    <row r="205" spans="5:20" ht="12.75">
      <c r="E205" s="25"/>
      <c r="F205" s="25"/>
      <c r="G205" s="25"/>
      <c r="H205" s="25"/>
      <c r="I205" s="25"/>
      <c r="J205" s="25"/>
      <c r="K205" s="203"/>
      <c r="L205" s="25"/>
      <c r="M205" s="25"/>
      <c r="N205" s="25"/>
      <c r="O205" s="25"/>
      <c r="P205" s="25"/>
      <c r="Q205" s="26"/>
      <c r="R205" s="26"/>
      <c r="S205" s="25"/>
      <c r="T205" s="25"/>
    </row>
    <row r="206" spans="5:20" ht="12.75">
      <c r="E206" s="25"/>
      <c r="F206" s="25"/>
      <c r="G206" s="25"/>
      <c r="H206" s="25"/>
      <c r="I206" s="25"/>
      <c r="J206" s="25"/>
      <c r="K206" s="203"/>
      <c r="L206" s="25"/>
      <c r="M206" s="25"/>
      <c r="N206" s="25"/>
      <c r="O206" s="25"/>
      <c r="P206" s="25"/>
      <c r="Q206" s="26"/>
      <c r="R206" s="26"/>
      <c r="S206" s="25"/>
      <c r="T206" s="25"/>
    </row>
    <row r="207" spans="5:20" ht="12.75">
      <c r="E207" s="25"/>
      <c r="F207" s="25"/>
      <c r="G207" s="25"/>
      <c r="H207" s="25"/>
      <c r="I207" s="25"/>
      <c r="J207" s="25"/>
      <c r="K207" s="203"/>
      <c r="L207" s="25"/>
      <c r="M207" s="25"/>
      <c r="N207" s="25"/>
      <c r="O207" s="25"/>
      <c r="P207" s="25"/>
      <c r="Q207" s="26"/>
      <c r="R207" s="26"/>
      <c r="S207" s="25"/>
      <c r="T207" s="25"/>
    </row>
    <row r="208" spans="5:20" ht="12.75">
      <c r="E208" s="25"/>
      <c r="F208" s="25"/>
      <c r="G208" s="25"/>
      <c r="H208" s="25"/>
      <c r="I208" s="25"/>
      <c r="J208" s="25"/>
      <c r="K208" s="203"/>
      <c r="L208" s="25"/>
      <c r="M208" s="25"/>
      <c r="N208" s="25"/>
      <c r="O208" s="25"/>
      <c r="P208" s="25"/>
      <c r="Q208" s="26"/>
      <c r="R208" s="26"/>
      <c r="S208" s="25"/>
      <c r="T208" s="25"/>
    </row>
    <row r="209" spans="5:20" ht="12.75">
      <c r="E209" s="25"/>
      <c r="F209" s="25"/>
      <c r="G209" s="25"/>
      <c r="H209" s="25"/>
      <c r="I209" s="25"/>
      <c r="J209" s="25"/>
      <c r="K209" s="203"/>
      <c r="L209" s="25"/>
      <c r="M209" s="25"/>
      <c r="N209" s="25"/>
      <c r="O209" s="25"/>
      <c r="P209" s="25"/>
      <c r="Q209" s="26"/>
      <c r="R209" s="26"/>
      <c r="S209" s="25"/>
      <c r="T209" s="25"/>
    </row>
    <row r="210" spans="5:20" ht="12.75">
      <c r="E210" s="25"/>
      <c r="F210" s="25"/>
      <c r="G210" s="25"/>
      <c r="H210" s="25"/>
      <c r="I210" s="25"/>
      <c r="J210" s="25"/>
      <c r="K210" s="203"/>
      <c r="L210" s="25"/>
      <c r="M210" s="25"/>
      <c r="N210" s="25"/>
      <c r="O210" s="25"/>
      <c r="P210" s="25"/>
      <c r="Q210" s="26"/>
      <c r="R210" s="26"/>
      <c r="S210" s="25"/>
      <c r="T210" s="25"/>
    </row>
    <row r="211" spans="5:20" ht="12.75">
      <c r="E211" s="25"/>
      <c r="F211" s="25"/>
      <c r="G211" s="25"/>
      <c r="H211" s="25"/>
      <c r="I211" s="25"/>
      <c r="J211" s="25"/>
      <c r="K211" s="203"/>
      <c r="L211" s="25"/>
      <c r="M211" s="25"/>
      <c r="N211" s="25"/>
      <c r="O211" s="25"/>
      <c r="P211" s="25"/>
      <c r="Q211" s="26"/>
      <c r="R211" s="26"/>
      <c r="S211" s="25"/>
      <c r="T211" s="25"/>
    </row>
    <row r="212" spans="5:20" ht="12.75">
      <c r="E212" s="25"/>
      <c r="F212" s="25"/>
      <c r="G212" s="25"/>
      <c r="H212" s="25"/>
      <c r="I212" s="25"/>
      <c r="J212" s="25"/>
      <c r="K212" s="203"/>
      <c r="L212" s="25"/>
      <c r="M212" s="25"/>
      <c r="N212" s="25"/>
      <c r="O212" s="25"/>
      <c r="P212" s="25"/>
      <c r="Q212" s="26"/>
      <c r="R212" s="26"/>
      <c r="S212" s="25"/>
      <c r="T212" s="25"/>
    </row>
    <row r="213" spans="5:20" ht="12.75">
      <c r="E213" s="25"/>
      <c r="F213" s="25"/>
      <c r="G213" s="25"/>
      <c r="H213" s="25"/>
      <c r="I213" s="25"/>
      <c r="J213" s="25"/>
      <c r="K213" s="203"/>
      <c r="L213" s="25"/>
      <c r="M213" s="25"/>
      <c r="N213" s="25"/>
      <c r="O213" s="25"/>
      <c r="P213" s="25"/>
      <c r="Q213" s="26"/>
      <c r="R213" s="26"/>
      <c r="S213" s="25"/>
      <c r="T213" s="25"/>
    </row>
    <row r="214" spans="5:20" ht="12.75">
      <c r="E214" s="25"/>
      <c r="F214" s="25"/>
      <c r="G214" s="25"/>
      <c r="H214" s="25"/>
      <c r="I214" s="25"/>
      <c r="J214" s="25"/>
      <c r="K214" s="203"/>
      <c r="L214" s="25"/>
      <c r="M214" s="25"/>
      <c r="N214" s="25"/>
      <c r="O214" s="25"/>
      <c r="P214" s="25"/>
      <c r="Q214" s="26"/>
      <c r="R214" s="26"/>
      <c r="S214" s="25"/>
      <c r="T214" s="25"/>
    </row>
    <row r="215" spans="5:20" ht="12.75">
      <c r="E215" s="25"/>
      <c r="F215" s="25"/>
      <c r="G215" s="25"/>
      <c r="H215" s="25"/>
      <c r="I215" s="25"/>
      <c r="J215" s="25"/>
      <c r="K215" s="203"/>
      <c r="L215" s="25"/>
      <c r="M215" s="25"/>
      <c r="N215" s="25"/>
      <c r="O215" s="25"/>
      <c r="P215" s="25"/>
      <c r="Q215" s="26"/>
      <c r="R215" s="26"/>
      <c r="S215" s="25"/>
      <c r="T215" s="25"/>
    </row>
    <row r="216" spans="5:20" ht="12.75">
      <c r="E216" s="25"/>
      <c r="F216" s="25"/>
      <c r="G216" s="25"/>
      <c r="H216" s="25"/>
      <c r="I216" s="25"/>
      <c r="J216" s="25"/>
      <c r="K216" s="203"/>
      <c r="L216" s="25"/>
      <c r="M216" s="25"/>
      <c r="N216" s="25"/>
      <c r="O216" s="25"/>
      <c r="P216" s="25"/>
      <c r="Q216" s="26"/>
      <c r="R216" s="26"/>
      <c r="S216" s="25"/>
      <c r="T216" s="25"/>
    </row>
    <row r="217" spans="5:20" ht="12.75">
      <c r="E217" s="25"/>
      <c r="F217" s="25"/>
      <c r="G217" s="25"/>
      <c r="H217" s="25"/>
      <c r="I217" s="25"/>
      <c r="J217" s="25"/>
      <c r="K217" s="203"/>
      <c r="L217" s="25"/>
      <c r="M217" s="25"/>
      <c r="N217" s="25"/>
      <c r="O217" s="25"/>
      <c r="P217" s="25"/>
      <c r="Q217" s="26"/>
      <c r="R217" s="26"/>
      <c r="S217" s="25"/>
      <c r="T217" s="25"/>
    </row>
    <row r="218" spans="5:20" ht="12.75">
      <c r="E218" s="25"/>
      <c r="F218" s="25"/>
      <c r="G218" s="25"/>
      <c r="H218" s="25"/>
      <c r="I218" s="25"/>
      <c r="J218" s="25"/>
      <c r="K218" s="203"/>
      <c r="L218" s="25"/>
      <c r="M218" s="25"/>
      <c r="N218" s="25"/>
      <c r="O218" s="25"/>
      <c r="P218" s="25"/>
      <c r="Q218" s="26"/>
      <c r="R218" s="26"/>
      <c r="S218" s="25"/>
      <c r="T218" s="25"/>
    </row>
    <row r="219" spans="5:20" ht="12.75">
      <c r="E219" s="25"/>
      <c r="F219" s="25"/>
      <c r="G219" s="25"/>
      <c r="H219" s="25"/>
      <c r="I219" s="25"/>
      <c r="J219" s="25"/>
      <c r="K219" s="203"/>
      <c r="L219" s="25"/>
      <c r="M219" s="25"/>
      <c r="N219" s="25"/>
      <c r="O219" s="25"/>
      <c r="P219" s="25"/>
      <c r="Q219" s="26"/>
      <c r="R219" s="26"/>
      <c r="S219" s="25"/>
      <c r="T219" s="25"/>
    </row>
    <row r="220" spans="5:20" ht="12.75">
      <c r="E220" s="25"/>
      <c r="F220" s="25"/>
      <c r="G220" s="25"/>
      <c r="H220" s="25"/>
      <c r="I220" s="25"/>
      <c r="J220" s="25"/>
      <c r="K220" s="203"/>
      <c r="L220" s="25"/>
      <c r="M220" s="25"/>
      <c r="N220" s="25"/>
      <c r="O220" s="25"/>
      <c r="P220" s="25"/>
      <c r="Q220" s="26"/>
      <c r="R220" s="26"/>
      <c r="S220" s="25"/>
      <c r="T220" s="25"/>
    </row>
    <row r="221" spans="5:20" ht="12.75">
      <c r="E221" s="25"/>
      <c r="F221" s="25"/>
      <c r="G221" s="25"/>
      <c r="H221" s="25"/>
      <c r="I221" s="25"/>
      <c r="J221" s="25"/>
      <c r="K221" s="203"/>
      <c r="L221" s="25"/>
      <c r="M221" s="25"/>
      <c r="N221" s="25"/>
      <c r="O221" s="25"/>
      <c r="P221" s="25"/>
      <c r="Q221" s="26"/>
      <c r="R221" s="26"/>
      <c r="S221" s="25"/>
      <c r="T221" s="25"/>
    </row>
    <row r="222" spans="5:20" ht="12.75">
      <c r="E222" s="25"/>
      <c r="F222" s="25"/>
      <c r="G222" s="25"/>
      <c r="H222" s="25"/>
      <c r="I222" s="25"/>
      <c r="J222" s="25"/>
      <c r="K222" s="203"/>
      <c r="L222" s="25"/>
      <c r="M222" s="25"/>
      <c r="N222" s="25"/>
      <c r="O222" s="25"/>
      <c r="P222" s="25"/>
      <c r="Q222" s="26"/>
      <c r="R222" s="26"/>
      <c r="S222" s="25"/>
      <c r="T222" s="25"/>
    </row>
    <row r="223" spans="5:20" ht="12.75">
      <c r="E223" s="25"/>
      <c r="F223" s="25"/>
      <c r="G223" s="25"/>
      <c r="H223" s="25"/>
      <c r="I223" s="25"/>
      <c r="J223" s="25"/>
      <c r="K223" s="203"/>
      <c r="L223" s="25"/>
      <c r="M223" s="25"/>
      <c r="N223" s="25"/>
      <c r="O223" s="25"/>
      <c r="P223" s="25"/>
      <c r="Q223" s="26"/>
      <c r="R223" s="26"/>
      <c r="S223" s="25"/>
      <c r="T223" s="25"/>
    </row>
    <row r="224" spans="5:20" ht="12.75">
      <c r="E224" s="25"/>
      <c r="F224" s="25"/>
      <c r="G224" s="25"/>
      <c r="H224" s="25"/>
      <c r="I224" s="25"/>
      <c r="J224" s="25"/>
      <c r="K224" s="203"/>
      <c r="L224" s="25"/>
      <c r="M224" s="25"/>
      <c r="N224" s="25"/>
      <c r="O224" s="25"/>
      <c r="P224" s="25"/>
      <c r="Q224" s="26"/>
      <c r="R224" s="26"/>
      <c r="S224" s="25"/>
      <c r="T224" s="25"/>
    </row>
    <row r="225" spans="5:20" ht="12.75">
      <c r="E225" s="25"/>
      <c r="F225" s="25"/>
      <c r="G225" s="25"/>
      <c r="H225" s="25"/>
      <c r="I225" s="25"/>
      <c r="J225" s="25"/>
      <c r="K225" s="203"/>
      <c r="L225" s="25"/>
      <c r="M225" s="25"/>
      <c r="N225" s="25"/>
      <c r="O225" s="25"/>
      <c r="P225" s="25"/>
      <c r="Q225" s="26"/>
      <c r="R225" s="26"/>
      <c r="S225" s="25"/>
      <c r="T225" s="25"/>
    </row>
    <row r="226" spans="5:20" ht="12.75">
      <c r="E226" s="25"/>
      <c r="F226" s="25"/>
      <c r="G226" s="25"/>
      <c r="H226" s="25"/>
      <c r="I226" s="25"/>
      <c r="J226" s="25"/>
      <c r="K226" s="203"/>
      <c r="L226" s="25"/>
      <c r="M226" s="25"/>
      <c r="N226" s="25"/>
      <c r="O226" s="25"/>
      <c r="P226" s="25"/>
      <c r="Q226" s="26"/>
      <c r="R226" s="26"/>
      <c r="S226" s="25"/>
      <c r="T226" s="25"/>
    </row>
    <row r="227" spans="5:20" ht="12.75">
      <c r="E227" s="25"/>
      <c r="F227" s="25"/>
      <c r="G227" s="25"/>
      <c r="H227" s="25"/>
      <c r="I227" s="25"/>
      <c r="J227" s="25"/>
      <c r="K227" s="203"/>
      <c r="L227" s="25"/>
      <c r="M227" s="25"/>
      <c r="N227" s="25"/>
      <c r="O227" s="25"/>
      <c r="P227" s="25"/>
      <c r="Q227" s="26"/>
      <c r="R227" s="26"/>
      <c r="S227" s="25"/>
      <c r="T227" s="25"/>
    </row>
    <row r="228" spans="5:20" ht="12.75">
      <c r="E228" s="25"/>
      <c r="F228" s="25"/>
      <c r="G228" s="25"/>
      <c r="H228" s="25"/>
      <c r="I228" s="25"/>
      <c r="J228" s="25"/>
      <c r="K228" s="203"/>
      <c r="L228" s="25"/>
      <c r="M228" s="25"/>
      <c r="N228" s="25"/>
      <c r="O228" s="25"/>
      <c r="P228" s="25"/>
      <c r="Q228" s="26"/>
      <c r="R228" s="26"/>
      <c r="S228" s="25"/>
      <c r="T228" s="25"/>
    </row>
    <row r="229" spans="5:20" ht="12.75">
      <c r="E229" s="25"/>
      <c r="F229" s="25"/>
      <c r="G229" s="25"/>
      <c r="H229" s="25"/>
      <c r="I229" s="25"/>
      <c r="J229" s="25"/>
      <c r="K229" s="203"/>
      <c r="L229" s="25"/>
      <c r="M229" s="25"/>
      <c r="N229" s="25"/>
      <c r="O229" s="25"/>
      <c r="P229" s="25"/>
      <c r="Q229" s="26"/>
      <c r="R229" s="26"/>
      <c r="S229" s="25"/>
      <c r="T229" s="25"/>
    </row>
    <row r="230" spans="5:20" ht="12.75">
      <c r="E230" s="25"/>
      <c r="F230" s="25"/>
      <c r="G230" s="25"/>
      <c r="H230" s="25"/>
      <c r="I230" s="25"/>
      <c r="J230" s="25"/>
      <c r="K230" s="203"/>
      <c r="L230" s="25"/>
      <c r="M230" s="25"/>
      <c r="N230" s="25"/>
      <c r="O230" s="25"/>
      <c r="P230" s="25"/>
      <c r="Q230" s="26"/>
      <c r="R230" s="26"/>
      <c r="S230" s="25"/>
      <c r="T230" s="25"/>
    </row>
    <row r="231" spans="5:20" ht="12.75">
      <c r="E231" s="25"/>
      <c r="F231" s="25"/>
      <c r="G231" s="25"/>
      <c r="H231" s="25"/>
      <c r="I231" s="25"/>
      <c r="J231" s="25"/>
      <c r="K231" s="203"/>
      <c r="L231" s="25"/>
      <c r="M231" s="25"/>
      <c r="N231" s="25"/>
      <c r="O231" s="25"/>
      <c r="P231" s="25"/>
      <c r="Q231" s="26"/>
      <c r="R231" s="26"/>
      <c r="S231" s="25"/>
      <c r="T231" s="25"/>
    </row>
    <row r="232" spans="5:20" ht="12.75">
      <c r="E232" s="25"/>
      <c r="F232" s="25"/>
      <c r="G232" s="25"/>
      <c r="H232" s="25"/>
      <c r="I232" s="25"/>
      <c r="J232" s="25"/>
      <c r="K232" s="203"/>
      <c r="L232" s="25"/>
      <c r="M232" s="25"/>
      <c r="N232" s="25"/>
      <c r="O232" s="25"/>
      <c r="P232" s="25"/>
      <c r="Q232" s="26"/>
      <c r="R232" s="26"/>
      <c r="S232" s="25"/>
      <c r="T232" s="25"/>
    </row>
    <row r="233" spans="5:20" ht="12.75">
      <c r="E233" s="25"/>
      <c r="F233" s="25"/>
      <c r="G233" s="25"/>
      <c r="H233" s="25"/>
      <c r="I233" s="25"/>
      <c r="J233" s="25"/>
      <c r="K233" s="203"/>
      <c r="L233" s="25"/>
      <c r="M233" s="25"/>
      <c r="N233" s="25"/>
      <c r="O233" s="25"/>
      <c r="P233" s="25"/>
      <c r="Q233" s="26"/>
      <c r="R233" s="26"/>
      <c r="S233" s="25"/>
      <c r="T233" s="25"/>
    </row>
    <row r="234" spans="5:20" ht="12.75">
      <c r="E234" s="25"/>
      <c r="F234" s="25"/>
      <c r="G234" s="25"/>
      <c r="H234" s="25"/>
      <c r="I234" s="25"/>
      <c r="J234" s="25"/>
      <c r="K234" s="203"/>
      <c r="L234" s="25"/>
      <c r="M234" s="25"/>
      <c r="N234" s="25"/>
      <c r="O234" s="25"/>
      <c r="P234" s="25"/>
      <c r="Q234" s="26"/>
      <c r="R234" s="26"/>
      <c r="S234" s="25"/>
      <c r="T234" s="25"/>
    </row>
    <row r="235" spans="5:20" ht="12.75">
      <c r="E235" s="25"/>
      <c r="F235" s="25"/>
      <c r="G235" s="25"/>
      <c r="H235" s="25"/>
      <c r="I235" s="25"/>
      <c r="J235" s="25"/>
      <c r="K235" s="203"/>
      <c r="L235" s="25"/>
      <c r="M235" s="25"/>
      <c r="N235" s="25"/>
      <c r="O235" s="25"/>
      <c r="P235" s="25"/>
      <c r="Q235" s="26"/>
      <c r="R235" s="26"/>
      <c r="S235" s="25"/>
      <c r="T235" s="25"/>
    </row>
    <row r="236" spans="5:20" ht="12.75">
      <c r="E236" s="25"/>
      <c r="F236" s="25"/>
      <c r="G236" s="25"/>
      <c r="H236" s="25"/>
      <c r="I236" s="25"/>
      <c r="J236" s="25"/>
      <c r="K236" s="203"/>
      <c r="L236" s="25"/>
      <c r="M236" s="25"/>
      <c r="N236" s="25"/>
      <c r="O236" s="25"/>
      <c r="P236" s="25"/>
      <c r="Q236" s="26"/>
      <c r="R236" s="26"/>
      <c r="S236" s="25"/>
      <c r="T236" s="25"/>
    </row>
    <row r="237" spans="5:20" ht="12.75">
      <c r="E237" s="25"/>
      <c r="F237" s="25"/>
      <c r="G237" s="25"/>
      <c r="H237" s="25"/>
      <c r="I237" s="25"/>
      <c r="J237" s="25"/>
      <c r="K237" s="203"/>
      <c r="L237" s="25"/>
      <c r="M237" s="25"/>
      <c r="N237" s="25"/>
      <c r="O237" s="25"/>
      <c r="P237" s="25"/>
      <c r="Q237" s="26"/>
      <c r="R237" s="26"/>
      <c r="S237" s="25"/>
      <c r="T237" s="25"/>
    </row>
  </sheetData>
  <printOptions/>
  <pageMargins left="0.56" right="0.54" top="0.48" bottom="0.42" header="0.4" footer="0.29"/>
  <pageSetup horizontalDpi="300" verticalDpi="300" orientation="landscape" scale="59" r:id="rId3"/>
  <headerFooter alignWithMargins="0">
    <oddFooter>&amp;C&amp;F&amp;A&amp;R&amp;D&amp;T</oddFooter>
  </headerFooter>
  <colBreaks count="1" manualBreakCount="1">
    <brk id="1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43"/>
  <sheetViews>
    <sheetView workbookViewId="0" topLeftCell="C1">
      <selection activeCell="Q79" sqref="Q79"/>
    </sheetView>
  </sheetViews>
  <sheetFormatPr defaultColWidth="9.33203125" defaultRowHeight="12.75"/>
  <cols>
    <col min="1" max="2" width="3" style="3" customWidth="1"/>
    <col min="3" max="3" width="5.5" style="21" customWidth="1"/>
    <col min="4" max="4" width="35.16015625" style="21" customWidth="1"/>
    <col min="5" max="5" width="9.83203125" style="3" bestFit="1" customWidth="1"/>
    <col min="6" max="6" width="15.5" style="3" customWidth="1"/>
    <col min="7" max="7" width="13.33203125" style="3" bestFit="1" customWidth="1"/>
    <col min="8" max="8" width="15" style="3" customWidth="1"/>
    <col min="9" max="9" width="14" style="44" customWidth="1"/>
    <col min="10" max="10" width="15" style="3" customWidth="1"/>
    <col min="11" max="11" width="14" style="3" customWidth="1"/>
    <col min="12" max="12" width="13.83203125" style="3" customWidth="1"/>
    <col min="13" max="13" width="2.83203125" style="18" bestFit="1" customWidth="1"/>
    <col min="14" max="15" width="13.83203125" style="3" customWidth="1"/>
    <col min="16" max="16384" width="9.33203125" style="3" customWidth="1"/>
  </cols>
  <sheetData>
    <row r="1" spans="3:4" ht="12.75">
      <c r="C1" s="20" t="s">
        <v>30</v>
      </c>
      <c r="D1" s="20"/>
    </row>
    <row r="2" spans="3:4" ht="12.75">
      <c r="C2" s="159" t="s">
        <v>339</v>
      </c>
      <c r="D2" s="22"/>
    </row>
    <row r="3" spans="3:4" ht="12.75">
      <c r="C3" s="22" t="str">
        <f>GasWAAdj!C3</f>
        <v>Twelve Months Ended September 30, 2008</v>
      </c>
      <c r="D3" s="22"/>
    </row>
    <row r="4" spans="3:15" ht="12.75">
      <c r="C4" s="23"/>
      <c r="D4" s="23"/>
      <c r="E4" s="4"/>
      <c r="F4" s="4" t="str">
        <f>GasWAAdj!H4</f>
        <v>2008 Increase</v>
      </c>
      <c r="G4" s="4"/>
      <c r="H4" s="4" t="str">
        <f>GasWAAdj!J4</f>
        <v>2009 Increase</v>
      </c>
      <c r="I4" s="201"/>
      <c r="J4" s="4" t="str">
        <f>GasWAAdj!L4</f>
        <v>2010 Increase</v>
      </c>
      <c r="K4" s="4"/>
      <c r="L4" s="4" t="s">
        <v>0</v>
      </c>
      <c r="M4" s="33"/>
      <c r="N4" s="4" t="s">
        <v>37</v>
      </c>
      <c r="O4" s="4" t="s">
        <v>479</v>
      </c>
    </row>
    <row r="5" spans="3:15" ht="12.75">
      <c r="C5" s="23"/>
      <c r="D5" s="23"/>
      <c r="E5" s="4"/>
      <c r="F5" s="145">
        <f>'LaborAdj%'!D26</f>
        <v>0.01519</v>
      </c>
      <c r="G5" s="4" t="s">
        <v>2</v>
      </c>
      <c r="H5" s="145">
        <f>'LaborAdj%'!D28</f>
        <v>0.038</v>
      </c>
      <c r="I5" s="201" t="s">
        <v>2</v>
      </c>
      <c r="J5" s="145">
        <f>'LaborAdj%'!D30</f>
        <v>0.038</v>
      </c>
      <c r="K5" s="4" t="s">
        <v>2</v>
      </c>
      <c r="L5" s="53" t="str">
        <f>GasWAAdj!N5</f>
        <v>2008,2009,2010</v>
      </c>
      <c r="M5" s="33"/>
      <c r="N5" s="4" t="s">
        <v>45</v>
      </c>
      <c r="O5" s="4" t="s">
        <v>45</v>
      </c>
    </row>
    <row r="6" spans="5:15" ht="12.75">
      <c r="E6" s="231" t="s">
        <v>340</v>
      </c>
      <c r="F6" s="1">
        <f>'LaborAdj%'!D11</f>
        <v>0.01698</v>
      </c>
      <c r="G6" s="5" t="str">
        <f>GasWAAdj!I6</f>
        <v>2008 Increase</v>
      </c>
      <c r="H6" s="1">
        <f>'LaborAdj%'!D13</f>
        <v>0.04</v>
      </c>
      <c r="I6" s="202" t="str">
        <f>GasWAAdj!K6</f>
        <v>2009 Increase</v>
      </c>
      <c r="J6" s="1">
        <f>'LaborAdj%'!D15</f>
        <v>0.038</v>
      </c>
      <c r="K6" s="5" t="str">
        <f>GasWAAdj!M6</f>
        <v>2010 Increase</v>
      </c>
      <c r="L6" s="5" t="s">
        <v>3</v>
      </c>
      <c r="M6" s="6"/>
      <c r="N6" s="5" t="s">
        <v>4</v>
      </c>
      <c r="O6" s="5" t="s">
        <v>4</v>
      </c>
    </row>
    <row r="7" spans="5:12" ht="12.75">
      <c r="E7" s="6"/>
      <c r="F7" s="1"/>
      <c r="G7" s="5"/>
      <c r="H7" s="1"/>
      <c r="I7" s="202"/>
      <c r="J7" s="1"/>
      <c r="K7" s="5"/>
      <c r="L7" s="5"/>
    </row>
    <row r="8" spans="3:12" ht="12.75">
      <c r="C8" s="21" t="s">
        <v>48</v>
      </c>
      <c r="E8" s="6"/>
      <c r="F8" s="1"/>
      <c r="G8" s="5"/>
      <c r="H8" s="1"/>
      <c r="I8" s="202"/>
      <c r="J8" s="1"/>
      <c r="K8" s="5"/>
      <c r="L8" s="5"/>
    </row>
    <row r="9" spans="2:15" ht="12.75">
      <c r="B9" s="3" t="s">
        <v>33</v>
      </c>
      <c r="C9" s="2" t="s">
        <v>293</v>
      </c>
      <c r="D9" s="22"/>
      <c r="E9" s="25">
        <f>ROUND('GasLabor$South'!G10,0)</f>
        <v>0</v>
      </c>
      <c r="F9" s="28">
        <f>ROUND(IF($B9="a",E9*F$5,E9*F$6),0)</f>
        <v>0</v>
      </c>
      <c r="G9" s="25">
        <f>SUM(E9:F9)</f>
        <v>0</v>
      </c>
      <c r="H9" s="27">
        <f>ROUND(IF($B9="a",G9*H$5,G9*H$6),0)</f>
        <v>0</v>
      </c>
      <c r="I9" s="203">
        <f>SUM(G9:H9)</f>
        <v>0</v>
      </c>
      <c r="J9" s="27">
        <f>ROUND(IF($B9="a",I9*J$5,I9*J$6),0)</f>
        <v>0</v>
      </c>
      <c r="K9" s="25">
        <f>J9+I9</f>
        <v>0</v>
      </c>
      <c r="L9" s="25">
        <f>+F9+H9+J9</f>
        <v>0</v>
      </c>
      <c r="M9" s="26"/>
      <c r="N9" s="25">
        <f>ROUND($N$79*E9/E$77,0)</f>
        <v>0</v>
      </c>
      <c r="O9" s="25">
        <f>ROUND($O$79*F9/F$77,0)</f>
        <v>0</v>
      </c>
    </row>
    <row r="10" spans="2:15" ht="12.75">
      <c r="B10" s="3" t="s">
        <v>33</v>
      </c>
      <c r="C10" s="2" t="s">
        <v>294</v>
      </c>
      <c r="D10" s="22"/>
      <c r="E10" s="25">
        <f>ROUND('GasLabor$South'!G11,0)</f>
        <v>0</v>
      </c>
      <c r="F10" s="28">
        <f>ROUND(IF($B10="a",E10*F$5,E10*F$6),0)</f>
        <v>0</v>
      </c>
      <c r="G10" s="25">
        <f>SUM(E10:F10)</f>
        <v>0</v>
      </c>
      <c r="H10" s="27">
        <f>ROUND(IF($B10="a",G10*H$5,G10*H$6),0)</f>
        <v>0</v>
      </c>
      <c r="I10" s="203">
        <f>SUM(G10:H10)</f>
        <v>0</v>
      </c>
      <c r="J10" s="27">
        <f>ROUND(IF($B10="a",I10*J$5,I10*J$6),0)</f>
        <v>0</v>
      </c>
      <c r="K10" s="25">
        <f>J10+I10</f>
        <v>0</v>
      </c>
      <c r="L10" s="25">
        <f>+F10+H10+J10</f>
        <v>0</v>
      </c>
      <c r="M10" s="26"/>
      <c r="N10" s="25">
        <f>ROUND($N$79*E10/E$77,0)</f>
        <v>0</v>
      </c>
      <c r="O10" s="25">
        <f>ROUND($O$79*F10/F$77,0)</f>
        <v>0</v>
      </c>
    </row>
    <row r="11" spans="2:15" ht="12.75">
      <c r="B11" s="3" t="s">
        <v>33</v>
      </c>
      <c r="C11" s="2" t="s">
        <v>295</v>
      </c>
      <c r="D11" s="22"/>
      <c r="E11" s="25">
        <f>ROUND('GasLabor$South'!G12,0)</f>
        <v>262867</v>
      </c>
      <c r="F11" s="28">
        <f>ROUND(IF($B11="a",E11*F$5,E11*F$6),0)</f>
        <v>3993</v>
      </c>
      <c r="G11" s="25">
        <f>SUM(E11:F11)</f>
        <v>266860</v>
      </c>
      <c r="H11" s="27">
        <f>ROUND(IF($B11="a",G11*H$5,G11*H$6),0)</f>
        <v>10141</v>
      </c>
      <c r="I11" s="203">
        <f>SUM(G11:H11)</f>
        <v>277001</v>
      </c>
      <c r="J11" s="27">
        <f>ROUND(IF($B11="a",I11*J$5,I11*J$6),0)</f>
        <v>10526</v>
      </c>
      <c r="K11" s="25">
        <f>J11+I11</f>
        <v>287527</v>
      </c>
      <c r="L11" s="25">
        <f>+F11+H11+J11</f>
        <v>24660</v>
      </c>
      <c r="M11" s="26"/>
      <c r="N11" s="25">
        <f>ROUND($N$79*E11/E$77,0)</f>
        <v>23681</v>
      </c>
      <c r="O11" s="25">
        <f>ROUND($O$79*F11/F$77,0)</f>
        <v>7930</v>
      </c>
    </row>
    <row r="12" spans="3:15" ht="12.75">
      <c r="C12" s="21" t="s">
        <v>39</v>
      </c>
      <c r="E12" s="29">
        <f aca="true" t="shared" si="0" ref="E12:K12">SUM(E9:E11)</f>
        <v>262867</v>
      </c>
      <c r="F12" s="29">
        <f t="shared" si="0"/>
        <v>3993</v>
      </c>
      <c r="G12" s="29">
        <f t="shared" si="0"/>
        <v>266860</v>
      </c>
      <c r="H12" s="29">
        <f t="shared" si="0"/>
        <v>10141</v>
      </c>
      <c r="I12" s="204">
        <f t="shared" si="0"/>
        <v>277001</v>
      </c>
      <c r="J12" s="29">
        <f t="shared" si="0"/>
        <v>10526</v>
      </c>
      <c r="K12" s="29">
        <f t="shared" si="0"/>
        <v>287527</v>
      </c>
      <c r="L12" s="207">
        <f>SUM(L9:L11)</f>
        <v>24660</v>
      </c>
      <c r="M12" s="35"/>
      <c r="N12" s="207">
        <f>SUM(N9:N11)</f>
        <v>23681</v>
      </c>
      <c r="O12" s="207">
        <f>SUM(O9:O11)</f>
        <v>7930</v>
      </c>
    </row>
    <row r="13" spans="5:15" ht="12.75">
      <c r="E13" s="30"/>
      <c r="F13" s="30"/>
      <c r="G13" s="30"/>
      <c r="H13" s="30"/>
      <c r="I13" s="205"/>
      <c r="J13" s="30"/>
      <c r="K13" s="30"/>
      <c r="L13" s="30"/>
      <c r="M13" s="35"/>
      <c r="N13" s="30"/>
      <c r="O13" s="30"/>
    </row>
    <row r="14" spans="3:15" ht="12.75">
      <c r="C14" s="21" t="s">
        <v>130</v>
      </c>
      <c r="E14" s="30"/>
      <c r="F14" s="65"/>
      <c r="G14" s="26"/>
      <c r="H14" s="65"/>
      <c r="I14" s="206"/>
      <c r="J14" s="65"/>
      <c r="K14" s="26"/>
      <c r="L14" s="26"/>
      <c r="M14" s="26"/>
      <c r="N14" s="26"/>
      <c r="O14" s="26"/>
    </row>
    <row r="15" spans="2:15" ht="12.75">
      <c r="B15" s="3" t="s">
        <v>33</v>
      </c>
      <c r="C15" s="2" t="s">
        <v>296</v>
      </c>
      <c r="D15" s="22"/>
      <c r="E15" s="25">
        <f>ROUND('GasLabor$South'!G16,0)</f>
        <v>0</v>
      </c>
      <c r="F15" s="28">
        <f>ROUND(IF($B15="a",E15*F$5,E15*F$6),0)</f>
        <v>0</v>
      </c>
      <c r="G15" s="26">
        <f>SUM(E15:F15)</f>
        <v>0</v>
      </c>
      <c r="H15" s="27">
        <f>ROUND(IF($B15="a",G15*H$5,G15*H$6),0)</f>
        <v>0</v>
      </c>
      <c r="I15" s="203">
        <f>SUM(G15:H15)</f>
        <v>0</v>
      </c>
      <c r="J15" s="27">
        <f>ROUND(IF($B15="a",I15*J$5,I15*J$6),0)</f>
        <v>0</v>
      </c>
      <c r="K15" s="25">
        <f>J15+I15</f>
        <v>0</v>
      </c>
      <c r="L15" s="25">
        <f>+F15+H15+J15</f>
        <v>0</v>
      </c>
      <c r="M15" s="26"/>
      <c r="N15" s="25">
        <f>ROUND($N$79*E15/E$77,0)</f>
        <v>0</v>
      </c>
      <c r="O15" s="25">
        <f>ROUND($O$79*F15/F$77,0)</f>
        <v>0</v>
      </c>
    </row>
    <row r="16" spans="3:15" ht="12.75">
      <c r="C16" s="2" t="s">
        <v>297</v>
      </c>
      <c r="D16" s="22"/>
      <c r="E16" s="25">
        <f>ROUND('GasLabor$South'!G17,0)</f>
        <v>0</v>
      </c>
      <c r="F16" s="28">
        <f>ROUND(IF($B16="a",E16*F$5,E16*F$6),0)</f>
        <v>0</v>
      </c>
      <c r="G16" s="26">
        <f>SUM(E16:F16)</f>
        <v>0</v>
      </c>
      <c r="H16" s="25">
        <f>ROUND(IF($B16="a",G16*H$5,G16*H$6),0)</f>
        <v>0</v>
      </c>
      <c r="I16" s="203">
        <f>SUM(G16:H16)</f>
        <v>0</v>
      </c>
      <c r="J16" s="25">
        <f>ROUND(IF($B16="a",I16*J$5,I16*J$6),0)</f>
        <v>0</v>
      </c>
      <c r="K16" s="25">
        <f>J16+I16</f>
        <v>0</v>
      </c>
      <c r="L16" s="25">
        <f>+F16+H16+J16</f>
        <v>0</v>
      </c>
      <c r="M16" s="26"/>
      <c r="N16" s="25">
        <f>ROUND($N$79*E16/E$77,0)</f>
        <v>0</v>
      </c>
      <c r="O16" s="25">
        <f>ROUND($O$79*F16/F$77,0)</f>
        <v>0</v>
      </c>
    </row>
    <row r="17" spans="3:15" ht="12.75">
      <c r="C17" s="22" t="s">
        <v>43</v>
      </c>
      <c r="D17" s="22"/>
      <c r="E17" s="29">
        <f aca="true" t="shared" si="1" ref="E17:O17">SUM(E15:E16)</f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04">
        <f t="shared" si="1"/>
        <v>0</v>
      </c>
      <c r="J17" s="29">
        <f t="shared" si="1"/>
        <v>0</v>
      </c>
      <c r="K17" s="29">
        <f t="shared" si="1"/>
        <v>0</v>
      </c>
      <c r="L17" s="207">
        <f t="shared" si="1"/>
        <v>0</v>
      </c>
      <c r="M17" s="29"/>
      <c r="N17" s="207">
        <f t="shared" si="1"/>
        <v>0</v>
      </c>
      <c r="O17" s="207">
        <f t="shared" si="1"/>
        <v>0</v>
      </c>
    </row>
    <row r="18" spans="5:15" ht="12.75">
      <c r="E18" s="30"/>
      <c r="F18" s="66"/>
      <c r="G18" s="26"/>
      <c r="H18" s="66"/>
      <c r="I18" s="206"/>
      <c r="J18" s="66"/>
      <c r="K18" s="26"/>
      <c r="L18" s="26"/>
      <c r="M18" s="26"/>
      <c r="N18" s="26"/>
      <c r="O18" s="26"/>
    </row>
    <row r="19" spans="3:15" ht="12.75">
      <c r="C19" s="21" t="s">
        <v>7</v>
      </c>
      <c r="E19" s="30"/>
      <c r="F19" s="65"/>
      <c r="G19" s="26"/>
      <c r="H19" s="65"/>
      <c r="I19" s="206"/>
      <c r="J19" s="65"/>
      <c r="K19" s="26"/>
      <c r="L19" s="26"/>
      <c r="M19" s="26"/>
      <c r="N19" s="26"/>
      <c r="O19" s="26"/>
    </row>
    <row r="20" spans="2:15" ht="12.75">
      <c r="B20" s="3" t="s">
        <v>33</v>
      </c>
      <c r="C20" s="2" t="s">
        <v>298</v>
      </c>
      <c r="D20" s="22"/>
      <c r="E20" s="25">
        <f>ROUND('GasLabor$South'!G21,0)</f>
        <v>226093</v>
      </c>
      <c r="F20" s="28">
        <f aca="true" t="shared" si="2" ref="F20:F40">ROUND(IF($B20="a",E20*F$5,E20*F$6),0)</f>
        <v>3434</v>
      </c>
      <c r="G20" s="25">
        <f>SUM(E20:F20)</f>
        <v>229527</v>
      </c>
      <c r="H20" s="27">
        <f aca="true" t="shared" si="3" ref="H20:H40">ROUND(IF($B20="a",G20*H$5,G20*H$6),0)</f>
        <v>8722</v>
      </c>
      <c r="I20" s="203">
        <f>SUM(G20:H20)</f>
        <v>238249</v>
      </c>
      <c r="J20" s="27">
        <f aca="true" t="shared" si="4" ref="J20:J40">ROUND(IF($B20="a",I20*J$5,I20*J$6),0)</f>
        <v>9053</v>
      </c>
      <c r="K20" s="25">
        <f aca="true" t="shared" si="5" ref="K20:K40">J20+I20</f>
        <v>247302</v>
      </c>
      <c r="L20" s="25">
        <f aca="true" t="shared" si="6" ref="L20:L40">+F20+H20+J20</f>
        <v>21209</v>
      </c>
      <c r="M20" s="26"/>
      <c r="N20" s="25">
        <f>ROUND($N$79*E20/E$77,0)</f>
        <v>20368</v>
      </c>
      <c r="O20" s="25">
        <f>ROUND($O$79*F20/F$77,0)</f>
        <v>6820</v>
      </c>
    </row>
    <row r="21" spans="3:15" ht="12.75">
      <c r="C21" s="22" t="s">
        <v>299</v>
      </c>
      <c r="D21" s="22"/>
      <c r="E21" s="25">
        <f>ROUND('GasLabor$South'!G22,0)</f>
        <v>0</v>
      </c>
      <c r="F21" s="28">
        <f t="shared" si="2"/>
        <v>0</v>
      </c>
      <c r="G21" s="25">
        <f aca="true" t="shared" si="7" ref="G21:G40">SUM(E21:F21)</f>
        <v>0</v>
      </c>
      <c r="H21" s="65">
        <f t="shared" si="3"/>
        <v>0</v>
      </c>
      <c r="I21" s="203">
        <f aca="true" t="shared" si="8" ref="I21:I40">SUM(G21:H21)</f>
        <v>0</v>
      </c>
      <c r="J21" s="65">
        <f t="shared" si="4"/>
        <v>0</v>
      </c>
      <c r="K21" s="26">
        <f t="shared" si="5"/>
        <v>0</v>
      </c>
      <c r="L21" s="25">
        <f t="shared" si="6"/>
        <v>0</v>
      </c>
      <c r="M21" s="26"/>
      <c r="N21" s="25">
        <f aca="true" t="shared" si="9" ref="N21:N40">ROUND($N$79*E21/E$77,0)</f>
        <v>0</v>
      </c>
      <c r="O21" s="25">
        <f aca="true" t="shared" si="10" ref="O21:O40">ROUND($O$79*F21/F$77,0)</f>
        <v>0</v>
      </c>
    </row>
    <row r="22" spans="3:15" ht="12.75">
      <c r="C22" s="179">
        <v>872</v>
      </c>
      <c r="D22" s="22"/>
      <c r="E22" s="25">
        <f>ROUND('GasLabor$South'!G23,0)</f>
        <v>0</v>
      </c>
      <c r="F22" s="28">
        <f t="shared" si="2"/>
        <v>0</v>
      </c>
      <c r="G22" s="25">
        <f t="shared" si="7"/>
        <v>0</v>
      </c>
      <c r="H22" s="65">
        <f t="shared" si="3"/>
        <v>0</v>
      </c>
      <c r="I22" s="203">
        <f t="shared" si="8"/>
        <v>0</v>
      </c>
      <c r="J22" s="65">
        <f t="shared" si="4"/>
        <v>0</v>
      </c>
      <c r="K22" s="26">
        <f>SUM(I22:J22)</f>
        <v>0</v>
      </c>
      <c r="L22" s="25">
        <f>+F22+H22+J22</f>
        <v>0</v>
      </c>
      <c r="M22" s="26"/>
      <c r="N22" s="25">
        <f t="shared" si="9"/>
        <v>0</v>
      </c>
      <c r="O22" s="25">
        <f t="shared" si="10"/>
        <v>0</v>
      </c>
    </row>
    <row r="23" spans="3:15" ht="12.75">
      <c r="C23" s="2" t="s">
        <v>300</v>
      </c>
      <c r="D23" s="22"/>
      <c r="E23" s="25">
        <f>ROUND('GasLabor$South'!G24,0)</f>
        <v>321648</v>
      </c>
      <c r="F23" s="28">
        <f t="shared" si="2"/>
        <v>5462</v>
      </c>
      <c r="G23" s="25">
        <f t="shared" si="7"/>
        <v>327110</v>
      </c>
      <c r="H23" s="26">
        <f t="shared" si="3"/>
        <v>13084</v>
      </c>
      <c r="I23" s="203">
        <f t="shared" si="8"/>
        <v>340194</v>
      </c>
      <c r="J23" s="26">
        <f t="shared" si="4"/>
        <v>12927</v>
      </c>
      <c r="K23" s="26">
        <f t="shared" si="5"/>
        <v>353121</v>
      </c>
      <c r="L23" s="25">
        <f>+F23+H23+J23</f>
        <v>31473</v>
      </c>
      <c r="M23" s="26"/>
      <c r="N23" s="25">
        <f t="shared" si="9"/>
        <v>28976</v>
      </c>
      <c r="O23" s="25">
        <f t="shared" si="10"/>
        <v>10848</v>
      </c>
    </row>
    <row r="24" spans="3:15" ht="12.75">
      <c r="C24" s="2" t="s">
        <v>301</v>
      </c>
      <c r="D24" s="22"/>
      <c r="E24" s="25">
        <f>ROUND('GasLabor$South'!G25,0)</f>
        <v>124752</v>
      </c>
      <c r="F24" s="28">
        <f t="shared" si="2"/>
        <v>2118</v>
      </c>
      <c r="G24" s="25">
        <f t="shared" si="7"/>
        <v>126870</v>
      </c>
      <c r="H24" s="26">
        <f t="shared" si="3"/>
        <v>5075</v>
      </c>
      <c r="I24" s="203">
        <f t="shared" si="8"/>
        <v>131945</v>
      </c>
      <c r="J24" s="26">
        <f t="shared" si="4"/>
        <v>5014</v>
      </c>
      <c r="K24" s="26">
        <f t="shared" si="5"/>
        <v>136959</v>
      </c>
      <c r="L24" s="25">
        <f t="shared" si="6"/>
        <v>12207</v>
      </c>
      <c r="M24" s="26"/>
      <c r="N24" s="25">
        <f t="shared" si="9"/>
        <v>11238</v>
      </c>
      <c r="O24" s="25">
        <f t="shared" si="10"/>
        <v>4206</v>
      </c>
    </row>
    <row r="25" spans="3:15" ht="12.75">
      <c r="C25" s="2" t="s">
        <v>302</v>
      </c>
      <c r="D25" s="22"/>
      <c r="E25" s="25">
        <f>ROUND('GasLabor$South'!G26,0)</f>
        <v>12465</v>
      </c>
      <c r="F25" s="28">
        <f t="shared" si="2"/>
        <v>212</v>
      </c>
      <c r="G25" s="25">
        <f t="shared" si="7"/>
        <v>12677</v>
      </c>
      <c r="H25" s="26">
        <f t="shared" si="3"/>
        <v>507</v>
      </c>
      <c r="I25" s="203">
        <f t="shared" si="8"/>
        <v>13184</v>
      </c>
      <c r="J25" s="26">
        <f t="shared" si="4"/>
        <v>501</v>
      </c>
      <c r="K25" s="26">
        <f t="shared" si="5"/>
        <v>13685</v>
      </c>
      <c r="L25" s="25">
        <f t="shared" si="6"/>
        <v>1220</v>
      </c>
      <c r="M25" s="26"/>
      <c r="N25" s="25">
        <f t="shared" si="9"/>
        <v>1123</v>
      </c>
      <c r="O25" s="25">
        <f t="shared" si="10"/>
        <v>421</v>
      </c>
    </row>
    <row r="26" spans="3:15" ht="12.75">
      <c r="C26" s="2" t="s">
        <v>303</v>
      </c>
      <c r="D26" s="22"/>
      <c r="E26" s="25">
        <f>ROUND('GasLabor$South'!G27,0)</f>
        <v>276</v>
      </c>
      <c r="F26" s="28">
        <f t="shared" si="2"/>
        <v>5</v>
      </c>
      <c r="G26" s="25">
        <f t="shared" si="7"/>
        <v>281</v>
      </c>
      <c r="H26" s="65">
        <f t="shared" si="3"/>
        <v>11</v>
      </c>
      <c r="I26" s="203">
        <f t="shared" si="8"/>
        <v>292</v>
      </c>
      <c r="J26" s="65">
        <f t="shared" si="4"/>
        <v>11</v>
      </c>
      <c r="K26" s="26">
        <f t="shared" si="5"/>
        <v>303</v>
      </c>
      <c r="L26" s="25">
        <f t="shared" si="6"/>
        <v>27</v>
      </c>
      <c r="M26" s="26"/>
      <c r="N26" s="25">
        <f t="shared" si="9"/>
        <v>25</v>
      </c>
      <c r="O26" s="25">
        <f t="shared" si="10"/>
        <v>10</v>
      </c>
    </row>
    <row r="27" spans="3:15" ht="12.75">
      <c r="C27" s="2" t="s">
        <v>304</v>
      </c>
      <c r="D27" s="22"/>
      <c r="E27" s="25">
        <f>ROUND('GasLabor$South'!G28,0)</f>
        <v>372263</v>
      </c>
      <c r="F27" s="28">
        <f t="shared" si="2"/>
        <v>6321</v>
      </c>
      <c r="G27" s="25">
        <f t="shared" si="7"/>
        <v>378584</v>
      </c>
      <c r="H27" s="65">
        <f t="shared" si="3"/>
        <v>15143</v>
      </c>
      <c r="I27" s="203">
        <f t="shared" si="8"/>
        <v>393727</v>
      </c>
      <c r="J27" s="65">
        <f t="shared" si="4"/>
        <v>14962</v>
      </c>
      <c r="K27" s="26">
        <f t="shared" si="5"/>
        <v>408689</v>
      </c>
      <c r="L27" s="25">
        <f t="shared" si="6"/>
        <v>36426</v>
      </c>
      <c r="M27" s="26"/>
      <c r="N27" s="25">
        <f t="shared" si="9"/>
        <v>33536</v>
      </c>
      <c r="O27" s="25">
        <f t="shared" si="10"/>
        <v>12554</v>
      </c>
    </row>
    <row r="28" spans="3:15" ht="12.75">
      <c r="C28" s="2" t="s">
        <v>305</v>
      </c>
      <c r="D28" s="22"/>
      <c r="E28" s="25">
        <f>ROUND('GasLabor$South'!G29,0)</f>
        <v>536337</v>
      </c>
      <c r="F28" s="28">
        <f t="shared" si="2"/>
        <v>9107</v>
      </c>
      <c r="G28" s="25">
        <f t="shared" si="7"/>
        <v>545444</v>
      </c>
      <c r="H28" s="65">
        <f t="shared" si="3"/>
        <v>21818</v>
      </c>
      <c r="I28" s="203">
        <f t="shared" si="8"/>
        <v>567262</v>
      </c>
      <c r="J28" s="65">
        <f t="shared" si="4"/>
        <v>21556</v>
      </c>
      <c r="K28" s="26">
        <f t="shared" si="5"/>
        <v>588818</v>
      </c>
      <c r="L28" s="25">
        <f t="shared" si="6"/>
        <v>52481</v>
      </c>
      <c r="M28" s="26"/>
      <c r="N28" s="25">
        <f t="shared" si="9"/>
        <v>48316</v>
      </c>
      <c r="O28" s="25">
        <f t="shared" si="10"/>
        <v>18087</v>
      </c>
    </row>
    <row r="29" spans="3:15" ht="12.75">
      <c r="C29" s="2" t="s">
        <v>306</v>
      </c>
      <c r="D29" s="22"/>
      <c r="E29" s="25">
        <f>ROUND('GasLabor$South'!G30,0)</f>
        <v>305529</v>
      </c>
      <c r="F29" s="28">
        <f t="shared" si="2"/>
        <v>5188</v>
      </c>
      <c r="G29" s="25">
        <f t="shared" si="7"/>
        <v>310717</v>
      </c>
      <c r="H29" s="65">
        <f t="shared" si="3"/>
        <v>12429</v>
      </c>
      <c r="I29" s="203">
        <f t="shared" si="8"/>
        <v>323146</v>
      </c>
      <c r="J29" s="65">
        <f t="shared" si="4"/>
        <v>12280</v>
      </c>
      <c r="K29" s="26">
        <f t="shared" si="5"/>
        <v>335426</v>
      </c>
      <c r="L29" s="25">
        <f t="shared" si="6"/>
        <v>29897</v>
      </c>
      <c r="M29" s="26"/>
      <c r="N29" s="25">
        <f t="shared" si="9"/>
        <v>27524</v>
      </c>
      <c r="O29" s="25">
        <f t="shared" si="10"/>
        <v>10304</v>
      </c>
    </row>
    <row r="30" spans="3:15" ht="12.75">
      <c r="C30" s="177">
        <v>881</v>
      </c>
      <c r="D30" s="22"/>
      <c r="E30" s="25">
        <f>ROUND('GasLabor$South'!G31,0)</f>
        <v>0</v>
      </c>
      <c r="F30" s="28">
        <f t="shared" si="2"/>
        <v>0</v>
      </c>
      <c r="G30" s="25">
        <f t="shared" si="7"/>
        <v>0</v>
      </c>
      <c r="H30" s="65">
        <f t="shared" si="3"/>
        <v>0</v>
      </c>
      <c r="I30" s="203">
        <f t="shared" si="8"/>
        <v>0</v>
      </c>
      <c r="J30" s="65">
        <f t="shared" si="4"/>
        <v>0</v>
      </c>
      <c r="K30" s="26">
        <f t="shared" si="5"/>
        <v>0</v>
      </c>
      <c r="L30" s="25">
        <f t="shared" si="6"/>
        <v>0</v>
      </c>
      <c r="M30" s="26"/>
      <c r="N30" s="25">
        <f t="shared" si="9"/>
        <v>0</v>
      </c>
      <c r="O30" s="25">
        <f t="shared" si="10"/>
        <v>0</v>
      </c>
    </row>
    <row r="31" spans="3:15" ht="12.75">
      <c r="C31" s="2" t="s">
        <v>307</v>
      </c>
      <c r="D31" s="2"/>
      <c r="E31" s="25">
        <f>ROUND('GasLabor$South'!G32,0)</f>
        <v>54545</v>
      </c>
      <c r="F31" s="28">
        <f t="shared" si="2"/>
        <v>926</v>
      </c>
      <c r="G31" s="25">
        <f t="shared" si="7"/>
        <v>55471</v>
      </c>
      <c r="H31" s="65">
        <f t="shared" si="3"/>
        <v>2219</v>
      </c>
      <c r="I31" s="203">
        <f t="shared" si="8"/>
        <v>57690</v>
      </c>
      <c r="J31" s="65">
        <f t="shared" si="4"/>
        <v>2192</v>
      </c>
      <c r="K31" s="26">
        <f t="shared" si="5"/>
        <v>59882</v>
      </c>
      <c r="L31" s="25">
        <f t="shared" si="6"/>
        <v>5337</v>
      </c>
      <c r="M31" s="26"/>
      <c r="N31" s="25">
        <f t="shared" si="9"/>
        <v>4914</v>
      </c>
      <c r="O31" s="25">
        <f t="shared" si="10"/>
        <v>1839</v>
      </c>
    </row>
    <row r="32" spans="3:15" ht="12.75">
      <c r="C32" s="2" t="s">
        <v>308</v>
      </c>
      <c r="D32" s="2"/>
      <c r="E32" s="25">
        <f>ROUND('GasLabor$South'!G33,0)</f>
        <v>0</v>
      </c>
      <c r="F32" s="28">
        <f t="shared" si="2"/>
        <v>0</v>
      </c>
      <c r="G32" s="25">
        <f t="shared" si="7"/>
        <v>0</v>
      </c>
      <c r="H32" s="65">
        <f t="shared" si="3"/>
        <v>0</v>
      </c>
      <c r="I32" s="203">
        <f t="shared" si="8"/>
        <v>0</v>
      </c>
      <c r="J32" s="65">
        <f t="shared" si="4"/>
        <v>0</v>
      </c>
      <c r="K32" s="26">
        <f t="shared" si="5"/>
        <v>0</v>
      </c>
      <c r="L32" s="25">
        <f t="shared" si="6"/>
        <v>0</v>
      </c>
      <c r="M32" s="26"/>
      <c r="N32" s="25">
        <f t="shared" si="9"/>
        <v>0</v>
      </c>
      <c r="O32" s="25">
        <f t="shared" si="10"/>
        <v>0</v>
      </c>
    </row>
    <row r="33" spans="3:15" ht="12.75">
      <c r="C33" s="2" t="s">
        <v>309</v>
      </c>
      <c r="D33" s="22"/>
      <c r="E33" s="25">
        <f>ROUND('GasLabor$South'!G34,0)</f>
        <v>341073</v>
      </c>
      <c r="F33" s="28">
        <f t="shared" si="2"/>
        <v>5791</v>
      </c>
      <c r="G33" s="25">
        <f t="shared" si="7"/>
        <v>346864</v>
      </c>
      <c r="H33" s="65">
        <f t="shared" si="3"/>
        <v>13875</v>
      </c>
      <c r="I33" s="203">
        <f t="shared" si="8"/>
        <v>360739</v>
      </c>
      <c r="J33" s="65">
        <f t="shared" si="4"/>
        <v>13708</v>
      </c>
      <c r="K33" s="26">
        <f t="shared" si="5"/>
        <v>374447</v>
      </c>
      <c r="L33" s="25">
        <f t="shared" si="6"/>
        <v>33374</v>
      </c>
      <c r="M33" s="26"/>
      <c r="N33" s="25">
        <f t="shared" si="9"/>
        <v>30726</v>
      </c>
      <c r="O33" s="25">
        <f t="shared" si="10"/>
        <v>11501</v>
      </c>
    </row>
    <row r="34" spans="3:15" ht="12.75">
      <c r="C34" s="177">
        <v>888</v>
      </c>
      <c r="D34" s="22"/>
      <c r="E34" s="25">
        <f>ROUND('GasLabor$South'!G35,0)</f>
        <v>0</v>
      </c>
      <c r="F34" s="28">
        <f t="shared" si="2"/>
        <v>0</v>
      </c>
      <c r="G34" s="25">
        <f t="shared" si="7"/>
        <v>0</v>
      </c>
      <c r="H34" s="65">
        <f t="shared" si="3"/>
        <v>0</v>
      </c>
      <c r="I34" s="203">
        <f t="shared" si="8"/>
        <v>0</v>
      </c>
      <c r="J34" s="65">
        <f t="shared" si="4"/>
        <v>0</v>
      </c>
      <c r="K34" s="26">
        <f t="shared" si="5"/>
        <v>0</v>
      </c>
      <c r="L34" s="25">
        <f t="shared" si="6"/>
        <v>0</v>
      </c>
      <c r="M34" s="26"/>
      <c r="N34" s="25">
        <f t="shared" si="9"/>
        <v>0</v>
      </c>
      <c r="O34" s="25">
        <f t="shared" si="10"/>
        <v>0</v>
      </c>
    </row>
    <row r="35" spans="3:15" ht="12.75">
      <c r="C35" s="2" t="s">
        <v>310</v>
      </c>
      <c r="D35" s="22"/>
      <c r="E35" s="25">
        <f>ROUND('GasLabor$South'!G36,0)</f>
        <v>13308</v>
      </c>
      <c r="F35" s="28">
        <f t="shared" si="2"/>
        <v>226</v>
      </c>
      <c r="G35" s="25">
        <f t="shared" si="7"/>
        <v>13534</v>
      </c>
      <c r="H35" s="26">
        <f t="shared" si="3"/>
        <v>541</v>
      </c>
      <c r="I35" s="203">
        <f t="shared" si="8"/>
        <v>14075</v>
      </c>
      <c r="J35" s="26">
        <f t="shared" si="4"/>
        <v>535</v>
      </c>
      <c r="K35" s="26">
        <f t="shared" si="5"/>
        <v>14610</v>
      </c>
      <c r="L35" s="25">
        <f t="shared" si="6"/>
        <v>1302</v>
      </c>
      <c r="M35" s="26"/>
      <c r="N35" s="25">
        <f t="shared" si="9"/>
        <v>1199</v>
      </c>
      <c r="O35" s="25">
        <f t="shared" si="10"/>
        <v>449</v>
      </c>
    </row>
    <row r="36" spans="3:15" ht="12.75">
      <c r="C36" s="2" t="s">
        <v>333</v>
      </c>
      <c r="D36" s="22"/>
      <c r="E36" s="25">
        <f>ROUND('GasLabor$South'!G37,0)</f>
        <v>7114</v>
      </c>
      <c r="F36" s="28">
        <f t="shared" si="2"/>
        <v>121</v>
      </c>
      <c r="G36" s="25">
        <f t="shared" si="7"/>
        <v>7235</v>
      </c>
      <c r="H36" s="26">
        <f t="shared" si="3"/>
        <v>289</v>
      </c>
      <c r="I36" s="203">
        <f t="shared" si="8"/>
        <v>7524</v>
      </c>
      <c r="J36" s="26">
        <f t="shared" si="4"/>
        <v>286</v>
      </c>
      <c r="K36" s="26">
        <f t="shared" si="5"/>
        <v>7810</v>
      </c>
      <c r="L36" s="25">
        <f t="shared" si="6"/>
        <v>696</v>
      </c>
      <c r="M36" s="26"/>
      <c r="N36" s="25">
        <f t="shared" si="9"/>
        <v>641</v>
      </c>
      <c r="O36" s="25">
        <f t="shared" si="10"/>
        <v>240</v>
      </c>
    </row>
    <row r="37" spans="3:15" ht="12.75">
      <c r="C37" s="2" t="s">
        <v>312</v>
      </c>
      <c r="D37" s="22"/>
      <c r="E37" s="25">
        <f>ROUND('GasLabor$South'!G38,0)</f>
        <v>1144</v>
      </c>
      <c r="F37" s="28">
        <f t="shared" si="2"/>
        <v>19</v>
      </c>
      <c r="G37" s="25">
        <f t="shared" si="7"/>
        <v>1163</v>
      </c>
      <c r="H37" s="26">
        <f t="shared" si="3"/>
        <v>47</v>
      </c>
      <c r="I37" s="203">
        <f t="shared" si="8"/>
        <v>1210</v>
      </c>
      <c r="J37" s="26">
        <f t="shared" si="4"/>
        <v>46</v>
      </c>
      <c r="K37" s="26">
        <f t="shared" si="5"/>
        <v>1256</v>
      </c>
      <c r="L37" s="25">
        <f t="shared" si="6"/>
        <v>112</v>
      </c>
      <c r="M37" s="26"/>
      <c r="N37" s="25">
        <f t="shared" si="9"/>
        <v>103</v>
      </c>
      <c r="O37" s="25">
        <f t="shared" si="10"/>
        <v>38</v>
      </c>
    </row>
    <row r="38" spans="3:15" ht="12.75">
      <c r="C38" s="2" t="s">
        <v>313</v>
      </c>
      <c r="D38" s="22"/>
      <c r="E38" s="25">
        <f>ROUND('GasLabor$South'!G39,0)</f>
        <v>124419</v>
      </c>
      <c r="F38" s="28">
        <f t="shared" si="2"/>
        <v>2113</v>
      </c>
      <c r="G38" s="25">
        <f t="shared" si="7"/>
        <v>126532</v>
      </c>
      <c r="H38" s="65">
        <f t="shared" si="3"/>
        <v>5061</v>
      </c>
      <c r="I38" s="203">
        <f t="shared" si="8"/>
        <v>131593</v>
      </c>
      <c r="J38" s="65">
        <f t="shared" si="4"/>
        <v>5001</v>
      </c>
      <c r="K38" s="26">
        <f t="shared" si="5"/>
        <v>136594</v>
      </c>
      <c r="L38" s="25">
        <f t="shared" si="6"/>
        <v>12175</v>
      </c>
      <c r="M38" s="26"/>
      <c r="N38" s="25">
        <f t="shared" si="9"/>
        <v>11208</v>
      </c>
      <c r="O38" s="25">
        <f t="shared" si="10"/>
        <v>4197</v>
      </c>
    </row>
    <row r="39" spans="3:15" ht="12.75">
      <c r="C39" s="2" t="s">
        <v>314</v>
      </c>
      <c r="D39" s="22"/>
      <c r="E39" s="25">
        <f>ROUND('GasLabor$South'!G40,0)</f>
        <v>92991</v>
      </c>
      <c r="F39" s="28">
        <f t="shared" si="2"/>
        <v>1579</v>
      </c>
      <c r="G39" s="25">
        <f t="shared" si="7"/>
        <v>94570</v>
      </c>
      <c r="H39" s="65">
        <f t="shared" si="3"/>
        <v>3783</v>
      </c>
      <c r="I39" s="203">
        <f t="shared" si="8"/>
        <v>98353</v>
      </c>
      <c r="J39" s="65">
        <f t="shared" si="4"/>
        <v>3737</v>
      </c>
      <c r="K39" s="26">
        <f t="shared" si="5"/>
        <v>102090</v>
      </c>
      <c r="L39" s="25">
        <f t="shared" si="6"/>
        <v>9099</v>
      </c>
      <c r="M39" s="26"/>
      <c r="N39" s="25">
        <f t="shared" si="9"/>
        <v>8377</v>
      </c>
      <c r="O39" s="25">
        <f t="shared" si="10"/>
        <v>3136</v>
      </c>
    </row>
    <row r="40" spans="2:15" ht="12.75">
      <c r="B40" s="44"/>
      <c r="C40" s="177">
        <v>894</v>
      </c>
      <c r="D40" s="22"/>
      <c r="E40" s="25">
        <f>ROUND('GasLabor$South'!G41,0)</f>
        <v>44123</v>
      </c>
      <c r="F40" s="28">
        <f t="shared" si="2"/>
        <v>749</v>
      </c>
      <c r="G40" s="25">
        <f t="shared" si="7"/>
        <v>44872</v>
      </c>
      <c r="H40" s="65">
        <f t="shared" si="3"/>
        <v>1795</v>
      </c>
      <c r="I40" s="203">
        <f t="shared" si="8"/>
        <v>46667</v>
      </c>
      <c r="J40" s="65">
        <f t="shared" si="4"/>
        <v>1773</v>
      </c>
      <c r="K40" s="26">
        <f t="shared" si="5"/>
        <v>48440</v>
      </c>
      <c r="L40" s="25">
        <f t="shared" si="6"/>
        <v>4317</v>
      </c>
      <c r="M40" s="26"/>
      <c r="N40" s="25">
        <f t="shared" si="9"/>
        <v>3975</v>
      </c>
      <c r="O40" s="25">
        <f t="shared" si="10"/>
        <v>1488</v>
      </c>
    </row>
    <row r="41" spans="3:15" ht="12.75">
      <c r="C41" s="21" t="s">
        <v>8</v>
      </c>
      <c r="E41" s="29">
        <f aca="true" t="shared" si="11" ref="E41:O41">SUM(E20:E40)</f>
        <v>2578080</v>
      </c>
      <c r="F41" s="29">
        <f t="shared" si="11"/>
        <v>43371</v>
      </c>
      <c r="G41" s="29">
        <f t="shared" si="11"/>
        <v>2621451</v>
      </c>
      <c r="H41" s="29">
        <f t="shared" si="11"/>
        <v>104399</v>
      </c>
      <c r="I41" s="204">
        <f t="shared" si="11"/>
        <v>2725850</v>
      </c>
      <c r="J41" s="29">
        <f t="shared" si="11"/>
        <v>103582</v>
      </c>
      <c r="K41" s="29">
        <f t="shared" si="11"/>
        <v>2829432</v>
      </c>
      <c r="L41" s="207">
        <f t="shared" si="11"/>
        <v>251352</v>
      </c>
      <c r="M41" s="35"/>
      <c r="N41" s="207">
        <f t="shared" si="11"/>
        <v>232249</v>
      </c>
      <c r="O41" s="207">
        <f t="shared" si="11"/>
        <v>86138</v>
      </c>
    </row>
    <row r="42" spans="5:15" ht="12.75">
      <c r="E42" s="30"/>
      <c r="F42" s="30"/>
      <c r="G42" s="30"/>
      <c r="H42" s="30"/>
      <c r="I42" s="205"/>
      <c r="J42" s="30"/>
      <c r="K42" s="30"/>
      <c r="L42" s="30"/>
      <c r="M42" s="35"/>
      <c r="N42" s="25"/>
      <c r="O42" s="25"/>
    </row>
    <row r="43" spans="3:15" ht="12.75">
      <c r="C43" s="21" t="s">
        <v>9</v>
      </c>
      <c r="E43" s="30"/>
      <c r="F43" s="65"/>
      <c r="G43" s="26"/>
      <c r="H43" s="65"/>
      <c r="I43" s="206"/>
      <c r="J43" s="65"/>
      <c r="K43" s="26"/>
      <c r="L43" s="26"/>
      <c r="M43" s="26"/>
      <c r="N43" s="25"/>
      <c r="O43" s="25"/>
    </row>
    <row r="44" spans="2:15" ht="12.75">
      <c r="B44" s="3" t="s">
        <v>33</v>
      </c>
      <c r="C44" s="2" t="s">
        <v>315</v>
      </c>
      <c r="D44" s="22"/>
      <c r="E44" s="25">
        <f>ROUND('GasLabor$South'!G45,0)</f>
        <v>90993</v>
      </c>
      <c r="F44" s="28">
        <f>ROUND(IF($B44="a",E44*F$5,E44*F$6),0)</f>
        <v>1382</v>
      </c>
      <c r="G44" s="26">
        <f>SUM(E44:F44)</f>
        <v>92375</v>
      </c>
      <c r="H44" s="27">
        <f>ROUND(IF($B44="a",G44*H$5,G44*H$6),0)</f>
        <v>3510</v>
      </c>
      <c r="I44" s="203">
        <f>SUM(G44:H44)</f>
        <v>95885</v>
      </c>
      <c r="J44" s="27">
        <f>ROUND(IF($B44="a",I44*J$5,I44*J$6),0)</f>
        <v>3644</v>
      </c>
      <c r="K44" s="25">
        <f>J44+I44</f>
        <v>99529</v>
      </c>
      <c r="L44" s="25">
        <f>+F44+H44+J44</f>
        <v>8536</v>
      </c>
      <c r="M44" s="26"/>
      <c r="N44" s="25">
        <f>ROUND($N$79*E44/E$77,0)</f>
        <v>8197</v>
      </c>
      <c r="O44" s="25">
        <f>ROUND($O$79*F44/F$77,0)</f>
        <v>2745</v>
      </c>
    </row>
    <row r="45" spans="3:15" ht="12.75">
      <c r="C45" s="2" t="s">
        <v>316</v>
      </c>
      <c r="D45" s="22"/>
      <c r="E45" s="25">
        <f>ROUND('GasLabor$South'!G46,0)</f>
        <v>95719</v>
      </c>
      <c r="F45" s="28">
        <f>ROUND(IF($B45="a",E45*F$5,E45*F$6),0)</f>
        <v>1625</v>
      </c>
      <c r="G45" s="26">
        <f>SUM(E45:F45)</f>
        <v>97344</v>
      </c>
      <c r="H45" s="28">
        <f>ROUND(IF($B45="a",G45*H$5,G45*H$6),0)</f>
        <v>3894</v>
      </c>
      <c r="I45" s="203">
        <f>SUM(G45:H45)</f>
        <v>101238</v>
      </c>
      <c r="J45" s="28">
        <f>ROUND(IF($B45="a",I45*J$5,I45*J$6),0)</f>
        <v>3847</v>
      </c>
      <c r="K45" s="25">
        <f>J45+I45</f>
        <v>105085</v>
      </c>
      <c r="L45" s="25">
        <f>+F45+H45+J45</f>
        <v>9366</v>
      </c>
      <c r="M45" s="26"/>
      <c r="N45" s="25">
        <f>ROUND($N$79*E45/E$77,0)</f>
        <v>8623</v>
      </c>
      <c r="O45" s="25">
        <f>ROUND($O$79*F45/F$77,0)</f>
        <v>3227</v>
      </c>
    </row>
    <row r="46" spans="2:15" ht="12.75">
      <c r="B46" s="3" t="s">
        <v>33</v>
      </c>
      <c r="C46" s="2" t="s">
        <v>334</v>
      </c>
      <c r="D46" s="22"/>
      <c r="E46" s="25">
        <f>ROUND('GasLabor$South'!G47,0)</f>
        <v>941706</v>
      </c>
      <c r="F46" s="28">
        <f>ROUND(IF($B46="a",E46*F$5,E46*F$6),0)</f>
        <v>14305</v>
      </c>
      <c r="G46" s="26">
        <f>SUM(E46:F46)</f>
        <v>956011</v>
      </c>
      <c r="H46" s="27">
        <f>ROUND(IF($B46="a",G46*H$5,G46*H$6),0)</f>
        <v>36328</v>
      </c>
      <c r="I46" s="203">
        <f>SUM(G46:H46)</f>
        <v>992339</v>
      </c>
      <c r="J46" s="27">
        <f>ROUND(IF($B46="a",I46*J$5,I46*J$6),0)</f>
        <v>37709</v>
      </c>
      <c r="K46" s="25">
        <f>J46+I46</f>
        <v>1030048</v>
      </c>
      <c r="L46" s="25">
        <f>+F46+H46+J46</f>
        <v>88342</v>
      </c>
      <c r="M46" s="26"/>
      <c r="N46" s="25">
        <f>ROUND($N$79*E46/E$77,0)</f>
        <v>84834</v>
      </c>
      <c r="O46" s="25">
        <f>ROUND($O$79*F46/F$77,0)</f>
        <v>28410</v>
      </c>
    </row>
    <row r="47" spans="2:15" ht="12.75">
      <c r="B47" s="3" t="s">
        <v>33</v>
      </c>
      <c r="C47" s="2" t="s">
        <v>318</v>
      </c>
      <c r="D47" s="22"/>
      <c r="E47" s="25">
        <f>ROUND('GasLabor$South'!G48,0)</f>
        <v>24377</v>
      </c>
      <c r="F47" s="28">
        <f>ROUND(IF($B47="a",E47*F$5,E47*F$6),0)</f>
        <v>370</v>
      </c>
      <c r="G47" s="26">
        <f>SUM(E47:F47)</f>
        <v>24747</v>
      </c>
      <c r="H47" s="27">
        <f>ROUND(IF($B47="a",G47*H$5,G47*H$6),0)</f>
        <v>940</v>
      </c>
      <c r="I47" s="203">
        <f>SUM(G47:H47)</f>
        <v>25687</v>
      </c>
      <c r="J47" s="27">
        <f>ROUND(IF($B47="a",I47*J$5,I47*J$6),0)</f>
        <v>976</v>
      </c>
      <c r="K47" s="25">
        <f>J47+I47</f>
        <v>26663</v>
      </c>
      <c r="L47" s="25">
        <f>+F47+H47+J47</f>
        <v>2286</v>
      </c>
      <c r="M47" s="26"/>
      <c r="N47" s="25">
        <f>ROUND($N$79*E47/E$77,0)</f>
        <v>2196</v>
      </c>
      <c r="O47" s="25">
        <f>ROUND($O$79*F47/F$77,0)</f>
        <v>735</v>
      </c>
    </row>
    <row r="48" spans="3:15" ht="12.75">
      <c r="C48" s="21" t="s">
        <v>10</v>
      </c>
      <c r="E48" s="29">
        <f aca="true" t="shared" si="12" ref="E48:O48">SUM(E44:E47)</f>
        <v>1152795</v>
      </c>
      <c r="F48" s="29">
        <f t="shared" si="12"/>
        <v>17682</v>
      </c>
      <c r="G48" s="29">
        <f t="shared" si="12"/>
        <v>1170477</v>
      </c>
      <c r="H48" s="29">
        <f t="shared" si="12"/>
        <v>44672</v>
      </c>
      <c r="I48" s="204">
        <f t="shared" si="12"/>
        <v>1215149</v>
      </c>
      <c r="J48" s="29">
        <f t="shared" si="12"/>
        <v>46176</v>
      </c>
      <c r="K48" s="29">
        <f t="shared" si="12"/>
        <v>1261325</v>
      </c>
      <c r="L48" s="207">
        <f t="shared" si="12"/>
        <v>108530</v>
      </c>
      <c r="M48" s="35"/>
      <c r="N48" s="207">
        <f t="shared" si="12"/>
        <v>103850</v>
      </c>
      <c r="O48" s="207">
        <f t="shared" si="12"/>
        <v>35117</v>
      </c>
    </row>
    <row r="49" spans="5:15" ht="12.75">
      <c r="E49" s="30"/>
      <c r="F49" s="30"/>
      <c r="G49" s="30"/>
      <c r="H49" s="30"/>
      <c r="I49" s="205"/>
      <c r="J49" s="30"/>
      <c r="K49" s="30"/>
      <c r="L49" s="30"/>
      <c r="M49" s="35"/>
      <c r="N49" s="25"/>
      <c r="O49" s="25"/>
    </row>
    <row r="50" spans="3:15" ht="12.75">
      <c r="C50" s="21" t="s">
        <v>11</v>
      </c>
      <c r="E50" s="30"/>
      <c r="F50" s="30"/>
      <c r="G50" s="30"/>
      <c r="H50" s="30"/>
      <c r="I50" s="205"/>
      <c r="J50" s="30"/>
      <c r="K50" s="30"/>
      <c r="L50" s="30"/>
      <c r="M50" s="35"/>
      <c r="N50" s="25"/>
      <c r="O50" s="25"/>
    </row>
    <row r="51" spans="2:15" ht="12.75">
      <c r="B51" s="3" t="s">
        <v>33</v>
      </c>
      <c r="C51" s="179">
        <v>907</v>
      </c>
      <c r="E51" s="25">
        <f>ROUND('GasLabor$South'!G52,0)</f>
        <v>0</v>
      </c>
      <c r="F51" s="28">
        <f>ROUND(IF($B51="a",E51*F$5,E51*F$6),0)</f>
        <v>0</v>
      </c>
      <c r="G51" s="26">
        <f>SUM(E51:F51)</f>
        <v>0</v>
      </c>
      <c r="H51" s="27">
        <f>ROUND(IF($B51="a",G51*H$5,G51*H$6),0)</f>
        <v>0</v>
      </c>
      <c r="I51" s="205">
        <f>SUM(G51:H51)</f>
        <v>0</v>
      </c>
      <c r="J51" s="27">
        <f>ROUND(IF($B51="a",I51*J$5,I51*J$6),0)</f>
        <v>0</v>
      </c>
      <c r="K51" s="30">
        <f>SUM(I51:J51)</f>
        <v>0</v>
      </c>
      <c r="L51" s="25">
        <f>+F51+H51+J51</f>
        <v>0</v>
      </c>
      <c r="M51" s="35"/>
      <c r="N51" s="25">
        <f>ROUND($N$79*E51/E$77,0)</f>
        <v>0</v>
      </c>
      <c r="O51" s="25">
        <f>ROUND($O$79*F51/F$77,0)</f>
        <v>0</v>
      </c>
    </row>
    <row r="52" spans="2:15" ht="12.75">
      <c r="B52" s="3" t="s">
        <v>33</v>
      </c>
      <c r="C52" s="2" t="s">
        <v>319</v>
      </c>
      <c r="D52" s="22"/>
      <c r="E52" s="25">
        <f>ROUND('GasLabor$South'!G53,0)</f>
        <v>34675</v>
      </c>
      <c r="F52" s="28">
        <f>ROUND(IF($B52="a",E52*F$5,E52*F$6),0)</f>
        <v>527</v>
      </c>
      <c r="G52" s="26">
        <f>SUM(E52:F52)</f>
        <v>35202</v>
      </c>
      <c r="H52" s="27">
        <f>ROUND(IF($B52="a",G52*H$5,G52*H$6),0)</f>
        <v>1338</v>
      </c>
      <c r="I52" s="205">
        <f>SUM(G52:H52)</f>
        <v>36540</v>
      </c>
      <c r="J52" s="27">
        <f>ROUND(IF($B52="a",I52*J$5,I52*J$6),0)</f>
        <v>1389</v>
      </c>
      <c r="K52" s="25">
        <f>J52+I52</f>
        <v>37929</v>
      </c>
      <c r="L52" s="25">
        <f>+F52+H52+J52</f>
        <v>3254</v>
      </c>
      <c r="M52" s="26"/>
      <c r="N52" s="25">
        <f>ROUND($N$79*E52/E$77,0)</f>
        <v>3124</v>
      </c>
      <c r="O52" s="25">
        <f>ROUND($O$79*F52/F$77,0)</f>
        <v>1047</v>
      </c>
    </row>
    <row r="53" spans="2:15" ht="12.75">
      <c r="B53" s="3" t="s">
        <v>33</v>
      </c>
      <c r="C53" s="2" t="s">
        <v>320</v>
      </c>
      <c r="D53" s="22"/>
      <c r="E53" s="25">
        <f>ROUND('GasLabor$South'!G54,0)</f>
        <v>4367</v>
      </c>
      <c r="F53" s="28">
        <f>ROUND(IF($B53="a",E53*F$5,E53*F$6),0)</f>
        <v>66</v>
      </c>
      <c r="G53" s="26">
        <f>SUM(E53:F53)</f>
        <v>4433</v>
      </c>
      <c r="H53" s="27">
        <f>ROUND(IF($B53="a",G53*H$5,G53*H$6),0)</f>
        <v>168</v>
      </c>
      <c r="I53" s="205">
        <f>SUM(G53:H53)</f>
        <v>4601</v>
      </c>
      <c r="J53" s="27">
        <f>ROUND(IF($B53="a",I53*J$5,I53*J$6),0)</f>
        <v>175</v>
      </c>
      <c r="K53" s="25">
        <f>J53+I53</f>
        <v>4776</v>
      </c>
      <c r="L53" s="25">
        <f>+F53+H53+J53</f>
        <v>409</v>
      </c>
      <c r="M53" s="26"/>
      <c r="N53" s="25">
        <f>ROUND($N$79*E53/E$77,0)</f>
        <v>393</v>
      </c>
      <c r="O53" s="25">
        <f>ROUND($O$79*F53/F$77,0)</f>
        <v>131</v>
      </c>
    </row>
    <row r="54" spans="2:15" ht="12.75">
      <c r="B54" s="3" t="s">
        <v>33</v>
      </c>
      <c r="C54" s="2" t="s">
        <v>321</v>
      </c>
      <c r="D54" s="22"/>
      <c r="E54" s="25">
        <f>ROUND('GasLabor$South'!G55,0)</f>
        <v>0</v>
      </c>
      <c r="F54" s="28">
        <f>ROUND(IF($B54="a",E54*F$5,E54*F$6),0)</f>
        <v>0</v>
      </c>
      <c r="G54" s="26">
        <f>SUM(E54:F54)</f>
        <v>0</v>
      </c>
      <c r="H54" s="27">
        <f>ROUND(IF($B54="a",G54*H$5,G54*H$6),0)</f>
        <v>0</v>
      </c>
      <c r="I54" s="205">
        <f>SUM(G54:H54)</f>
        <v>0</v>
      </c>
      <c r="J54" s="27">
        <f>ROUND(IF($B54="a",I54*J$5,I54*J$6),0)</f>
        <v>0</v>
      </c>
      <c r="K54" s="25">
        <f>J54+I54</f>
        <v>0</v>
      </c>
      <c r="L54" s="25">
        <f>+F54+H54+J54</f>
        <v>0</v>
      </c>
      <c r="M54" s="26"/>
      <c r="N54" s="25">
        <f>ROUND($N$79*E54/E$77,0)</f>
        <v>0</v>
      </c>
      <c r="O54" s="25">
        <f>ROUND($O$79*F54/F$77,0)</f>
        <v>0</v>
      </c>
    </row>
    <row r="55" spans="3:15" ht="12.75">
      <c r="C55" s="21" t="s">
        <v>12</v>
      </c>
      <c r="E55" s="29">
        <f aca="true" t="shared" si="13" ref="E55:O55">SUM(E51:E54)</f>
        <v>39042</v>
      </c>
      <c r="F55" s="29">
        <f t="shared" si="13"/>
        <v>593</v>
      </c>
      <c r="G55" s="29">
        <f t="shared" si="13"/>
        <v>39635</v>
      </c>
      <c r="H55" s="29">
        <f t="shared" si="13"/>
        <v>1506</v>
      </c>
      <c r="I55" s="204">
        <f t="shared" si="13"/>
        <v>41141</v>
      </c>
      <c r="J55" s="29">
        <f t="shared" si="13"/>
        <v>1564</v>
      </c>
      <c r="K55" s="29">
        <f t="shared" si="13"/>
        <v>42705</v>
      </c>
      <c r="L55" s="207">
        <f t="shared" si="13"/>
        <v>3663</v>
      </c>
      <c r="M55" s="35"/>
      <c r="N55" s="207">
        <f t="shared" si="13"/>
        <v>3517</v>
      </c>
      <c r="O55" s="207">
        <f t="shared" si="13"/>
        <v>1178</v>
      </c>
    </row>
    <row r="56" spans="5:15" ht="12.75">
      <c r="E56" s="30"/>
      <c r="F56" s="30"/>
      <c r="G56" s="30"/>
      <c r="H56" s="30"/>
      <c r="I56" s="205"/>
      <c r="J56" s="30"/>
      <c r="K56" s="30"/>
      <c r="L56" s="30"/>
      <c r="M56" s="35"/>
      <c r="N56" s="206"/>
      <c r="O56" s="206"/>
    </row>
    <row r="57" spans="3:15" ht="12.75">
      <c r="C57" s="21" t="s">
        <v>13</v>
      </c>
      <c r="E57" s="30"/>
      <c r="F57" s="30"/>
      <c r="G57" s="30"/>
      <c r="H57" s="30"/>
      <c r="I57" s="205"/>
      <c r="J57" s="30"/>
      <c r="K57" s="30"/>
      <c r="L57" s="30"/>
      <c r="M57" s="35"/>
      <c r="N57" s="206"/>
      <c r="O57" s="206"/>
    </row>
    <row r="58" spans="2:15" ht="12.75">
      <c r="B58" s="3" t="s">
        <v>33</v>
      </c>
      <c r="C58" s="2" t="s">
        <v>322</v>
      </c>
      <c r="D58" s="22"/>
      <c r="E58" s="25">
        <f>ROUND('GasLabor$South'!G59,0)</f>
        <v>0</v>
      </c>
      <c r="F58" s="28">
        <f>ROUND(IF($B58="a",E58*F$5,E58*F$6),0)</f>
        <v>0</v>
      </c>
      <c r="G58" s="26">
        <f>SUM(E58:F58)</f>
        <v>0</v>
      </c>
      <c r="H58" s="27">
        <f>ROUND(IF($B58="a",G58*H$5,G58*H$6),0)</f>
        <v>0</v>
      </c>
      <c r="I58" s="203">
        <f>H58+H58</f>
        <v>0</v>
      </c>
      <c r="J58" s="27">
        <f>ROUND(IF($B58="a",I58*J$5,I58*J$6),0)</f>
        <v>0</v>
      </c>
      <c r="K58" s="25">
        <f>J58+I58</f>
        <v>0</v>
      </c>
      <c r="L58" s="25">
        <f>+F58+H58+J58</f>
        <v>0</v>
      </c>
      <c r="M58" s="26"/>
      <c r="N58" s="25">
        <f>ROUND($N$79*E58/E$77,0)</f>
        <v>0</v>
      </c>
      <c r="O58" s="25">
        <f>ROUND($O$79*F58/F$77,0)</f>
        <v>0</v>
      </c>
    </row>
    <row r="59" spans="2:15" ht="12.75">
      <c r="B59" s="3" t="s">
        <v>33</v>
      </c>
      <c r="C59" s="2" t="s">
        <v>323</v>
      </c>
      <c r="D59" s="22"/>
      <c r="E59" s="25">
        <f>ROUND('GasLabor$South'!G60,0)</f>
        <v>23946</v>
      </c>
      <c r="F59" s="28">
        <f>ROUND(IF($B59="a",E59*F$5,E59*F$6),0)</f>
        <v>364</v>
      </c>
      <c r="G59" s="26">
        <f>SUM(E59:F59)</f>
        <v>24310</v>
      </c>
      <c r="H59" s="27">
        <f>ROUND(IF($B59="a",G59*H$5,G59*H$6),0)</f>
        <v>924</v>
      </c>
      <c r="I59" s="203">
        <f>H59+H59</f>
        <v>1848</v>
      </c>
      <c r="J59" s="27">
        <f>ROUND(IF($B59="a",I59*J$5,I59*J$6),0)</f>
        <v>70</v>
      </c>
      <c r="K59" s="25">
        <f>J59+I59</f>
        <v>1918</v>
      </c>
      <c r="L59" s="25">
        <f>+F59+H59+J59</f>
        <v>1358</v>
      </c>
      <c r="M59" s="26"/>
      <c r="N59" s="25">
        <f>ROUND($N$79*E59/E$77,0)</f>
        <v>2157</v>
      </c>
      <c r="O59" s="25">
        <f>ROUND($O$79*F59/F$77,0)</f>
        <v>723</v>
      </c>
    </row>
    <row r="60" spans="2:15" ht="12.75">
      <c r="B60" s="3" t="s">
        <v>33</v>
      </c>
      <c r="C60" s="2" t="s">
        <v>324</v>
      </c>
      <c r="D60" s="22"/>
      <c r="E60" s="25">
        <f>ROUND('GasLabor$South'!G61,0)</f>
        <v>0</v>
      </c>
      <c r="F60" s="28">
        <f>ROUND(IF($B60="a",E60*F$5,E60*F$6),0)</f>
        <v>0</v>
      </c>
      <c r="G60" s="26">
        <f>SUM(E60:F60)</f>
        <v>0</v>
      </c>
      <c r="H60" s="27">
        <f>ROUND(IF($B60="a",G60*H$5,G60*H$6),0)</f>
        <v>0</v>
      </c>
      <c r="I60" s="203">
        <f>H60+H60</f>
        <v>0</v>
      </c>
      <c r="J60" s="27">
        <f>ROUND(IF($B60="a",I60*J$5,I60*J$6),0)</f>
        <v>0</v>
      </c>
      <c r="K60" s="25">
        <f>J60+I60</f>
        <v>0</v>
      </c>
      <c r="L60" s="25">
        <f>+F60+H60+J60</f>
        <v>0</v>
      </c>
      <c r="M60" s="26"/>
      <c r="N60" s="25">
        <f>ROUND($N$79*E60/E$77,0)</f>
        <v>0</v>
      </c>
      <c r="O60" s="25">
        <f>ROUND($O$79*F60/F$77,0)</f>
        <v>0</v>
      </c>
    </row>
    <row r="61" spans="2:15" ht="12.75">
      <c r="B61" s="3" t="s">
        <v>33</v>
      </c>
      <c r="C61" s="2" t="s">
        <v>325</v>
      </c>
      <c r="D61" s="22"/>
      <c r="E61" s="25">
        <f>ROUND('GasLabor$South'!G62,0)</f>
        <v>0</v>
      </c>
      <c r="F61" s="28">
        <f>ROUND(IF($B61="a",E61*F$5,E61*F$6),0)</f>
        <v>0</v>
      </c>
      <c r="G61" s="26">
        <f>SUM(E61:F61)</f>
        <v>0</v>
      </c>
      <c r="H61" s="27">
        <f>ROUND(IF($B61="a",G61*H$5,G61*H$6),0)</f>
        <v>0</v>
      </c>
      <c r="I61" s="203">
        <f>H61+H61</f>
        <v>0</v>
      </c>
      <c r="J61" s="27">
        <f>ROUND(IF($B61="a",I61*J$5,I61*J$6),0)</f>
        <v>0</v>
      </c>
      <c r="K61" s="25">
        <f>J61+I61</f>
        <v>0</v>
      </c>
      <c r="L61" s="25">
        <f>+F61+H61+J61</f>
        <v>0</v>
      </c>
      <c r="M61" s="26"/>
      <c r="N61" s="25">
        <f>ROUND($N$79*E61/E$77,0)</f>
        <v>0</v>
      </c>
      <c r="O61" s="25">
        <f>ROUND($O$79*F61/F$77,0)</f>
        <v>0</v>
      </c>
    </row>
    <row r="62" spans="3:15" ht="12.75">
      <c r="C62" s="21" t="s">
        <v>14</v>
      </c>
      <c r="E62" s="29">
        <f aca="true" t="shared" si="14" ref="E62:O62">SUM(E58:E61)</f>
        <v>23946</v>
      </c>
      <c r="F62" s="29">
        <f t="shared" si="14"/>
        <v>364</v>
      </c>
      <c r="G62" s="29">
        <f t="shared" si="14"/>
        <v>24310</v>
      </c>
      <c r="H62" s="29">
        <f t="shared" si="14"/>
        <v>924</v>
      </c>
      <c r="I62" s="204">
        <f t="shared" si="14"/>
        <v>1848</v>
      </c>
      <c r="J62" s="29">
        <f t="shared" si="14"/>
        <v>70</v>
      </c>
      <c r="K62" s="29">
        <f t="shared" si="14"/>
        <v>1918</v>
      </c>
      <c r="L62" s="207">
        <f t="shared" si="14"/>
        <v>1358</v>
      </c>
      <c r="M62" s="35"/>
      <c r="N62" s="207">
        <f t="shared" si="14"/>
        <v>2157</v>
      </c>
      <c r="O62" s="207">
        <f t="shared" si="14"/>
        <v>723</v>
      </c>
    </row>
    <row r="63" spans="5:15" ht="12.75">
      <c r="E63" s="30"/>
      <c r="F63" s="30"/>
      <c r="G63" s="30"/>
      <c r="H63" s="30"/>
      <c r="I63" s="205"/>
      <c r="J63" s="30"/>
      <c r="K63" s="30"/>
      <c r="L63" s="30"/>
      <c r="M63" s="35"/>
      <c r="N63" s="206"/>
      <c r="O63" s="206"/>
    </row>
    <row r="64" spans="3:15" ht="12.75">
      <c r="C64" s="21" t="s">
        <v>15</v>
      </c>
      <c r="E64" s="30"/>
      <c r="F64" s="30"/>
      <c r="G64" s="30"/>
      <c r="H64" s="30"/>
      <c r="I64" s="205"/>
      <c r="J64" s="30"/>
      <c r="K64" s="30"/>
      <c r="L64" s="30"/>
      <c r="M64" s="35"/>
      <c r="N64" s="206"/>
      <c r="O64" s="206"/>
    </row>
    <row r="65" spans="2:15" ht="12.75">
      <c r="B65" s="3" t="s">
        <v>33</v>
      </c>
      <c r="C65" s="2" t="s">
        <v>326</v>
      </c>
      <c r="D65" s="22"/>
      <c r="E65" s="25">
        <f>ROUND('GasLabor$South'!G66,0)</f>
        <v>1376688</v>
      </c>
      <c r="F65" s="28">
        <f aca="true" t="shared" si="15" ref="F65:F74">ROUND(IF($B65="a",E65*F$5,E65*F$6),0)</f>
        <v>20912</v>
      </c>
      <c r="G65" s="26">
        <f aca="true" t="shared" si="16" ref="G65:G74">SUM(E65:F65)</f>
        <v>1397600</v>
      </c>
      <c r="H65" s="27">
        <f aca="true" t="shared" si="17" ref="H65:H74">ROUND(IF($B65="a",G65*H$5,G65*H$6),0)</f>
        <v>53109</v>
      </c>
      <c r="I65" s="203">
        <f aca="true" t="shared" si="18" ref="I65:I74">H65+H65</f>
        <v>106218</v>
      </c>
      <c r="J65" s="27">
        <f aca="true" t="shared" si="19" ref="J65:J74">ROUND(IF($B65="a",I65*J$5,I65*J$6),0)</f>
        <v>4036</v>
      </c>
      <c r="K65" s="25">
        <f aca="true" t="shared" si="20" ref="K65:K74">J65+I65</f>
        <v>110254</v>
      </c>
      <c r="L65" s="25">
        <f aca="true" t="shared" si="21" ref="L65:L74">+F65+H65+J65</f>
        <v>78057</v>
      </c>
      <c r="M65" s="26"/>
      <c r="N65" s="25">
        <f aca="true" t="shared" si="22" ref="N65:N74">ROUND($N$79*E65/E$77,0)</f>
        <v>124020</v>
      </c>
      <c r="O65" s="25">
        <f>ROUND($O$79*F65/F$77,0)</f>
        <v>41532</v>
      </c>
    </row>
    <row r="66" spans="2:15" ht="12.75">
      <c r="B66" s="44" t="s">
        <v>33</v>
      </c>
      <c r="C66" s="177">
        <v>921</v>
      </c>
      <c r="D66" s="22"/>
      <c r="E66" s="25">
        <f>ROUND('GasLabor$South'!G67,0)</f>
        <v>10646</v>
      </c>
      <c r="F66" s="28">
        <f t="shared" si="15"/>
        <v>162</v>
      </c>
      <c r="G66" s="26">
        <f t="shared" si="16"/>
        <v>10808</v>
      </c>
      <c r="H66" s="27">
        <f t="shared" si="17"/>
        <v>411</v>
      </c>
      <c r="I66" s="203">
        <f t="shared" si="18"/>
        <v>822</v>
      </c>
      <c r="J66" s="27">
        <f t="shared" si="19"/>
        <v>31</v>
      </c>
      <c r="K66" s="25">
        <f t="shared" si="20"/>
        <v>853</v>
      </c>
      <c r="L66" s="25">
        <f t="shared" si="21"/>
        <v>604</v>
      </c>
      <c r="M66" s="26"/>
      <c r="N66" s="25">
        <f t="shared" si="22"/>
        <v>959</v>
      </c>
      <c r="O66" s="25">
        <f aca="true" t="shared" si="23" ref="O66:O74">ROUND($O$79*F66/F$77,0)</f>
        <v>322</v>
      </c>
    </row>
    <row r="67" spans="2:15" ht="12.75">
      <c r="B67" s="3" t="s">
        <v>33</v>
      </c>
      <c r="C67" s="2" t="s">
        <v>327</v>
      </c>
      <c r="D67" s="22"/>
      <c r="E67" s="25">
        <f>ROUND('GasLabor$South'!G68,0)</f>
        <v>252</v>
      </c>
      <c r="F67" s="28">
        <f t="shared" si="15"/>
        <v>4</v>
      </c>
      <c r="G67" s="26">
        <f t="shared" si="16"/>
        <v>256</v>
      </c>
      <c r="H67" s="27">
        <f t="shared" si="17"/>
        <v>10</v>
      </c>
      <c r="I67" s="203">
        <f t="shared" si="18"/>
        <v>20</v>
      </c>
      <c r="J67" s="27">
        <f t="shared" si="19"/>
        <v>1</v>
      </c>
      <c r="K67" s="25">
        <f t="shared" si="20"/>
        <v>21</v>
      </c>
      <c r="L67" s="25">
        <f t="shared" si="21"/>
        <v>15</v>
      </c>
      <c r="M67" s="26"/>
      <c r="N67" s="25">
        <f t="shared" si="22"/>
        <v>23</v>
      </c>
      <c r="O67" s="25">
        <f t="shared" si="23"/>
        <v>8</v>
      </c>
    </row>
    <row r="68" spans="2:15" ht="12.75">
      <c r="B68" s="3" t="s">
        <v>33</v>
      </c>
      <c r="C68" s="2" t="s">
        <v>328</v>
      </c>
      <c r="D68" s="22"/>
      <c r="E68" s="25">
        <f>ROUND('GasLabor$South'!G69,0)</f>
        <v>0</v>
      </c>
      <c r="F68" s="28">
        <f t="shared" si="15"/>
        <v>0</v>
      </c>
      <c r="G68" s="26">
        <f t="shared" si="16"/>
        <v>0</v>
      </c>
      <c r="H68" s="27">
        <f t="shared" si="17"/>
        <v>0</v>
      </c>
      <c r="I68" s="203">
        <f t="shared" si="18"/>
        <v>0</v>
      </c>
      <c r="J68" s="27">
        <f t="shared" si="19"/>
        <v>0</v>
      </c>
      <c r="K68" s="25">
        <f t="shared" si="20"/>
        <v>0</v>
      </c>
      <c r="L68" s="25">
        <f t="shared" si="21"/>
        <v>0</v>
      </c>
      <c r="M68" s="26"/>
      <c r="N68" s="25">
        <f t="shared" si="22"/>
        <v>0</v>
      </c>
      <c r="O68" s="25">
        <f t="shared" si="23"/>
        <v>0</v>
      </c>
    </row>
    <row r="69" spans="2:15" ht="12.75">
      <c r="B69" s="3" t="s">
        <v>33</v>
      </c>
      <c r="C69" s="2" t="s">
        <v>329</v>
      </c>
      <c r="D69" s="22"/>
      <c r="E69" s="25">
        <f>ROUND('GasLabor$South'!G70,0)</f>
        <v>0</v>
      </c>
      <c r="F69" s="28">
        <f t="shared" si="15"/>
        <v>0</v>
      </c>
      <c r="G69" s="26">
        <f t="shared" si="16"/>
        <v>0</v>
      </c>
      <c r="H69" s="27">
        <f t="shared" si="17"/>
        <v>0</v>
      </c>
      <c r="I69" s="203">
        <f t="shared" si="18"/>
        <v>0</v>
      </c>
      <c r="J69" s="27">
        <f t="shared" si="19"/>
        <v>0</v>
      </c>
      <c r="K69" s="25">
        <f t="shared" si="20"/>
        <v>0</v>
      </c>
      <c r="L69" s="25">
        <f t="shared" si="21"/>
        <v>0</v>
      </c>
      <c r="M69" s="26"/>
      <c r="N69" s="25">
        <f t="shared" si="22"/>
        <v>0</v>
      </c>
      <c r="O69" s="25">
        <f t="shared" si="23"/>
        <v>0</v>
      </c>
    </row>
    <row r="70" spans="2:15" ht="12.75">
      <c r="B70" s="3" t="s">
        <v>33</v>
      </c>
      <c r="C70" s="177">
        <v>926</v>
      </c>
      <c r="D70" s="22"/>
      <c r="E70" s="25">
        <f>ROUND('GasLabor$South'!G71,0)</f>
        <v>0</v>
      </c>
      <c r="F70" s="28">
        <f t="shared" si="15"/>
        <v>0</v>
      </c>
      <c r="G70" s="26">
        <f t="shared" si="16"/>
        <v>0</v>
      </c>
      <c r="H70" s="27">
        <f t="shared" si="17"/>
        <v>0</v>
      </c>
      <c r="I70" s="203">
        <f t="shared" si="18"/>
        <v>0</v>
      </c>
      <c r="J70" s="27">
        <f t="shared" si="19"/>
        <v>0</v>
      </c>
      <c r="K70" s="25">
        <f t="shared" si="20"/>
        <v>0</v>
      </c>
      <c r="L70" s="25">
        <f t="shared" si="21"/>
        <v>0</v>
      </c>
      <c r="M70" s="26"/>
      <c r="N70" s="25">
        <f t="shared" si="22"/>
        <v>0</v>
      </c>
      <c r="O70" s="25">
        <f t="shared" si="23"/>
        <v>0</v>
      </c>
    </row>
    <row r="71" spans="2:15" ht="12.75">
      <c r="B71" s="3" t="s">
        <v>33</v>
      </c>
      <c r="C71" s="2" t="s">
        <v>330</v>
      </c>
      <c r="D71" s="22"/>
      <c r="E71" s="25">
        <f>ROUND('GasLabor$South'!G72,0)</f>
        <v>170982</v>
      </c>
      <c r="F71" s="28">
        <f t="shared" si="15"/>
        <v>2597</v>
      </c>
      <c r="G71" s="26">
        <f t="shared" si="16"/>
        <v>173579</v>
      </c>
      <c r="H71" s="27">
        <f t="shared" si="17"/>
        <v>6596</v>
      </c>
      <c r="I71" s="203">
        <f t="shared" si="18"/>
        <v>13192</v>
      </c>
      <c r="J71" s="27">
        <f t="shared" si="19"/>
        <v>501</v>
      </c>
      <c r="K71" s="25">
        <f t="shared" si="20"/>
        <v>13693</v>
      </c>
      <c r="L71" s="25">
        <f t="shared" si="21"/>
        <v>9694</v>
      </c>
      <c r="M71" s="26"/>
      <c r="N71" s="25">
        <f t="shared" si="22"/>
        <v>15403</v>
      </c>
      <c r="O71" s="25">
        <f t="shared" si="23"/>
        <v>5158</v>
      </c>
    </row>
    <row r="72" spans="2:15" ht="12.75">
      <c r="B72" s="3" t="s">
        <v>33</v>
      </c>
      <c r="C72" s="2" t="s">
        <v>331</v>
      </c>
      <c r="D72" s="22"/>
      <c r="E72" s="25">
        <f>ROUND('GasLabor$South'!G73,0)</f>
        <v>21112</v>
      </c>
      <c r="F72" s="28">
        <f t="shared" si="15"/>
        <v>321</v>
      </c>
      <c r="G72" s="26">
        <f t="shared" si="16"/>
        <v>21433</v>
      </c>
      <c r="H72" s="27">
        <f t="shared" si="17"/>
        <v>814</v>
      </c>
      <c r="I72" s="203">
        <f t="shared" si="18"/>
        <v>1628</v>
      </c>
      <c r="J72" s="27">
        <f t="shared" si="19"/>
        <v>62</v>
      </c>
      <c r="K72" s="25">
        <f t="shared" si="20"/>
        <v>1690</v>
      </c>
      <c r="L72" s="25">
        <f t="shared" si="21"/>
        <v>1197</v>
      </c>
      <c r="M72" s="26"/>
      <c r="N72" s="25">
        <f t="shared" si="22"/>
        <v>1902</v>
      </c>
      <c r="O72" s="25">
        <f t="shared" si="23"/>
        <v>638</v>
      </c>
    </row>
    <row r="73" spans="2:15" ht="12.75">
      <c r="B73" s="3" t="s">
        <v>33</v>
      </c>
      <c r="C73" s="177">
        <v>931</v>
      </c>
      <c r="D73" s="22"/>
      <c r="E73" s="25">
        <f>ROUND('GasLabor$South'!G74,0)</f>
        <v>0</v>
      </c>
      <c r="F73" s="28">
        <f t="shared" si="15"/>
        <v>0</v>
      </c>
      <c r="G73" s="26">
        <f t="shared" si="16"/>
        <v>0</v>
      </c>
      <c r="H73" s="27">
        <f t="shared" si="17"/>
        <v>0</v>
      </c>
      <c r="I73" s="203">
        <f t="shared" si="18"/>
        <v>0</v>
      </c>
      <c r="J73" s="27">
        <f t="shared" si="19"/>
        <v>0</v>
      </c>
      <c r="K73" s="25">
        <f t="shared" si="20"/>
        <v>0</v>
      </c>
      <c r="L73" s="25">
        <f t="shared" si="21"/>
        <v>0</v>
      </c>
      <c r="M73" s="26"/>
      <c r="N73" s="25">
        <f t="shared" si="22"/>
        <v>0</v>
      </c>
      <c r="O73" s="25">
        <f t="shared" si="23"/>
        <v>0</v>
      </c>
    </row>
    <row r="74" spans="3:15" ht="12.75">
      <c r="C74" s="2" t="s">
        <v>332</v>
      </c>
      <c r="D74" s="22"/>
      <c r="E74" s="25">
        <f>ROUND('GasLabor$South'!G75,0)-2</f>
        <v>69819</v>
      </c>
      <c r="F74" s="28">
        <f t="shared" si="15"/>
        <v>1186</v>
      </c>
      <c r="G74" s="26">
        <f t="shared" si="16"/>
        <v>71005</v>
      </c>
      <c r="H74" s="27">
        <f t="shared" si="17"/>
        <v>2840</v>
      </c>
      <c r="I74" s="203">
        <f t="shared" si="18"/>
        <v>5680</v>
      </c>
      <c r="J74" s="27">
        <f t="shared" si="19"/>
        <v>216</v>
      </c>
      <c r="K74" s="25">
        <f t="shared" si="20"/>
        <v>5896</v>
      </c>
      <c r="L74" s="25">
        <f t="shared" si="21"/>
        <v>4242</v>
      </c>
      <c r="M74" s="26"/>
      <c r="N74" s="25">
        <f t="shared" si="22"/>
        <v>6290</v>
      </c>
      <c r="O74" s="25">
        <f t="shared" si="23"/>
        <v>2355</v>
      </c>
    </row>
    <row r="75" spans="3:15" ht="12.75">
      <c r="C75" s="21" t="s">
        <v>16</v>
      </c>
      <c r="E75" s="29">
        <f aca="true" t="shared" si="24" ref="E75:O75">SUM(E65:E74)</f>
        <v>1649499</v>
      </c>
      <c r="F75" s="29">
        <f t="shared" si="24"/>
        <v>25182</v>
      </c>
      <c r="G75" s="29">
        <f t="shared" si="24"/>
        <v>1674681</v>
      </c>
      <c r="H75" s="29">
        <f t="shared" si="24"/>
        <v>63780</v>
      </c>
      <c r="I75" s="204">
        <f t="shared" si="24"/>
        <v>127560</v>
      </c>
      <c r="J75" s="29">
        <f t="shared" si="24"/>
        <v>4847</v>
      </c>
      <c r="K75" s="29">
        <f t="shared" si="24"/>
        <v>132407</v>
      </c>
      <c r="L75" s="207">
        <f t="shared" si="24"/>
        <v>93809</v>
      </c>
      <c r="M75" s="35"/>
      <c r="N75" s="207">
        <f t="shared" si="24"/>
        <v>148597</v>
      </c>
      <c r="O75" s="207">
        <f t="shared" si="24"/>
        <v>50013</v>
      </c>
    </row>
    <row r="76" spans="5:13" ht="12.75">
      <c r="E76" s="30"/>
      <c r="F76" s="30"/>
      <c r="G76" s="30"/>
      <c r="H76" s="30"/>
      <c r="I76" s="205"/>
      <c r="J76" s="30"/>
      <c r="K76" s="30"/>
      <c r="L76" s="30"/>
      <c r="M76" s="35"/>
    </row>
    <row r="77" spans="3:15" ht="12.75">
      <c r="C77" s="21" t="s">
        <v>343</v>
      </c>
      <c r="E77" s="29">
        <f aca="true" t="shared" si="25" ref="E77:N77">E12+E17+E41+E48+E55+E62+E75</f>
        <v>5706229</v>
      </c>
      <c r="F77" s="29">
        <f t="shared" si="25"/>
        <v>91185</v>
      </c>
      <c r="G77" s="29">
        <f t="shared" si="25"/>
        <v>5797414</v>
      </c>
      <c r="H77" s="307">
        <f t="shared" si="25"/>
        <v>225422</v>
      </c>
      <c r="I77" s="204">
        <f t="shared" si="25"/>
        <v>4388549</v>
      </c>
      <c r="J77" s="29">
        <f t="shared" si="25"/>
        <v>166765</v>
      </c>
      <c r="K77" s="29">
        <f t="shared" si="25"/>
        <v>4555314</v>
      </c>
      <c r="L77" s="200">
        <f t="shared" si="25"/>
        <v>483372</v>
      </c>
      <c r="M77" s="35"/>
      <c r="N77" s="207">
        <f t="shared" si="25"/>
        <v>514051</v>
      </c>
      <c r="O77" s="207">
        <f>O12+O17+O41+O48+O55+O62+O75</f>
        <v>181099</v>
      </c>
    </row>
    <row r="78" spans="5:15" ht="12.75">
      <c r="E78" s="30"/>
      <c r="F78" s="30"/>
      <c r="G78" s="30"/>
      <c r="H78" s="30"/>
      <c r="I78" s="205"/>
      <c r="J78" s="30"/>
      <c r="K78" s="30"/>
      <c r="L78" s="30"/>
      <c r="M78" s="35"/>
      <c r="N78" s="26"/>
      <c r="O78" s="26"/>
    </row>
    <row r="79" spans="5:15" ht="12.75">
      <c r="E79" s="26">
        <f>'GasLabor$South'!G78</f>
        <v>5706229</v>
      </c>
      <c r="F79" s="26"/>
      <c r="G79" s="26"/>
      <c r="H79" s="26"/>
      <c r="I79" s="206"/>
      <c r="J79" s="26"/>
      <c r="K79" s="26"/>
      <c r="L79" s="26">
        <f>J77+H77+F77</f>
        <v>483372</v>
      </c>
      <c r="M79" s="26"/>
      <c r="N79" s="26">
        <f>Pension!G31</f>
        <v>514050</v>
      </c>
      <c r="O79" s="26">
        <f>Pension!H31</f>
        <v>181098</v>
      </c>
    </row>
    <row r="80" spans="4:15" ht="12.75">
      <c r="D80" s="16"/>
      <c r="E80" s="26"/>
      <c r="F80" s="26"/>
      <c r="G80" s="26"/>
      <c r="H80" s="26"/>
      <c r="I80" s="206"/>
      <c r="J80" s="26"/>
      <c r="K80" s="26"/>
      <c r="M80" s="26"/>
      <c r="N80" s="26"/>
      <c r="O80" s="26"/>
    </row>
    <row r="81" spans="6:15" ht="12.75">
      <c r="F81" s="65"/>
      <c r="G81" s="26"/>
      <c r="H81" s="65"/>
      <c r="I81" s="206"/>
      <c r="J81" s="65"/>
      <c r="K81" s="26"/>
      <c r="N81" s="26"/>
      <c r="O81" s="26"/>
    </row>
    <row r="82" spans="6:15" ht="12.75">
      <c r="F82" s="65"/>
      <c r="G82" s="26"/>
      <c r="H82" s="65"/>
      <c r="I82" s="206"/>
      <c r="J82" s="65"/>
      <c r="K82" s="26"/>
      <c r="L82" s="26"/>
      <c r="M82" s="26"/>
      <c r="N82" s="26"/>
      <c r="O82" s="26"/>
    </row>
    <row r="83" spans="5:15" ht="12.75">
      <c r="E83" s="26"/>
      <c r="F83" s="65"/>
      <c r="G83" s="26"/>
      <c r="H83" s="65"/>
      <c r="I83" s="206"/>
      <c r="J83" s="65"/>
      <c r="K83" s="26"/>
      <c r="L83" s="26"/>
      <c r="M83" s="26"/>
      <c r="N83" s="26"/>
      <c r="O83" s="26"/>
    </row>
    <row r="84" spans="5:15" ht="12.75">
      <c r="E84" s="26"/>
      <c r="F84" s="65"/>
      <c r="G84" s="26"/>
      <c r="H84" s="65"/>
      <c r="I84" s="206"/>
      <c r="J84" s="65"/>
      <c r="K84" s="26"/>
      <c r="L84" s="26"/>
      <c r="M84" s="26"/>
      <c r="N84" s="26"/>
      <c r="O84" s="26"/>
    </row>
    <row r="85" spans="5:15" ht="12.75">
      <c r="E85" s="26"/>
      <c r="F85" s="66"/>
      <c r="G85" s="26"/>
      <c r="H85" s="66"/>
      <c r="I85" s="206"/>
      <c r="J85" s="66"/>
      <c r="K85" s="26"/>
      <c r="L85" s="26"/>
      <c r="M85" s="26"/>
      <c r="N85" s="26"/>
      <c r="O85" s="26"/>
    </row>
    <row r="86" spans="5:15" ht="12.75">
      <c r="E86" s="26"/>
      <c r="F86" s="65"/>
      <c r="G86" s="26"/>
      <c r="H86" s="65"/>
      <c r="I86" s="206"/>
      <c r="J86" s="65"/>
      <c r="K86" s="26"/>
      <c r="L86" s="26"/>
      <c r="M86" s="26"/>
      <c r="N86" s="26"/>
      <c r="O86" s="26"/>
    </row>
    <row r="87" spans="5:15" ht="12.75">
      <c r="E87" s="26"/>
      <c r="F87" s="65"/>
      <c r="G87" s="26"/>
      <c r="H87" s="65"/>
      <c r="I87" s="206"/>
      <c r="J87" s="65"/>
      <c r="K87" s="26"/>
      <c r="L87" s="26"/>
      <c r="M87" s="26"/>
      <c r="N87" s="26"/>
      <c r="O87" s="26"/>
    </row>
    <row r="88" spans="7:15" ht="12.75">
      <c r="G88" s="26"/>
      <c r="H88" s="65"/>
      <c r="I88" s="206"/>
      <c r="J88" s="65"/>
      <c r="K88" s="26"/>
      <c r="L88" s="26"/>
      <c r="M88" s="26"/>
      <c r="N88" s="26"/>
      <c r="O88" s="26"/>
    </row>
    <row r="89" spans="7:15" ht="12.75">
      <c r="G89" s="26"/>
      <c r="H89" s="65"/>
      <c r="I89" s="206"/>
      <c r="J89" s="65"/>
      <c r="K89" s="26"/>
      <c r="L89" s="26"/>
      <c r="M89" s="26"/>
      <c r="N89" s="26"/>
      <c r="O89" s="26"/>
    </row>
    <row r="90" spans="7:15" ht="12.75">
      <c r="G90" s="26"/>
      <c r="H90" s="65"/>
      <c r="I90" s="206"/>
      <c r="J90" s="65"/>
      <c r="K90" s="26"/>
      <c r="L90" s="26"/>
      <c r="M90" s="26"/>
      <c r="N90" s="26"/>
      <c r="O90" s="26"/>
    </row>
    <row r="91" spans="7:15" ht="12.75">
      <c r="G91" s="26"/>
      <c r="H91" s="65"/>
      <c r="I91" s="206"/>
      <c r="J91" s="65"/>
      <c r="K91" s="26"/>
      <c r="L91" s="26"/>
      <c r="M91" s="26"/>
      <c r="N91" s="26"/>
      <c r="O91" s="26"/>
    </row>
    <row r="92" spans="7:15" ht="12.75">
      <c r="G92" s="26"/>
      <c r="H92" s="65"/>
      <c r="I92" s="206"/>
      <c r="J92" s="65"/>
      <c r="K92" s="26"/>
      <c r="L92" s="26"/>
      <c r="M92" s="26"/>
      <c r="N92" s="26"/>
      <c r="O92" s="26"/>
    </row>
    <row r="93" spans="7:15" ht="12.75">
      <c r="G93" s="26"/>
      <c r="H93" s="65"/>
      <c r="I93" s="206"/>
      <c r="J93" s="65"/>
      <c r="K93" s="26"/>
      <c r="L93" s="26"/>
      <c r="M93" s="26"/>
      <c r="N93" s="26"/>
      <c r="O93" s="26"/>
    </row>
    <row r="94" spans="7:15" ht="12.75">
      <c r="G94" s="26"/>
      <c r="H94" s="26"/>
      <c r="I94" s="206"/>
      <c r="J94" s="26"/>
      <c r="K94" s="26"/>
      <c r="L94" s="26"/>
      <c r="M94" s="26"/>
      <c r="N94" s="26"/>
      <c r="O94" s="26"/>
    </row>
    <row r="95" spans="7:15" ht="12.75">
      <c r="G95" s="26"/>
      <c r="H95" s="26"/>
      <c r="I95" s="206"/>
      <c r="J95" s="26"/>
      <c r="K95" s="26"/>
      <c r="L95" s="26"/>
      <c r="M95" s="26"/>
      <c r="N95" s="26"/>
      <c r="O95" s="26"/>
    </row>
    <row r="96" spans="7:15" ht="12.75">
      <c r="G96" s="26"/>
      <c r="H96" s="26"/>
      <c r="I96" s="206"/>
      <c r="J96" s="26"/>
      <c r="K96" s="26"/>
      <c r="L96" s="26"/>
      <c r="M96" s="26"/>
      <c r="N96" s="26"/>
      <c r="O96" s="26"/>
    </row>
    <row r="97" spans="7:15" ht="12.75">
      <c r="G97" s="26"/>
      <c r="H97" s="66"/>
      <c r="I97" s="206"/>
      <c r="J97" s="66"/>
      <c r="K97" s="26"/>
      <c r="L97" s="26"/>
      <c r="M97" s="26"/>
      <c r="N97" s="26"/>
      <c r="O97" s="26"/>
    </row>
    <row r="98" spans="7:15" ht="12.75">
      <c r="G98" s="26"/>
      <c r="H98" s="65"/>
      <c r="I98" s="206"/>
      <c r="J98" s="65"/>
      <c r="K98" s="26"/>
      <c r="L98" s="26"/>
      <c r="M98" s="26"/>
      <c r="N98" s="26"/>
      <c r="O98" s="26"/>
    </row>
    <row r="99" spans="7:15" ht="12.75">
      <c r="G99" s="26"/>
      <c r="H99" s="66"/>
      <c r="I99" s="206"/>
      <c r="J99" s="66"/>
      <c r="K99" s="26"/>
      <c r="L99" s="26"/>
      <c r="M99" s="26"/>
      <c r="N99" s="26"/>
      <c r="O99" s="26"/>
    </row>
    <row r="100" spans="7:15" ht="12.75">
      <c r="G100" s="26"/>
      <c r="H100" s="66"/>
      <c r="I100" s="206"/>
      <c r="J100" s="66"/>
      <c r="K100" s="26"/>
      <c r="L100" s="26"/>
      <c r="M100" s="26"/>
      <c r="N100" s="26"/>
      <c r="O100" s="26"/>
    </row>
    <row r="101" spans="7:15" ht="12.75">
      <c r="G101" s="26"/>
      <c r="H101" s="26"/>
      <c r="I101" s="206"/>
      <c r="J101" s="26"/>
      <c r="K101" s="26"/>
      <c r="L101" s="26"/>
      <c r="M101" s="26"/>
      <c r="N101" s="26"/>
      <c r="O101" s="26"/>
    </row>
    <row r="102" spans="7:15" ht="12.75">
      <c r="G102" s="26"/>
      <c r="H102" s="26"/>
      <c r="I102" s="206"/>
      <c r="J102" s="26"/>
      <c r="K102" s="26"/>
      <c r="L102" s="26"/>
      <c r="M102" s="26"/>
      <c r="N102" s="26"/>
      <c r="O102" s="26"/>
    </row>
    <row r="103" spans="7:15" ht="12.75">
      <c r="G103" s="26"/>
      <c r="H103" s="26"/>
      <c r="I103" s="206"/>
      <c r="J103" s="26"/>
      <c r="K103" s="26"/>
      <c r="L103" s="26"/>
      <c r="M103" s="26"/>
      <c r="N103" s="26"/>
      <c r="O103" s="26"/>
    </row>
    <row r="104" spans="7:15" ht="12.75">
      <c r="G104" s="26"/>
      <c r="H104" s="66"/>
      <c r="I104" s="206"/>
      <c r="J104" s="66"/>
      <c r="K104" s="26"/>
      <c r="L104" s="26"/>
      <c r="M104" s="26"/>
      <c r="N104" s="26"/>
      <c r="O104" s="26"/>
    </row>
    <row r="105" spans="7:15" ht="12.75">
      <c r="G105" s="26"/>
      <c r="H105" s="66"/>
      <c r="I105" s="206"/>
      <c r="J105" s="66"/>
      <c r="K105" s="26"/>
      <c r="L105" s="26"/>
      <c r="M105" s="26"/>
      <c r="N105" s="26"/>
      <c r="O105" s="26"/>
    </row>
    <row r="106" spans="7:15" ht="12.75">
      <c r="G106" s="26"/>
      <c r="H106" s="66"/>
      <c r="I106" s="206"/>
      <c r="J106" s="66"/>
      <c r="K106" s="26"/>
      <c r="L106" s="26"/>
      <c r="M106" s="26"/>
      <c r="N106" s="26"/>
      <c r="O106" s="26"/>
    </row>
    <row r="107" spans="7:15" ht="12.75">
      <c r="G107" s="26"/>
      <c r="H107" s="66"/>
      <c r="I107" s="206"/>
      <c r="J107" s="66"/>
      <c r="K107" s="26"/>
      <c r="L107" s="26"/>
      <c r="M107" s="26"/>
      <c r="N107" s="26"/>
      <c r="O107" s="26"/>
    </row>
    <row r="108" spans="7:15" ht="12.75">
      <c r="G108" s="26"/>
      <c r="H108" s="26"/>
      <c r="I108" s="206"/>
      <c r="J108" s="26"/>
      <c r="K108" s="26"/>
      <c r="L108" s="26"/>
      <c r="M108" s="26"/>
      <c r="N108" s="26"/>
      <c r="O108" s="26"/>
    </row>
    <row r="109" spans="5:15" ht="12.75">
      <c r="E109" s="26"/>
      <c r="F109" s="26"/>
      <c r="G109" s="26"/>
      <c r="H109" s="26"/>
      <c r="I109" s="206"/>
      <c r="J109" s="26"/>
      <c r="K109" s="26"/>
      <c r="L109" s="26"/>
      <c r="M109" s="26"/>
      <c r="N109" s="26"/>
      <c r="O109" s="26"/>
    </row>
    <row r="110" spans="5:15" ht="12.75">
      <c r="E110" s="26"/>
      <c r="F110" s="26"/>
      <c r="G110" s="26"/>
      <c r="H110" s="26"/>
      <c r="I110" s="206"/>
      <c r="J110" s="26"/>
      <c r="K110" s="26"/>
      <c r="L110" s="26"/>
      <c r="M110" s="26"/>
      <c r="N110" s="26"/>
      <c r="O110" s="26"/>
    </row>
    <row r="111" spans="5:15" ht="12.75">
      <c r="E111" s="26"/>
      <c r="F111" s="66"/>
      <c r="G111" s="26"/>
      <c r="H111" s="66"/>
      <c r="I111" s="206"/>
      <c r="J111" s="66"/>
      <c r="K111" s="26"/>
      <c r="L111" s="26"/>
      <c r="M111" s="26"/>
      <c r="N111" s="26"/>
      <c r="O111" s="26"/>
    </row>
    <row r="112" spans="5:15" ht="12.75">
      <c r="E112" s="26"/>
      <c r="F112" s="26"/>
      <c r="G112" s="26"/>
      <c r="H112" s="26"/>
      <c r="I112" s="206"/>
      <c r="J112" s="26"/>
      <c r="K112" s="26"/>
      <c r="L112" s="26"/>
      <c r="M112" s="26"/>
      <c r="N112" s="26"/>
      <c r="O112" s="26"/>
    </row>
    <row r="113" spans="5:15" ht="12.75">
      <c r="E113" s="26"/>
      <c r="F113" s="26"/>
      <c r="G113" s="26"/>
      <c r="H113" s="26"/>
      <c r="I113" s="206"/>
      <c r="J113" s="26"/>
      <c r="K113" s="26"/>
      <c r="L113" s="26"/>
      <c r="M113" s="26"/>
      <c r="N113" s="26"/>
      <c r="O113" s="26"/>
    </row>
    <row r="114" spans="5:15" ht="12.75">
      <c r="E114" s="26"/>
      <c r="F114" s="26"/>
      <c r="G114" s="26"/>
      <c r="H114" s="26"/>
      <c r="I114" s="206"/>
      <c r="J114" s="26"/>
      <c r="K114" s="26"/>
      <c r="L114" s="26"/>
      <c r="M114" s="26"/>
      <c r="N114" s="26"/>
      <c r="O114" s="26"/>
    </row>
    <row r="115" spans="5:15" ht="12.75">
      <c r="E115" s="26"/>
      <c r="F115" s="66"/>
      <c r="G115" s="26"/>
      <c r="H115" s="66"/>
      <c r="I115" s="206"/>
      <c r="J115" s="66"/>
      <c r="K115" s="26"/>
      <c r="L115" s="26"/>
      <c r="M115" s="26"/>
      <c r="N115" s="26"/>
      <c r="O115" s="26"/>
    </row>
    <row r="116" spans="5:15" ht="12.75">
      <c r="E116" s="26"/>
      <c r="F116" s="66"/>
      <c r="G116" s="26"/>
      <c r="H116" s="66"/>
      <c r="I116" s="206"/>
      <c r="J116" s="66"/>
      <c r="K116" s="26"/>
      <c r="L116" s="26"/>
      <c r="M116" s="26"/>
      <c r="N116" s="26"/>
      <c r="O116" s="26"/>
    </row>
    <row r="117" spans="5:15" ht="12.75">
      <c r="E117" s="26"/>
      <c r="F117" s="66"/>
      <c r="G117" s="26"/>
      <c r="H117" s="66"/>
      <c r="I117" s="206"/>
      <c r="J117" s="66"/>
      <c r="K117" s="26"/>
      <c r="L117" s="26"/>
      <c r="M117" s="26"/>
      <c r="N117" s="26"/>
      <c r="O117" s="26"/>
    </row>
    <row r="118" spans="5:15" ht="12.75">
      <c r="E118" s="26"/>
      <c r="F118" s="66"/>
      <c r="G118" s="26"/>
      <c r="H118" s="66"/>
      <c r="I118" s="206"/>
      <c r="J118" s="66"/>
      <c r="K118" s="26"/>
      <c r="L118" s="26"/>
      <c r="M118" s="26"/>
      <c r="N118" s="26"/>
      <c r="O118" s="26"/>
    </row>
    <row r="119" spans="5:15" ht="12.75">
      <c r="E119" s="26"/>
      <c r="F119" s="66"/>
      <c r="G119" s="26"/>
      <c r="H119" s="66"/>
      <c r="I119" s="206"/>
      <c r="J119" s="66"/>
      <c r="K119" s="26"/>
      <c r="L119" s="26"/>
      <c r="M119" s="26"/>
      <c r="N119" s="26"/>
      <c r="O119" s="26"/>
    </row>
    <row r="120" spans="5:15" ht="12.75">
      <c r="E120" s="26"/>
      <c r="F120" s="66"/>
      <c r="G120" s="26"/>
      <c r="H120" s="66"/>
      <c r="I120" s="206"/>
      <c r="J120" s="66"/>
      <c r="K120" s="26"/>
      <c r="L120" s="26"/>
      <c r="M120" s="26"/>
      <c r="N120" s="26"/>
      <c r="O120" s="26"/>
    </row>
    <row r="121" spans="5:15" ht="12.75">
      <c r="E121" s="26"/>
      <c r="F121" s="66"/>
      <c r="G121" s="26"/>
      <c r="H121" s="66"/>
      <c r="I121" s="206"/>
      <c r="J121" s="66"/>
      <c r="K121" s="26"/>
      <c r="L121" s="26"/>
      <c r="M121" s="26"/>
      <c r="N121" s="26"/>
      <c r="O121" s="26"/>
    </row>
    <row r="122" spans="5:15" ht="12.75">
      <c r="E122" s="26"/>
      <c r="F122" s="66"/>
      <c r="G122" s="26"/>
      <c r="H122" s="66"/>
      <c r="I122" s="206"/>
      <c r="J122" s="66"/>
      <c r="K122" s="26"/>
      <c r="L122" s="26"/>
      <c r="M122" s="26"/>
      <c r="N122" s="26"/>
      <c r="O122" s="26"/>
    </row>
    <row r="123" spans="5:15" ht="12.75">
      <c r="E123" s="26"/>
      <c r="F123" s="66"/>
      <c r="G123" s="26"/>
      <c r="H123" s="66"/>
      <c r="I123" s="206"/>
      <c r="J123" s="66"/>
      <c r="K123" s="26"/>
      <c r="L123" s="26"/>
      <c r="M123" s="26"/>
      <c r="N123" s="26"/>
      <c r="O123" s="26"/>
    </row>
    <row r="124" spans="5:15" ht="12.75">
      <c r="E124" s="26"/>
      <c r="F124" s="65"/>
      <c r="G124" s="26"/>
      <c r="H124" s="65"/>
      <c r="I124" s="206"/>
      <c r="J124" s="65"/>
      <c r="K124" s="26"/>
      <c r="L124" s="26"/>
      <c r="M124" s="26"/>
      <c r="N124" s="26"/>
      <c r="O124" s="26"/>
    </row>
    <row r="125" spans="5:15" ht="12.75">
      <c r="E125" s="26"/>
      <c r="F125" s="26"/>
      <c r="G125" s="26"/>
      <c r="H125" s="26"/>
      <c r="I125" s="206"/>
      <c r="J125" s="26"/>
      <c r="K125" s="26"/>
      <c r="L125" s="26"/>
      <c r="M125" s="26"/>
      <c r="N125" s="26"/>
      <c r="O125" s="26"/>
    </row>
    <row r="126" spans="5:15" ht="12.75">
      <c r="E126" s="26"/>
      <c r="F126" s="26"/>
      <c r="G126" s="26"/>
      <c r="H126" s="26"/>
      <c r="I126" s="206"/>
      <c r="J126" s="26"/>
      <c r="K126" s="26"/>
      <c r="L126" s="26"/>
      <c r="M126" s="26"/>
      <c r="N126" s="25"/>
      <c r="O126" s="25"/>
    </row>
    <row r="127" spans="5:15" ht="12.75">
      <c r="E127" s="26"/>
      <c r="F127" s="26"/>
      <c r="G127" s="26"/>
      <c r="H127" s="26"/>
      <c r="I127" s="206"/>
      <c r="J127" s="26"/>
      <c r="K127" s="26"/>
      <c r="L127" s="26"/>
      <c r="M127" s="26"/>
      <c r="N127" s="25"/>
      <c r="O127" s="25"/>
    </row>
    <row r="128" spans="5:15" ht="12.75">
      <c r="E128" s="26"/>
      <c r="F128" s="26"/>
      <c r="G128" s="26"/>
      <c r="H128" s="26"/>
      <c r="I128" s="206"/>
      <c r="J128" s="26"/>
      <c r="K128" s="26"/>
      <c r="L128" s="26"/>
      <c r="M128" s="26"/>
      <c r="N128" s="25"/>
      <c r="O128" s="25"/>
    </row>
    <row r="129" spans="5:15" ht="12.75">
      <c r="E129" s="26"/>
      <c r="F129" s="26"/>
      <c r="G129" s="26"/>
      <c r="H129" s="26"/>
      <c r="I129" s="206"/>
      <c r="J129" s="26"/>
      <c r="K129" s="26"/>
      <c r="L129" s="26"/>
      <c r="M129" s="26"/>
      <c r="N129" s="25"/>
      <c r="O129" s="25"/>
    </row>
    <row r="130" spans="5:15" ht="12.75">
      <c r="E130" s="26"/>
      <c r="F130" s="26"/>
      <c r="G130" s="26"/>
      <c r="H130" s="26"/>
      <c r="I130" s="206"/>
      <c r="J130" s="26"/>
      <c r="K130" s="26"/>
      <c r="L130" s="26"/>
      <c r="M130" s="26"/>
      <c r="N130" s="25"/>
      <c r="O130" s="25"/>
    </row>
    <row r="131" spans="5:15" ht="12.75">
      <c r="E131" s="25"/>
      <c r="F131" s="26"/>
      <c r="G131" s="26"/>
      <c r="H131" s="26"/>
      <c r="I131" s="206"/>
      <c r="J131" s="26"/>
      <c r="K131" s="26"/>
      <c r="L131" s="26"/>
      <c r="M131" s="26"/>
      <c r="N131" s="25"/>
      <c r="O131" s="25"/>
    </row>
    <row r="132" spans="5:15" ht="12.75">
      <c r="E132" s="25"/>
      <c r="F132" s="25"/>
      <c r="G132" s="25"/>
      <c r="H132" s="25"/>
      <c r="I132" s="203"/>
      <c r="J132" s="25"/>
      <c r="K132" s="25"/>
      <c r="L132" s="25"/>
      <c r="M132" s="26"/>
      <c r="N132" s="25"/>
      <c r="O132" s="25"/>
    </row>
    <row r="133" spans="5:15" ht="12.75">
      <c r="E133" s="25"/>
      <c r="F133" s="25"/>
      <c r="G133" s="25"/>
      <c r="H133" s="25"/>
      <c r="I133" s="203"/>
      <c r="J133" s="25"/>
      <c r="K133" s="25"/>
      <c r="L133" s="25"/>
      <c r="M133" s="26"/>
      <c r="N133" s="25"/>
      <c r="O133" s="25"/>
    </row>
    <row r="134" spans="5:15" ht="12.75">
      <c r="E134" s="25"/>
      <c r="F134" s="25"/>
      <c r="G134" s="25"/>
      <c r="H134" s="25"/>
      <c r="I134" s="203"/>
      <c r="J134" s="25"/>
      <c r="K134" s="25"/>
      <c r="L134" s="25"/>
      <c r="M134" s="26"/>
      <c r="N134" s="25"/>
      <c r="O134" s="25"/>
    </row>
    <row r="135" spans="5:15" ht="12.75">
      <c r="E135" s="25"/>
      <c r="F135" s="25"/>
      <c r="G135" s="25"/>
      <c r="H135" s="25"/>
      <c r="I135" s="203"/>
      <c r="J135" s="25"/>
      <c r="K135" s="25"/>
      <c r="L135" s="25"/>
      <c r="M135" s="26"/>
      <c r="N135" s="25"/>
      <c r="O135" s="25"/>
    </row>
    <row r="136" spans="5:15" ht="12.75">
      <c r="E136" s="25"/>
      <c r="F136" s="25"/>
      <c r="G136" s="25"/>
      <c r="H136" s="25"/>
      <c r="I136" s="203"/>
      <c r="J136" s="25"/>
      <c r="K136" s="25"/>
      <c r="L136" s="25"/>
      <c r="M136" s="26"/>
      <c r="N136" s="25"/>
      <c r="O136" s="25"/>
    </row>
    <row r="137" spans="5:15" ht="12.75">
      <c r="E137" s="25"/>
      <c r="F137" s="25"/>
      <c r="G137" s="25"/>
      <c r="H137" s="25"/>
      <c r="I137" s="203"/>
      <c r="J137" s="25"/>
      <c r="K137" s="25"/>
      <c r="L137" s="25"/>
      <c r="M137" s="26"/>
      <c r="N137" s="25"/>
      <c r="O137" s="25"/>
    </row>
    <row r="138" spans="5:15" ht="12.75">
      <c r="E138" s="25"/>
      <c r="F138" s="25"/>
      <c r="G138" s="25"/>
      <c r="H138" s="25"/>
      <c r="I138" s="203"/>
      <c r="J138" s="25"/>
      <c r="K138" s="25"/>
      <c r="L138" s="25"/>
      <c r="M138" s="26"/>
      <c r="N138" s="25"/>
      <c r="O138" s="25"/>
    </row>
    <row r="139" spans="5:15" ht="12.75">
      <c r="E139" s="25"/>
      <c r="F139" s="25"/>
      <c r="G139" s="25"/>
      <c r="H139" s="25"/>
      <c r="I139" s="203"/>
      <c r="J139" s="25"/>
      <c r="K139" s="25"/>
      <c r="L139" s="25"/>
      <c r="M139" s="26"/>
      <c r="N139" s="25"/>
      <c r="O139" s="25"/>
    </row>
    <row r="140" spans="5:15" ht="12.75">
      <c r="E140" s="25"/>
      <c r="F140" s="25"/>
      <c r="G140" s="25"/>
      <c r="H140" s="25"/>
      <c r="I140" s="203"/>
      <c r="J140" s="25"/>
      <c r="K140" s="25"/>
      <c r="L140" s="25"/>
      <c r="M140" s="26"/>
      <c r="N140" s="25"/>
      <c r="O140" s="25"/>
    </row>
    <row r="141" spans="5:15" ht="12.75">
      <c r="E141" s="25"/>
      <c r="F141" s="25"/>
      <c r="G141" s="25"/>
      <c r="H141" s="25"/>
      <c r="I141" s="203"/>
      <c r="J141" s="25"/>
      <c r="K141" s="25"/>
      <c r="L141" s="25"/>
      <c r="M141" s="26"/>
      <c r="N141" s="25"/>
      <c r="O141" s="25"/>
    </row>
    <row r="142" spans="5:15" ht="12.75">
      <c r="E142" s="25"/>
      <c r="F142" s="25"/>
      <c r="G142" s="25"/>
      <c r="H142" s="25"/>
      <c r="I142" s="203"/>
      <c r="J142" s="25"/>
      <c r="K142" s="25"/>
      <c r="L142" s="25"/>
      <c r="M142" s="26"/>
      <c r="N142" s="25"/>
      <c r="O142" s="25"/>
    </row>
    <row r="143" spans="5:15" ht="12.75">
      <c r="E143" s="25"/>
      <c r="F143" s="25"/>
      <c r="G143" s="25"/>
      <c r="H143" s="25"/>
      <c r="I143" s="203"/>
      <c r="J143" s="25"/>
      <c r="K143" s="25"/>
      <c r="L143" s="25"/>
      <c r="M143" s="26"/>
      <c r="N143" s="25"/>
      <c r="O143" s="25"/>
    </row>
    <row r="144" spans="5:15" ht="12.75">
      <c r="E144" s="25"/>
      <c r="F144" s="25"/>
      <c r="G144" s="25"/>
      <c r="H144" s="25"/>
      <c r="I144" s="203"/>
      <c r="J144" s="25"/>
      <c r="K144" s="25"/>
      <c r="L144" s="25"/>
      <c r="M144" s="26"/>
      <c r="N144" s="25"/>
      <c r="O144" s="25"/>
    </row>
    <row r="145" spans="5:15" ht="12.75">
      <c r="E145" s="25"/>
      <c r="F145" s="25"/>
      <c r="G145" s="25"/>
      <c r="H145" s="25"/>
      <c r="I145" s="203"/>
      <c r="J145" s="25"/>
      <c r="K145" s="25"/>
      <c r="L145" s="25"/>
      <c r="M145" s="26"/>
      <c r="N145" s="25"/>
      <c r="O145" s="25"/>
    </row>
    <row r="146" spans="5:15" ht="12.75">
      <c r="E146" s="25"/>
      <c r="F146" s="25"/>
      <c r="G146" s="25"/>
      <c r="H146" s="25"/>
      <c r="I146" s="203"/>
      <c r="J146" s="25"/>
      <c r="K146" s="25"/>
      <c r="L146" s="25"/>
      <c r="M146" s="26"/>
      <c r="N146" s="25"/>
      <c r="O146" s="25"/>
    </row>
    <row r="147" spans="5:15" ht="12.75">
      <c r="E147" s="25"/>
      <c r="F147" s="25"/>
      <c r="G147" s="25"/>
      <c r="H147" s="25"/>
      <c r="I147" s="203"/>
      <c r="J147" s="25"/>
      <c r="K147" s="25"/>
      <c r="L147" s="25"/>
      <c r="M147" s="26"/>
      <c r="N147" s="25"/>
      <c r="O147" s="25"/>
    </row>
    <row r="148" spans="5:15" ht="12.75">
      <c r="E148" s="25"/>
      <c r="F148" s="25"/>
      <c r="G148" s="25"/>
      <c r="H148" s="25"/>
      <c r="I148" s="203"/>
      <c r="J148" s="25"/>
      <c r="K148" s="25"/>
      <c r="L148" s="25"/>
      <c r="M148" s="26"/>
      <c r="N148" s="25"/>
      <c r="O148" s="25"/>
    </row>
    <row r="149" spans="5:15" ht="12.75">
      <c r="E149" s="25"/>
      <c r="F149" s="25"/>
      <c r="G149" s="25"/>
      <c r="H149" s="25"/>
      <c r="I149" s="203"/>
      <c r="J149" s="25"/>
      <c r="K149" s="25"/>
      <c r="L149" s="25"/>
      <c r="M149" s="26"/>
      <c r="N149" s="25"/>
      <c r="O149" s="25"/>
    </row>
    <row r="150" spans="5:15" ht="12.75">
      <c r="E150" s="25"/>
      <c r="F150" s="25"/>
      <c r="G150" s="25"/>
      <c r="H150" s="25"/>
      <c r="I150" s="203"/>
      <c r="J150" s="25"/>
      <c r="K150" s="25"/>
      <c r="L150" s="25"/>
      <c r="M150" s="26"/>
      <c r="N150" s="25"/>
      <c r="O150" s="25"/>
    </row>
    <row r="151" spans="5:15" ht="12.75">
      <c r="E151" s="25"/>
      <c r="F151" s="25"/>
      <c r="G151" s="25"/>
      <c r="H151" s="25"/>
      <c r="I151" s="203"/>
      <c r="J151" s="25"/>
      <c r="K151" s="25"/>
      <c r="L151" s="25"/>
      <c r="M151" s="26"/>
      <c r="N151" s="25"/>
      <c r="O151" s="25"/>
    </row>
    <row r="152" spans="5:15" ht="12.75">
      <c r="E152" s="25"/>
      <c r="F152" s="25"/>
      <c r="G152" s="25"/>
      <c r="H152" s="25"/>
      <c r="I152" s="203"/>
      <c r="J152" s="25"/>
      <c r="K152" s="25"/>
      <c r="L152" s="25"/>
      <c r="M152" s="26"/>
      <c r="N152" s="25"/>
      <c r="O152" s="25"/>
    </row>
    <row r="153" spans="5:15" ht="12.75">
      <c r="E153" s="25"/>
      <c r="F153" s="25"/>
      <c r="G153" s="25"/>
      <c r="H153" s="25"/>
      <c r="I153" s="203"/>
      <c r="J153" s="25"/>
      <c r="K153" s="25"/>
      <c r="L153" s="25"/>
      <c r="M153" s="26"/>
      <c r="N153" s="25"/>
      <c r="O153" s="25"/>
    </row>
    <row r="154" spans="5:15" ht="12.75">
      <c r="E154" s="25"/>
      <c r="F154" s="25"/>
      <c r="G154" s="25"/>
      <c r="H154" s="25"/>
      <c r="I154" s="203"/>
      <c r="J154" s="25"/>
      <c r="K154" s="25"/>
      <c r="L154" s="25"/>
      <c r="M154" s="26"/>
      <c r="N154" s="25"/>
      <c r="O154" s="25"/>
    </row>
    <row r="155" spans="5:15" ht="12.75">
      <c r="E155" s="25"/>
      <c r="F155" s="25"/>
      <c r="G155" s="25"/>
      <c r="H155" s="25"/>
      <c r="I155" s="203"/>
      <c r="J155" s="25"/>
      <c r="K155" s="25"/>
      <c r="L155" s="25"/>
      <c r="M155" s="26"/>
      <c r="N155" s="25"/>
      <c r="O155" s="25"/>
    </row>
    <row r="156" spans="5:15" ht="12.75">
      <c r="E156" s="25"/>
      <c r="F156" s="25"/>
      <c r="G156" s="25"/>
      <c r="H156" s="25"/>
      <c r="I156" s="203"/>
      <c r="J156" s="25"/>
      <c r="K156" s="25"/>
      <c r="L156" s="25"/>
      <c r="M156" s="26"/>
      <c r="N156" s="25"/>
      <c r="O156" s="25"/>
    </row>
    <row r="157" spans="5:15" ht="12.75">
      <c r="E157" s="25"/>
      <c r="F157" s="25"/>
      <c r="G157" s="25"/>
      <c r="H157" s="25"/>
      <c r="I157" s="203"/>
      <c r="J157" s="25"/>
      <c r="K157" s="25"/>
      <c r="L157" s="25"/>
      <c r="M157" s="26"/>
      <c r="N157" s="25"/>
      <c r="O157" s="25"/>
    </row>
    <row r="158" spans="5:15" ht="12.75">
      <c r="E158" s="25"/>
      <c r="F158" s="25"/>
      <c r="G158" s="25"/>
      <c r="H158" s="25"/>
      <c r="I158" s="203"/>
      <c r="J158" s="25"/>
      <c r="K158" s="25"/>
      <c r="L158" s="25"/>
      <c r="M158" s="26"/>
      <c r="N158" s="25"/>
      <c r="O158" s="25"/>
    </row>
    <row r="159" spans="5:15" ht="12.75">
      <c r="E159" s="25"/>
      <c r="F159" s="25"/>
      <c r="G159" s="25"/>
      <c r="H159" s="25"/>
      <c r="I159" s="203"/>
      <c r="J159" s="25"/>
      <c r="K159" s="25"/>
      <c r="L159" s="25"/>
      <c r="M159" s="26"/>
      <c r="N159" s="25"/>
      <c r="O159" s="25"/>
    </row>
    <row r="160" spans="5:15" ht="12.75">
      <c r="E160" s="25"/>
      <c r="F160" s="25"/>
      <c r="G160" s="25"/>
      <c r="H160" s="25"/>
      <c r="I160" s="203"/>
      <c r="J160" s="25"/>
      <c r="K160" s="25"/>
      <c r="L160" s="25"/>
      <c r="M160" s="26"/>
      <c r="N160" s="25"/>
      <c r="O160" s="25"/>
    </row>
    <row r="161" spans="5:15" ht="12.75">
      <c r="E161" s="25"/>
      <c r="F161" s="25"/>
      <c r="G161" s="25"/>
      <c r="H161" s="25"/>
      <c r="I161" s="203"/>
      <c r="J161" s="25"/>
      <c r="K161" s="25"/>
      <c r="L161" s="25"/>
      <c r="M161" s="26"/>
      <c r="N161" s="25"/>
      <c r="O161" s="25"/>
    </row>
    <row r="162" spans="5:15" ht="12.75">
      <c r="E162" s="25"/>
      <c r="F162" s="25"/>
      <c r="G162" s="25"/>
      <c r="H162" s="25"/>
      <c r="I162" s="203"/>
      <c r="J162" s="25"/>
      <c r="K162" s="25"/>
      <c r="L162" s="25"/>
      <c r="M162" s="26"/>
      <c r="N162" s="25"/>
      <c r="O162" s="25"/>
    </row>
    <row r="163" spans="5:15" ht="12.75">
      <c r="E163" s="25"/>
      <c r="F163" s="25"/>
      <c r="G163" s="25"/>
      <c r="H163" s="25"/>
      <c r="I163" s="203"/>
      <c r="J163" s="25"/>
      <c r="K163" s="25"/>
      <c r="L163" s="25"/>
      <c r="M163" s="26"/>
      <c r="N163" s="25"/>
      <c r="O163" s="25"/>
    </row>
    <row r="164" spans="5:15" ht="12.75">
      <c r="E164" s="25"/>
      <c r="F164" s="25"/>
      <c r="G164" s="25"/>
      <c r="H164" s="25"/>
      <c r="I164" s="203"/>
      <c r="J164" s="25"/>
      <c r="K164" s="25"/>
      <c r="L164" s="25"/>
      <c r="M164" s="26"/>
      <c r="N164" s="25"/>
      <c r="O164" s="25"/>
    </row>
    <row r="165" spans="5:15" ht="12.75">
      <c r="E165" s="25"/>
      <c r="F165" s="25"/>
      <c r="G165" s="25"/>
      <c r="H165" s="25"/>
      <c r="I165" s="203"/>
      <c r="J165" s="25"/>
      <c r="K165" s="25"/>
      <c r="L165" s="25"/>
      <c r="M165" s="26"/>
      <c r="N165" s="25"/>
      <c r="O165" s="25"/>
    </row>
    <row r="166" spans="5:15" ht="12.75">
      <c r="E166" s="25"/>
      <c r="F166" s="25"/>
      <c r="G166" s="25"/>
      <c r="H166" s="25"/>
      <c r="I166" s="203"/>
      <c r="J166" s="25"/>
      <c r="K166" s="25"/>
      <c r="L166" s="25"/>
      <c r="M166" s="26"/>
      <c r="N166" s="25"/>
      <c r="O166" s="25"/>
    </row>
    <row r="167" spans="5:15" ht="12.75">
      <c r="E167" s="25"/>
      <c r="F167" s="25"/>
      <c r="G167" s="25"/>
      <c r="H167" s="25"/>
      <c r="I167" s="203"/>
      <c r="J167" s="25"/>
      <c r="K167" s="25"/>
      <c r="L167" s="25"/>
      <c r="M167" s="26"/>
      <c r="N167" s="25"/>
      <c r="O167" s="25"/>
    </row>
    <row r="168" spans="5:15" ht="12.75">
      <c r="E168" s="25"/>
      <c r="F168" s="25"/>
      <c r="G168" s="25"/>
      <c r="H168" s="25"/>
      <c r="I168" s="203"/>
      <c r="J168" s="25"/>
      <c r="K168" s="25"/>
      <c r="L168" s="25"/>
      <c r="M168" s="26"/>
      <c r="N168" s="25"/>
      <c r="O168" s="25"/>
    </row>
    <row r="169" spans="5:15" ht="12.75">
      <c r="E169" s="25"/>
      <c r="F169" s="25"/>
      <c r="G169" s="25"/>
      <c r="H169" s="25"/>
      <c r="I169" s="203"/>
      <c r="J169" s="25"/>
      <c r="K169" s="25"/>
      <c r="L169" s="25"/>
      <c r="M169" s="26"/>
      <c r="N169" s="25"/>
      <c r="O169" s="25"/>
    </row>
    <row r="170" spans="5:15" ht="12.75">
      <c r="E170" s="25"/>
      <c r="F170" s="25"/>
      <c r="G170" s="25"/>
      <c r="H170" s="25"/>
      <c r="I170" s="203"/>
      <c r="J170" s="25"/>
      <c r="K170" s="25"/>
      <c r="L170" s="25"/>
      <c r="M170" s="26"/>
      <c r="N170" s="25"/>
      <c r="O170" s="25"/>
    </row>
    <row r="171" spans="5:15" ht="12.75">
      <c r="E171" s="25"/>
      <c r="F171" s="25"/>
      <c r="G171" s="25"/>
      <c r="H171" s="25"/>
      <c r="I171" s="203"/>
      <c r="J171" s="25"/>
      <c r="K171" s="25"/>
      <c r="L171" s="25"/>
      <c r="M171" s="26"/>
      <c r="N171" s="25"/>
      <c r="O171" s="25"/>
    </row>
    <row r="172" spans="5:15" ht="12.75">
      <c r="E172" s="25"/>
      <c r="F172" s="25"/>
      <c r="G172" s="25"/>
      <c r="H172" s="25"/>
      <c r="I172" s="203"/>
      <c r="J172" s="25"/>
      <c r="K172" s="25"/>
      <c r="L172" s="25"/>
      <c r="M172" s="26"/>
      <c r="N172" s="25"/>
      <c r="O172" s="25"/>
    </row>
    <row r="173" spans="5:15" ht="12.75">
      <c r="E173" s="25"/>
      <c r="F173" s="25"/>
      <c r="G173" s="25"/>
      <c r="H173" s="25"/>
      <c r="I173" s="203"/>
      <c r="J173" s="25"/>
      <c r="K173" s="25"/>
      <c r="L173" s="25"/>
      <c r="M173" s="26"/>
      <c r="N173" s="25"/>
      <c r="O173" s="25"/>
    </row>
    <row r="174" spans="5:15" ht="12.75">
      <c r="E174" s="25"/>
      <c r="F174" s="25"/>
      <c r="G174" s="25"/>
      <c r="H174" s="25"/>
      <c r="I174" s="203"/>
      <c r="J174" s="25"/>
      <c r="K174" s="25"/>
      <c r="L174" s="25"/>
      <c r="M174" s="26"/>
      <c r="N174" s="25"/>
      <c r="O174" s="25"/>
    </row>
    <row r="175" spans="5:15" ht="12.75">
      <c r="E175" s="25"/>
      <c r="F175" s="25"/>
      <c r="G175" s="25"/>
      <c r="H175" s="25"/>
      <c r="I175" s="203"/>
      <c r="J175" s="25"/>
      <c r="K175" s="25"/>
      <c r="L175" s="25"/>
      <c r="M175" s="26"/>
      <c r="N175" s="25"/>
      <c r="O175" s="25"/>
    </row>
    <row r="176" spans="5:15" ht="12.75">
      <c r="E176" s="25"/>
      <c r="F176" s="25"/>
      <c r="G176" s="25"/>
      <c r="H176" s="25"/>
      <c r="I176" s="203"/>
      <c r="J176" s="25"/>
      <c r="K176" s="25"/>
      <c r="L176" s="25"/>
      <c r="M176" s="26"/>
      <c r="N176" s="25"/>
      <c r="O176" s="25"/>
    </row>
    <row r="177" spans="5:15" ht="12.75">
      <c r="E177" s="25"/>
      <c r="F177" s="25"/>
      <c r="G177" s="25"/>
      <c r="H177" s="25"/>
      <c r="I177" s="203"/>
      <c r="J177" s="25"/>
      <c r="K177" s="25"/>
      <c r="L177" s="25"/>
      <c r="M177" s="26"/>
      <c r="N177" s="25"/>
      <c r="O177" s="25"/>
    </row>
    <row r="178" spans="5:15" ht="12.75">
      <c r="E178" s="25"/>
      <c r="F178" s="25"/>
      <c r="G178" s="25"/>
      <c r="H178" s="25"/>
      <c r="I178" s="203"/>
      <c r="J178" s="25"/>
      <c r="K178" s="25"/>
      <c r="L178" s="25"/>
      <c r="M178" s="26"/>
      <c r="N178" s="25"/>
      <c r="O178" s="25"/>
    </row>
    <row r="179" spans="5:15" ht="12.75">
      <c r="E179" s="25"/>
      <c r="F179" s="25"/>
      <c r="G179" s="25"/>
      <c r="H179" s="25"/>
      <c r="I179" s="203"/>
      <c r="J179" s="25"/>
      <c r="K179" s="25"/>
      <c r="L179" s="25"/>
      <c r="M179" s="26"/>
      <c r="N179" s="25"/>
      <c r="O179" s="25"/>
    </row>
    <row r="180" spans="5:15" ht="12.75">
      <c r="E180" s="25"/>
      <c r="F180" s="25"/>
      <c r="G180" s="25"/>
      <c r="H180" s="25"/>
      <c r="I180" s="203"/>
      <c r="J180" s="25"/>
      <c r="K180" s="25"/>
      <c r="L180" s="25"/>
      <c r="M180" s="26"/>
      <c r="N180" s="25"/>
      <c r="O180" s="25"/>
    </row>
    <row r="181" spans="5:15" ht="12.75">
      <c r="E181" s="25"/>
      <c r="F181" s="25"/>
      <c r="G181" s="25"/>
      <c r="H181" s="25"/>
      <c r="I181" s="203"/>
      <c r="J181" s="25"/>
      <c r="K181" s="25"/>
      <c r="L181" s="25"/>
      <c r="M181" s="26"/>
      <c r="N181" s="25"/>
      <c r="O181" s="25"/>
    </row>
    <row r="182" spans="5:15" ht="12.75">
      <c r="E182" s="25"/>
      <c r="F182" s="25"/>
      <c r="G182" s="25"/>
      <c r="H182" s="25"/>
      <c r="I182" s="203"/>
      <c r="J182" s="25"/>
      <c r="K182" s="25"/>
      <c r="L182" s="25"/>
      <c r="M182" s="26"/>
      <c r="N182" s="25"/>
      <c r="O182" s="25"/>
    </row>
    <row r="183" spans="5:15" ht="12.75">
      <c r="E183" s="25"/>
      <c r="F183" s="25"/>
      <c r="G183" s="25"/>
      <c r="H183" s="25"/>
      <c r="I183" s="203"/>
      <c r="J183" s="25"/>
      <c r="K183" s="25"/>
      <c r="L183" s="25"/>
      <c r="M183" s="26"/>
      <c r="N183" s="25"/>
      <c r="O183" s="25"/>
    </row>
    <row r="184" spans="5:15" ht="12.75">
      <c r="E184" s="25"/>
      <c r="F184" s="25"/>
      <c r="G184" s="25"/>
      <c r="H184" s="25"/>
      <c r="I184" s="203"/>
      <c r="J184" s="25"/>
      <c r="K184" s="25"/>
      <c r="L184" s="25"/>
      <c r="M184" s="26"/>
      <c r="N184" s="25"/>
      <c r="O184" s="25"/>
    </row>
    <row r="185" spans="5:15" ht="12.75">
      <c r="E185" s="25"/>
      <c r="F185" s="25"/>
      <c r="G185" s="25"/>
      <c r="H185" s="25"/>
      <c r="I185" s="203"/>
      <c r="J185" s="25"/>
      <c r="K185" s="25"/>
      <c r="L185" s="25"/>
      <c r="M185" s="26"/>
      <c r="N185" s="25"/>
      <c r="O185" s="25"/>
    </row>
    <row r="186" spans="5:15" ht="12.75">
      <c r="E186" s="25"/>
      <c r="F186" s="25"/>
      <c r="G186" s="25"/>
      <c r="H186" s="25"/>
      <c r="I186" s="203"/>
      <c r="J186" s="25"/>
      <c r="K186" s="25"/>
      <c r="L186" s="25"/>
      <c r="M186" s="26"/>
      <c r="N186" s="25"/>
      <c r="O186" s="25"/>
    </row>
    <row r="187" spans="5:15" ht="12.75">
      <c r="E187" s="25"/>
      <c r="F187" s="25"/>
      <c r="G187" s="25"/>
      <c r="H187" s="25"/>
      <c r="I187" s="203"/>
      <c r="J187" s="25"/>
      <c r="K187" s="25"/>
      <c r="L187" s="25"/>
      <c r="M187" s="26"/>
      <c r="N187" s="25"/>
      <c r="O187" s="25"/>
    </row>
    <row r="188" spans="5:15" ht="12.75">
      <c r="E188" s="25"/>
      <c r="F188" s="25"/>
      <c r="G188" s="25"/>
      <c r="H188" s="25"/>
      <c r="I188" s="203"/>
      <c r="J188" s="25"/>
      <c r="K188" s="25"/>
      <c r="L188" s="25"/>
      <c r="M188" s="26"/>
      <c r="N188" s="25"/>
      <c r="O188" s="25"/>
    </row>
    <row r="189" spans="5:15" ht="12.75">
      <c r="E189" s="25"/>
      <c r="F189" s="25"/>
      <c r="G189" s="25"/>
      <c r="H189" s="25"/>
      <c r="I189" s="203"/>
      <c r="J189" s="25"/>
      <c r="K189" s="25"/>
      <c r="L189" s="25"/>
      <c r="M189" s="26"/>
      <c r="N189" s="25"/>
      <c r="O189" s="25"/>
    </row>
    <row r="190" spans="5:15" ht="12.75">
      <c r="E190" s="25"/>
      <c r="F190" s="25"/>
      <c r="G190" s="25"/>
      <c r="H190" s="25"/>
      <c r="I190" s="203"/>
      <c r="J190" s="25"/>
      <c r="K190" s="25"/>
      <c r="L190" s="25"/>
      <c r="M190" s="26"/>
      <c r="N190" s="25"/>
      <c r="O190" s="25"/>
    </row>
    <row r="191" spans="5:15" ht="12.75">
      <c r="E191" s="25"/>
      <c r="F191" s="25"/>
      <c r="G191" s="25"/>
      <c r="H191" s="25"/>
      <c r="I191" s="203"/>
      <c r="J191" s="25"/>
      <c r="K191" s="25"/>
      <c r="L191" s="25"/>
      <c r="M191" s="26"/>
      <c r="N191" s="25"/>
      <c r="O191" s="25"/>
    </row>
    <row r="192" spans="5:15" ht="12.75">
      <c r="E192" s="25"/>
      <c r="F192" s="25"/>
      <c r="G192" s="25"/>
      <c r="H192" s="25"/>
      <c r="I192" s="203"/>
      <c r="J192" s="25"/>
      <c r="K192" s="25"/>
      <c r="L192" s="25"/>
      <c r="M192" s="26"/>
      <c r="N192" s="25"/>
      <c r="O192" s="25"/>
    </row>
    <row r="193" spans="5:15" ht="12.75">
      <c r="E193" s="25"/>
      <c r="F193" s="25"/>
      <c r="G193" s="25"/>
      <c r="H193" s="25"/>
      <c r="I193" s="203"/>
      <c r="J193" s="25"/>
      <c r="K193" s="25"/>
      <c r="L193" s="25"/>
      <c r="M193" s="26"/>
      <c r="N193" s="25"/>
      <c r="O193" s="25"/>
    </row>
    <row r="194" spans="5:15" ht="12.75">
      <c r="E194" s="25"/>
      <c r="F194" s="25"/>
      <c r="G194" s="25"/>
      <c r="H194" s="25"/>
      <c r="I194" s="203"/>
      <c r="J194" s="25"/>
      <c r="K194" s="25"/>
      <c r="L194" s="25"/>
      <c r="M194" s="26"/>
      <c r="N194" s="25"/>
      <c r="O194" s="25"/>
    </row>
    <row r="195" spans="5:15" ht="12.75">
      <c r="E195" s="25"/>
      <c r="F195" s="25"/>
      <c r="G195" s="25"/>
      <c r="H195" s="25"/>
      <c r="I195" s="203"/>
      <c r="J195" s="25"/>
      <c r="K195" s="25"/>
      <c r="L195" s="25"/>
      <c r="M195" s="26"/>
      <c r="N195" s="25"/>
      <c r="O195" s="25"/>
    </row>
    <row r="196" spans="5:15" ht="12.75">
      <c r="E196" s="25"/>
      <c r="F196" s="25"/>
      <c r="G196" s="25"/>
      <c r="H196" s="25"/>
      <c r="I196" s="203"/>
      <c r="J196" s="25"/>
      <c r="K196" s="25"/>
      <c r="L196" s="25"/>
      <c r="M196" s="26"/>
      <c r="N196" s="25"/>
      <c r="O196" s="25"/>
    </row>
    <row r="197" spans="5:15" ht="12.75">
      <c r="E197" s="25"/>
      <c r="F197" s="25"/>
      <c r="G197" s="25"/>
      <c r="H197" s="25"/>
      <c r="I197" s="203"/>
      <c r="J197" s="25"/>
      <c r="K197" s="25"/>
      <c r="L197" s="25"/>
      <c r="M197" s="26"/>
      <c r="N197" s="25"/>
      <c r="O197" s="25"/>
    </row>
    <row r="198" spans="5:15" ht="12.75">
      <c r="E198" s="25"/>
      <c r="F198" s="25"/>
      <c r="G198" s="25"/>
      <c r="H198" s="25"/>
      <c r="I198" s="203"/>
      <c r="J198" s="25"/>
      <c r="K198" s="25"/>
      <c r="L198" s="25"/>
      <c r="M198" s="26"/>
      <c r="N198" s="25"/>
      <c r="O198" s="25"/>
    </row>
    <row r="199" spans="5:15" ht="12.75">
      <c r="E199" s="25"/>
      <c r="F199" s="25"/>
      <c r="G199" s="25"/>
      <c r="H199" s="25"/>
      <c r="I199" s="203"/>
      <c r="J199" s="25"/>
      <c r="K199" s="25"/>
      <c r="L199" s="25"/>
      <c r="M199" s="26"/>
      <c r="N199" s="25"/>
      <c r="O199" s="25"/>
    </row>
    <row r="200" spans="5:15" ht="12.75">
      <c r="E200" s="25"/>
      <c r="F200" s="25"/>
      <c r="G200" s="25"/>
      <c r="H200" s="25"/>
      <c r="I200" s="203"/>
      <c r="J200" s="25"/>
      <c r="K200" s="25"/>
      <c r="L200" s="25"/>
      <c r="M200" s="26"/>
      <c r="N200" s="25"/>
      <c r="O200" s="25"/>
    </row>
    <row r="201" spans="5:15" ht="12.75">
      <c r="E201" s="25"/>
      <c r="F201" s="25"/>
      <c r="G201" s="25"/>
      <c r="H201" s="25"/>
      <c r="I201" s="203"/>
      <c r="J201" s="25"/>
      <c r="K201" s="25"/>
      <c r="L201" s="25"/>
      <c r="M201" s="26"/>
      <c r="N201" s="25"/>
      <c r="O201" s="25"/>
    </row>
    <row r="202" spans="5:15" ht="12.75">
      <c r="E202" s="25"/>
      <c r="F202" s="25"/>
      <c r="G202" s="25"/>
      <c r="H202" s="25"/>
      <c r="I202" s="203"/>
      <c r="J202" s="25"/>
      <c r="K202" s="25"/>
      <c r="L202" s="25"/>
      <c r="M202" s="26"/>
      <c r="N202" s="25"/>
      <c r="O202" s="25"/>
    </row>
    <row r="203" spans="5:15" ht="12.75">
      <c r="E203" s="25"/>
      <c r="F203" s="25"/>
      <c r="G203" s="25"/>
      <c r="H203" s="25"/>
      <c r="I203" s="203"/>
      <c r="J203" s="25"/>
      <c r="K203" s="25"/>
      <c r="L203" s="25"/>
      <c r="M203" s="26"/>
      <c r="N203" s="25"/>
      <c r="O203" s="25"/>
    </row>
    <row r="204" spans="5:15" ht="12.75">
      <c r="E204" s="25"/>
      <c r="F204" s="25"/>
      <c r="G204" s="25"/>
      <c r="H204" s="25"/>
      <c r="I204" s="203"/>
      <c r="J204" s="25"/>
      <c r="K204" s="25"/>
      <c r="L204" s="25"/>
      <c r="M204" s="26"/>
      <c r="N204" s="25"/>
      <c r="O204" s="25"/>
    </row>
    <row r="205" spans="5:15" ht="12.75">
      <c r="E205" s="25"/>
      <c r="F205" s="25"/>
      <c r="G205" s="25"/>
      <c r="H205" s="25"/>
      <c r="I205" s="203"/>
      <c r="J205" s="25"/>
      <c r="K205" s="25"/>
      <c r="L205" s="25"/>
      <c r="M205" s="26"/>
      <c r="N205" s="25"/>
      <c r="O205" s="25"/>
    </row>
    <row r="206" spans="5:15" ht="12.75">
      <c r="E206" s="25"/>
      <c r="F206" s="25"/>
      <c r="G206" s="25"/>
      <c r="H206" s="25"/>
      <c r="I206" s="203"/>
      <c r="J206" s="25"/>
      <c r="K206" s="25"/>
      <c r="L206" s="25"/>
      <c r="M206" s="26"/>
      <c r="N206" s="25"/>
      <c r="O206" s="25"/>
    </row>
    <row r="207" spans="5:15" ht="12.75">
      <c r="E207" s="25"/>
      <c r="F207" s="25"/>
      <c r="G207" s="25"/>
      <c r="H207" s="25"/>
      <c r="I207" s="203"/>
      <c r="J207" s="25"/>
      <c r="K207" s="25"/>
      <c r="L207" s="25"/>
      <c r="M207" s="26"/>
      <c r="N207" s="25"/>
      <c r="O207" s="25"/>
    </row>
    <row r="208" spans="5:15" ht="12.75">
      <c r="E208" s="25"/>
      <c r="F208" s="25"/>
      <c r="G208" s="25"/>
      <c r="H208" s="25"/>
      <c r="I208" s="203"/>
      <c r="J208" s="25"/>
      <c r="K208" s="25"/>
      <c r="L208" s="25"/>
      <c r="M208" s="26"/>
      <c r="N208" s="25"/>
      <c r="O208" s="25"/>
    </row>
    <row r="209" spans="5:15" ht="12.75">
      <c r="E209" s="25"/>
      <c r="F209" s="25"/>
      <c r="G209" s="25"/>
      <c r="H209" s="25"/>
      <c r="I209" s="203"/>
      <c r="J209" s="25"/>
      <c r="K209" s="25"/>
      <c r="L209" s="25"/>
      <c r="M209" s="26"/>
      <c r="N209" s="25"/>
      <c r="O209" s="25"/>
    </row>
    <row r="210" spans="5:15" ht="12.75">
      <c r="E210" s="25"/>
      <c r="F210" s="25"/>
      <c r="G210" s="25"/>
      <c r="H210" s="25"/>
      <c r="I210" s="203"/>
      <c r="J210" s="25"/>
      <c r="K210" s="25"/>
      <c r="L210" s="25"/>
      <c r="M210" s="26"/>
      <c r="N210" s="25"/>
      <c r="O210" s="25"/>
    </row>
    <row r="211" spans="5:15" ht="12.75">
      <c r="E211" s="25"/>
      <c r="F211" s="25"/>
      <c r="G211" s="25"/>
      <c r="H211" s="25"/>
      <c r="I211" s="203"/>
      <c r="J211" s="25"/>
      <c r="K211" s="25"/>
      <c r="L211" s="25"/>
      <c r="M211" s="26"/>
      <c r="N211" s="25"/>
      <c r="O211" s="25"/>
    </row>
    <row r="212" spans="5:15" ht="12.75">
      <c r="E212" s="25"/>
      <c r="F212" s="25"/>
      <c r="G212" s="25"/>
      <c r="H212" s="25"/>
      <c r="I212" s="203"/>
      <c r="J212" s="25"/>
      <c r="K212" s="25"/>
      <c r="L212" s="25"/>
      <c r="M212" s="26"/>
      <c r="N212" s="25"/>
      <c r="O212" s="25"/>
    </row>
    <row r="213" spans="5:15" ht="12.75">
      <c r="E213" s="25"/>
      <c r="F213" s="25"/>
      <c r="G213" s="25"/>
      <c r="H213" s="25"/>
      <c r="I213" s="203"/>
      <c r="J213" s="25"/>
      <c r="K213" s="25"/>
      <c r="L213" s="25"/>
      <c r="M213" s="26"/>
      <c r="N213" s="25"/>
      <c r="O213" s="25"/>
    </row>
    <row r="214" spans="5:15" ht="12.75">
      <c r="E214" s="25"/>
      <c r="F214" s="25"/>
      <c r="G214" s="25"/>
      <c r="H214" s="25"/>
      <c r="I214" s="203"/>
      <c r="J214" s="25"/>
      <c r="K214" s="25"/>
      <c r="L214" s="25"/>
      <c r="M214" s="26"/>
      <c r="N214" s="25"/>
      <c r="O214" s="25"/>
    </row>
    <row r="215" spans="5:15" ht="12.75">
      <c r="E215" s="25"/>
      <c r="F215" s="25"/>
      <c r="G215" s="25"/>
      <c r="H215" s="25"/>
      <c r="I215" s="203"/>
      <c r="J215" s="25"/>
      <c r="K215" s="25"/>
      <c r="L215" s="25"/>
      <c r="M215" s="26"/>
      <c r="N215" s="25"/>
      <c r="O215" s="25"/>
    </row>
    <row r="216" spans="5:15" ht="12.75">
      <c r="E216" s="25"/>
      <c r="F216" s="25"/>
      <c r="G216" s="25"/>
      <c r="H216" s="25"/>
      <c r="I216" s="203"/>
      <c r="J216" s="25"/>
      <c r="K216" s="25"/>
      <c r="L216" s="25"/>
      <c r="M216" s="26"/>
      <c r="N216" s="25"/>
      <c r="O216" s="25"/>
    </row>
    <row r="217" spans="5:15" ht="12.75">
      <c r="E217" s="25"/>
      <c r="F217" s="25"/>
      <c r="G217" s="25"/>
      <c r="H217" s="25"/>
      <c r="I217" s="203"/>
      <c r="J217" s="25"/>
      <c r="K217" s="25"/>
      <c r="L217" s="25"/>
      <c r="M217" s="26"/>
      <c r="N217" s="25"/>
      <c r="O217" s="25"/>
    </row>
    <row r="218" spans="5:15" ht="12.75">
      <c r="E218" s="25"/>
      <c r="F218" s="25"/>
      <c r="G218" s="25"/>
      <c r="H218" s="25"/>
      <c r="I218" s="203"/>
      <c r="J218" s="25"/>
      <c r="K218" s="25"/>
      <c r="L218" s="25"/>
      <c r="M218" s="26"/>
      <c r="N218" s="25"/>
      <c r="O218" s="25"/>
    </row>
    <row r="219" spans="5:15" ht="12.75">
      <c r="E219" s="25"/>
      <c r="F219" s="25"/>
      <c r="G219" s="25"/>
      <c r="H219" s="25"/>
      <c r="I219" s="203"/>
      <c r="J219" s="25"/>
      <c r="K219" s="25"/>
      <c r="L219" s="25"/>
      <c r="M219" s="26"/>
      <c r="N219" s="25"/>
      <c r="O219" s="25"/>
    </row>
    <row r="220" spans="5:15" ht="12.75">
      <c r="E220" s="25"/>
      <c r="F220" s="25"/>
      <c r="G220" s="25"/>
      <c r="H220" s="25"/>
      <c r="I220" s="203"/>
      <c r="J220" s="25"/>
      <c r="K220" s="25"/>
      <c r="L220" s="25"/>
      <c r="M220" s="26"/>
      <c r="N220" s="25"/>
      <c r="O220" s="25"/>
    </row>
    <row r="221" spans="5:15" ht="12.75">
      <c r="E221" s="25"/>
      <c r="F221" s="25"/>
      <c r="G221" s="25"/>
      <c r="H221" s="25"/>
      <c r="I221" s="203"/>
      <c r="J221" s="25"/>
      <c r="K221" s="25"/>
      <c r="L221" s="25"/>
      <c r="M221" s="26"/>
      <c r="N221" s="25"/>
      <c r="O221" s="25"/>
    </row>
    <row r="222" spans="5:15" ht="12.75">
      <c r="E222" s="25"/>
      <c r="F222" s="25"/>
      <c r="G222" s="25"/>
      <c r="H222" s="25"/>
      <c r="I222" s="203"/>
      <c r="J222" s="25"/>
      <c r="K222" s="25"/>
      <c r="L222" s="25"/>
      <c r="M222" s="26"/>
      <c r="N222" s="25"/>
      <c r="O222" s="25"/>
    </row>
    <row r="223" spans="5:15" ht="12.75">
      <c r="E223" s="25"/>
      <c r="F223" s="25"/>
      <c r="G223" s="25"/>
      <c r="H223" s="25"/>
      <c r="I223" s="203"/>
      <c r="J223" s="25"/>
      <c r="K223" s="25"/>
      <c r="L223" s="25"/>
      <c r="M223" s="26"/>
      <c r="N223" s="25"/>
      <c r="O223" s="25"/>
    </row>
    <row r="224" spans="5:15" ht="12.75">
      <c r="E224" s="25"/>
      <c r="F224" s="25"/>
      <c r="G224" s="25"/>
      <c r="H224" s="25"/>
      <c r="I224" s="203"/>
      <c r="J224" s="25"/>
      <c r="K224" s="25"/>
      <c r="L224" s="25"/>
      <c r="M224" s="26"/>
      <c r="N224" s="25"/>
      <c r="O224" s="25"/>
    </row>
    <row r="225" spans="5:15" ht="12.75">
      <c r="E225" s="25"/>
      <c r="F225" s="25"/>
      <c r="G225" s="25"/>
      <c r="H225" s="25"/>
      <c r="I225" s="203"/>
      <c r="J225" s="25"/>
      <c r="K225" s="25"/>
      <c r="L225" s="25"/>
      <c r="M225" s="26"/>
      <c r="N225" s="25"/>
      <c r="O225" s="25"/>
    </row>
    <row r="226" spans="5:15" ht="12.75">
      <c r="E226" s="25"/>
      <c r="F226" s="25"/>
      <c r="G226" s="25"/>
      <c r="H226" s="25"/>
      <c r="I226" s="203"/>
      <c r="J226" s="25"/>
      <c r="K226" s="25"/>
      <c r="L226" s="25"/>
      <c r="M226" s="26"/>
      <c r="N226" s="25"/>
      <c r="O226" s="25"/>
    </row>
    <row r="227" spans="5:15" ht="12.75">
      <c r="E227" s="25"/>
      <c r="F227" s="25"/>
      <c r="G227" s="25"/>
      <c r="H227" s="25"/>
      <c r="I227" s="203"/>
      <c r="J227" s="25"/>
      <c r="K227" s="25"/>
      <c r="L227" s="25"/>
      <c r="M227" s="26"/>
      <c r="N227" s="25"/>
      <c r="O227" s="25"/>
    </row>
    <row r="228" spans="5:15" ht="12.75">
      <c r="E228" s="25"/>
      <c r="F228" s="25"/>
      <c r="G228" s="25"/>
      <c r="H228" s="25"/>
      <c r="I228" s="203"/>
      <c r="J228" s="25"/>
      <c r="K228" s="25"/>
      <c r="L228" s="25"/>
      <c r="M228" s="26"/>
      <c r="N228" s="25"/>
      <c r="O228" s="25"/>
    </row>
    <row r="229" spans="5:15" ht="12.75">
      <c r="E229" s="25"/>
      <c r="F229" s="25"/>
      <c r="G229" s="25"/>
      <c r="H229" s="25"/>
      <c r="I229" s="203"/>
      <c r="J229" s="25"/>
      <c r="K229" s="25"/>
      <c r="L229" s="25"/>
      <c r="M229" s="26"/>
      <c r="N229" s="25"/>
      <c r="O229" s="25"/>
    </row>
    <row r="230" spans="5:15" ht="12.75">
      <c r="E230" s="25"/>
      <c r="F230" s="25"/>
      <c r="G230" s="25"/>
      <c r="H230" s="25"/>
      <c r="I230" s="203"/>
      <c r="J230" s="25"/>
      <c r="K230" s="25"/>
      <c r="L230" s="25"/>
      <c r="M230" s="26"/>
      <c r="N230" s="25"/>
      <c r="O230" s="25"/>
    </row>
    <row r="231" spans="5:15" ht="12.75">
      <c r="E231" s="25"/>
      <c r="F231" s="25"/>
      <c r="G231" s="25"/>
      <c r="H231" s="25"/>
      <c r="I231" s="203"/>
      <c r="J231" s="25"/>
      <c r="K231" s="25"/>
      <c r="L231" s="25"/>
      <c r="M231" s="26"/>
      <c r="N231" s="25"/>
      <c r="O231" s="25"/>
    </row>
    <row r="232" spans="5:15" ht="12.75">
      <c r="E232" s="25"/>
      <c r="F232" s="25"/>
      <c r="G232" s="25"/>
      <c r="H232" s="25"/>
      <c r="I232" s="203"/>
      <c r="J232" s="25"/>
      <c r="K232" s="25"/>
      <c r="L232" s="25"/>
      <c r="M232" s="26"/>
      <c r="N232" s="25"/>
      <c r="O232" s="25"/>
    </row>
    <row r="233" spans="5:15" ht="12.75">
      <c r="E233" s="25"/>
      <c r="F233" s="25"/>
      <c r="G233" s="25"/>
      <c r="H233" s="25"/>
      <c r="I233" s="203"/>
      <c r="J233" s="25"/>
      <c r="K233" s="25"/>
      <c r="L233" s="25"/>
      <c r="M233" s="26"/>
      <c r="N233" s="25"/>
      <c r="O233" s="25"/>
    </row>
    <row r="234" spans="5:15" ht="12.75">
      <c r="E234" s="25"/>
      <c r="F234" s="25"/>
      <c r="G234" s="25"/>
      <c r="H234" s="25"/>
      <c r="I234" s="203"/>
      <c r="J234" s="25"/>
      <c r="K234" s="25"/>
      <c r="L234" s="25"/>
      <c r="M234" s="26"/>
      <c r="N234" s="25"/>
      <c r="O234" s="25"/>
    </row>
    <row r="235" spans="5:15" ht="12.75">
      <c r="E235" s="25"/>
      <c r="F235" s="25"/>
      <c r="G235" s="25"/>
      <c r="H235" s="25"/>
      <c r="I235" s="203"/>
      <c r="J235" s="25"/>
      <c r="K235" s="25"/>
      <c r="L235" s="25"/>
      <c r="M235" s="26"/>
      <c r="N235" s="25"/>
      <c r="O235" s="25"/>
    </row>
    <row r="236" spans="5:15" ht="12.75">
      <c r="E236" s="25"/>
      <c r="F236" s="25"/>
      <c r="G236" s="25"/>
      <c r="H236" s="25"/>
      <c r="I236" s="203"/>
      <c r="J236" s="25"/>
      <c r="K236" s="25"/>
      <c r="L236" s="25"/>
      <c r="M236" s="26"/>
      <c r="N236" s="25"/>
      <c r="O236" s="25"/>
    </row>
    <row r="237" spans="5:15" ht="12.75">
      <c r="E237" s="25"/>
      <c r="F237" s="25"/>
      <c r="G237" s="25"/>
      <c r="H237" s="25"/>
      <c r="I237" s="203"/>
      <c r="J237" s="25"/>
      <c r="K237" s="25"/>
      <c r="L237" s="25"/>
      <c r="M237" s="26"/>
      <c r="N237" s="25"/>
      <c r="O237" s="25"/>
    </row>
    <row r="238" spans="5:13" ht="12.75">
      <c r="E238" s="25"/>
      <c r="F238" s="25"/>
      <c r="G238" s="25"/>
      <c r="H238" s="25"/>
      <c r="I238" s="203"/>
      <c r="J238" s="25"/>
      <c r="K238" s="25"/>
      <c r="L238" s="25"/>
      <c r="M238" s="26"/>
    </row>
    <row r="239" spans="5:13" ht="12.75">
      <c r="E239" s="25"/>
      <c r="F239" s="25"/>
      <c r="G239" s="25"/>
      <c r="H239" s="25"/>
      <c r="I239" s="203"/>
      <c r="J239" s="25"/>
      <c r="K239" s="25"/>
      <c r="L239" s="25"/>
      <c r="M239" s="26"/>
    </row>
    <row r="240" spans="5:13" ht="12.75">
      <c r="E240" s="25"/>
      <c r="F240" s="25"/>
      <c r="G240" s="25"/>
      <c r="H240" s="25"/>
      <c r="I240" s="203"/>
      <c r="J240" s="25"/>
      <c r="K240" s="25"/>
      <c r="L240" s="25"/>
      <c r="M240" s="26"/>
    </row>
    <row r="241" spans="5:13" ht="12.75">
      <c r="E241" s="25"/>
      <c r="F241" s="25"/>
      <c r="G241" s="25"/>
      <c r="H241" s="25"/>
      <c r="I241" s="203"/>
      <c r="J241" s="25"/>
      <c r="K241" s="25"/>
      <c r="L241" s="25"/>
      <c r="M241" s="26"/>
    </row>
    <row r="242" spans="5:13" ht="12.75">
      <c r="E242" s="25"/>
      <c r="F242" s="25"/>
      <c r="G242" s="25"/>
      <c r="H242" s="25"/>
      <c r="I242" s="203"/>
      <c r="J242" s="25"/>
      <c r="K242" s="25"/>
      <c r="L242" s="25"/>
      <c r="M242" s="26"/>
    </row>
    <row r="243" spans="5:13" ht="12.75">
      <c r="E243" s="25"/>
      <c r="F243" s="25"/>
      <c r="G243" s="25"/>
      <c r="H243" s="25"/>
      <c r="I243" s="203"/>
      <c r="J243" s="25"/>
      <c r="K243" s="25"/>
      <c r="L243" s="25"/>
      <c r="M243" s="26"/>
    </row>
  </sheetData>
  <printOptions/>
  <pageMargins left="0.56" right="0.54" top="0.25" bottom="0.25" header="0.4" footer="0.29"/>
  <pageSetup horizontalDpi="300" verticalDpi="300" orientation="landscape" scale="52" r:id="rId3"/>
  <headerFooter alignWithMargins="0">
    <oddFooter>&amp;C&amp;F&amp;Rtm &amp;D&amp;T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5">
      <selection activeCell="D32" sqref="D32"/>
    </sheetView>
  </sheetViews>
  <sheetFormatPr defaultColWidth="9.33203125" defaultRowHeight="12.75"/>
  <cols>
    <col min="1" max="2" width="13.33203125" style="14" customWidth="1"/>
    <col min="3" max="3" width="17.16015625" style="14" customWidth="1"/>
    <col min="4" max="16384" width="13.33203125" style="14" customWidth="1"/>
  </cols>
  <sheetData>
    <row r="1" ht="12.75">
      <c r="A1" s="15" t="str">
        <f>Summary!A1</f>
        <v>AVISTA UTILITIES</v>
      </c>
    </row>
    <row r="2" ht="12.75">
      <c r="A2" s="14" t="s">
        <v>27</v>
      </c>
    </row>
    <row r="3" ht="12.75">
      <c r="A3" s="216" t="s">
        <v>412</v>
      </c>
    </row>
    <row r="4" ht="12.75">
      <c r="A4" s="216"/>
    </row>
    <row r="5" ht="12.75"/>
    <row r="6" spans="1:5" ht="12.75">
      <c r="A6" s="31" t="s">
        <v>34</v>
      </c>
      <c r="D6" s="388"/>
      <c r="E6" s="388"/>
    </row>
    <row r="7" ht="12.75">
      <c r="A7" s="15"/>
    </row>
    <row r="8" spans="1:4" ht="12.75">
      <c r="A8" s="216" t="s">
        <v>415</v>
      </c>
      <c r="D8" s="286">
        <v>0.035</v>
      </c>
    </row>
    <row r="9" spans="1:3" ht="12.75">
      <c r="A9" s="392" t="s">
        <v>481</v>
      </c>
      <c r="B9" s="393"/>
      <c r="C9" s="393"/>
    </row>
    <row r="10" spans="3:4" ht="12.75">
      <c r="C10" s="287" t="str">
        <f>"177/365="</f>
        <v>177/365=</v>
      </c>
      <c r="D10" s="288">
        <f>ROUND(177/365,3)</f>
        <v>0.485</v>
      </c>
    </row>
    <row r="11" spans="1:4" ht="13.5" thickBot="1">
      <c r="A11" s="216" t="s">
        <v>416</v>
      </c>
      <c r="D11" s="161">
        <f>ROUND(D8*D10,5)</f>
        <v>0.01698</v>
      </c>
    </row>
    <row r="12" ht="13.5" thickTop="1"/>
    <row r="13" spans="1:4" ht="13.5" thickBot="1">
      <c r="A13" s="216" t="s">
        <v>395</v>
      </c>
      <c r="B13" s="181"/>
      <c r="D13" s="394">
        <v>0.04</v>
      </c>
    </row>
    <row r="14" ht="13.5" thickTop="1">
      <c r="D14" s="151"/>
    </row>
    <row r="15" spans="1:5" ht="12.75">
      <c r="A15" s="216" t="s">
        <v>417</v>
      </c>
      <c r="D15" s="286">
        <v>0.038</v>
      </c>
      <c r="E15" s="14" t="s">
        <v>125</v>
      </c>
    </row>
    <row r="16" spans="1:4" ht="12.75">
      <c r="A16" s="216" t="s">
        <v>483</v>
      </c>
      <c r="D16" s="151"/>
    </row>
    <row r="17" spans="2:4" ht="12.75">
      <c r="B17" s="181"/>
      <c r="C17" s="287" t="str">
        <f>"96/365="</f>
        <v>96/365=</v>
      </c>
      <c r="D17" s="288">
        <f>ROUND(96/365,3)</f>
        <v>0.263</v>
      </c>
    </row>
    <row r="18" spans="1:5" ht="13.5" thickBot="1">
      <c r="A18" s="216" t="s">
        <v>416</v>
      </c>
      <c r="D18" s="161">
        <f>D15*D17</f>
        <v>0.00999</v>
      </c>
      <c r="E18" s="14" t="s">
        <v>126</v>
      </c>
    </row>
    <row r="19" ht="13.5" thickTop="1"/>
    <row r="20" spans="5:7" ht="12.75">
      <c r="E20" s="36"/>
      <c r="F20" s="36"/>
      <c r="G20" s="36"/>
    </row>
    <row r="21" spans="1:7" ht="12.75">
      <c r="A21" s="31" t="s">
        <v>337</v>
      </c>
      <c r="E21" s="36"/>
      <c r="F21" s="36"/>
      <c r="G21" s="36"/>
    </row>
    <row r="22" spans="1:7" ht="12.75">
      <c r="A22" s="15"/>
      <c r="E22" s="36"/>
      <c r="F22" s="36"/>
      <c r="G22" s="36"/>
    </row>
    <row r="23" spans="1:7" ht="12.75">
      <c r="A23" s="216" t="s">
        <v>418</v>
      </c>
      <c r="D23" s="286">
        <f>(3.04*0.2/100+(3.83*0.8)/100)</f>
        <v>0.0367</v>
      </c>
      <c r="E23" s="194"/>
      <c r="F23" s="37"/>
      <c r="G23" s="36"/>
    </row>
    <row r="24" spans="1:7" ht="12.75">
      <c r="A24" s="392" t="s">
        <v>482</v>
      </c>
      <c r="B24" s="393"/>
      <c r="C24" s="393"/>
      <c r="E24" s="194"/>
      <c r="F24" s="36"/>
      <c r="G24" s="36"/>
    </row>
    <row r="25" spans="3:7" ht="12.75">
      <c r="C25" s="287" t="str">
        <f>"151/365="</f>
        <v>151/365=</v>
      </c>
      <c r="D25" s="288">
        <f>ROUND(151/365,3)</f>
        <v>0.414</v>
      </c>
      <c r="E25" s="38"/>
      <c r="F25" s="38"/>
      <c r="G25" s="36"/>
    </row>
    <row r="26" spans="1:7" ht="14.25" thickBot="1">
      <c r="A26" s="216" t="s">
        <v>416</v>
      </c>
      <c r="D26" s="161">
        <f>ROUND(D25*D23,6)</f>
        <v>0.01519</v>
      </c>
      <c r="E26" s="39"/>
      <c r="F26" s="39"/>
      <c r="G26" s="36"/>
    </row>
    <row r="27" spans="5:7" ht="13.5" thickTop="1">
      <c r="E27" s="38"/>
      <c r="F27" s="38"/>
      <c r="G27" s="36"/>
    </row>
    <row r="28" spans="1:4" ht="13.5" thickBot="1">
      <c r="A28" s="216" t="s">
        <v>395</v>
      </c>
      <c r="D28" s="394">
        <f>3.8*0.2/100+(3.8*0.8)/100</f>
        <v>0.038</v>
      </c>
    </row>
    <row r="29" ht="13.5" thickTop="1">
      <c r="D29" s="151"/>
    </row>
    <row r="30" spans="1:5" ht="12.75">
      <c r="A30" s="216" t="s">
        <v>417</v>
      </c>
      <c r="D30" s="286">
        <v>0.038</v>
      </c>
      <c r="E30" s="14" t="s">
        <v>125</v>
      </c>
    </row>
    <row r="31" spans="1:4" ht="12.75">
      <c r="A31" s="216" t="s">
        <v>484</v>
      </c>
      <c r="D31" s="151"/>
    </row>
    <row r="32" spans="2:4" ht="12.75">
      <c r="B32" s="181"/>
      <c r="C32" s="287" t="str">
        <f>"122/365="</f>
        <v>122/365=</v>
      </c>
      <c r="D32" s="288">
        <f>ROUND(122/365,3)</f>
        <v>0.334</v>
      </c>
    </row>
    <row r="33" spans="1:5" ht="13.5" thickBot="1">
      <c r="A33" s="216" t="s">
        <v>417</v>
      </c>
      <c r="D33" s="161">
        <f>D30*D32</f>
        <v>0.01269</v>
      </c>
      <c r="E33" s="14" t="s">
        <v>126</v>
      </c>
    </row>
    <row r="34" spans="1:5" ht="13.5" thickTop="1">
      <c r="A34" s="216"/>
      <c r="E34" s="194"/>
    </row>
  </sheetData>
  <printOptions/>
  <pageMargins left="1.42" right="0.75" top="1" bottom="1" header="0.5" footer="0.5"/>
  <pageSetup fitToHeight="1" fitToWidth="1" horizontalDpi="600" verticalDpi="600" orientation="portrait" r:id="rId3"/>
  <headerFooter alignWithMargins="0">
    <oddFooter>&amp;C&amp;F&amp;A&amp;R&amp;D&amp;T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32"/>
  <sheetViews>
    <sheetView workbookViewId="0" topLeftCell="A87">
      <selection activeCell="A129" sqref="A129"/>
    </sheetView>
  </sheetViews>
  <sheetFormatPr defaultColWidth="9.33203125" defaultRowHeight="12.75"/>
  <cols>
    <col min="1" max="1" width="20.83203125" style="3" customWidth="1"/>
    <col min="2" max="2" width="14.33203125" style="3" customWidth="1"/>
    <col min="3" max="3" width="14.83203125" style="3" customWidth="1"/>
    <col min="4" max="4" width="13.16015625" style="3" customWidth="1"/>
    <col min="5" max="5" width="14.16015625" style="3" customWidth="1"/>
    <col min="6" max="6" width="2.83203125" style="32" customWidth="1"/>
    <col min="7" max="8" width="13.83203125" style="3" customWidth="1"/>
    <col min="9" max="9" width="13.16015625" style="3" customWidth="1"/>
    <col min="10" max="10" width="2.83203125" style="32" customWidth="1"/>
    <col min="11" max="11" width="13.33203125" style="3" customWidth="1"/>
    <col min="12" max="12" width="1.83203125" style="18" customWidth="1"/>
    <col min="13" max="13" width="13.33203125" style="3" customWidth="1"/>
    <col min="14" max="14" width="13.66015625" style="3" customWidth="1"/>
    <col min="15" max="15" width="1.83203125" style="18" customWidth="1"/>
    <col min="16" max="16" width="12.33203125" style="3" customWidth="1"/>
    <col min="17" max="17" width="13.66015625" style="3" customWidth="1"/>
    <col min="18" max="18" width="4.5" style="3" customWidth="1"/>
    <col min="19" max="19" width="18" style="3" customWidth="1"/>
    <col min="20" max="20" width="5.33203125" style="3" customWidth="1"/>
    <col min="21" max="21" width="9.83203125" style="3" customWidth="1"/>
    <col min="22" max="22" width="9.66015625" style="3" customWidth="1"/>
    <col min="23" max="23" width="10" style="3" customWidth="1"/>
    <col min="24" max="24" width="9.5" style="3" bestFit="1" customWidth="1"/>
    <col min="25" max="16384" width="9.33203125" style="3" customWidth="1"/>
  </cols>
  <sheetData>
    <row r="1" ht="12.75">
      <c r="A1" s="52" t="s">
        <v>30</v>
      </c>
    </row>
    <row r="2" ht="12.75">
      <c r="A2" s="2" t="s">
        <v>137</v>
      </c>
    </row>
    <row r="3" ht="12.75">
      <c r="A3" s="2" t="s">
        <v>120</v>
      </c>
    </row>
    <row r="4" ht="12.75">
      <c r="A4" s="2" t="str">
        <f>ElWAAdj!C3</f>
        <v>Twelve Months Ended September 30, 2008</v>
      </c>
    </row>
    <row r="5" ht="12.75"/>
    <row r="6" ht="12.75"/>
    <row r="7" spans="1:26" ht="12.75">
      <c r="A7" s="16"/>
      <c r="B7" s="16"/>
      <c r="C7" s="16"/>
      <c r="D7" s="16" t="s">
        <v>17</v>
      </c>
      <c r="E7" s="16" t="s">
        <v>18</v>
      </c>
      <c r="F7" s="58"/>
      <c r="G7" s="16" t="s">
        <v>0</v>
      </c>
      <c r="H7" s="16" t="s">
        <v>17</v>
      </c>
      <c r="I7" s="16" t="s">
        <v>18</v>
      </c>
      <c r="J7" s="58"/>
      <c r="K7" s="16" t="s">
        <v>0</v>
      </c>
      <c r="L7" s="19"/>
      <c r="M7" s="16" t="s">
        <v>121</v>
      </c>
      <c r="N7" s="16" t="s">
        <v>1</v>
      </c>
      <c r="O7" s="19"/>
      <c r="P7" s="16" t="s">
        <v>122</v>
      </c>
      <c r="Q7" s="16" t="s">
        <v>1</v>
      </c>
      <c r="R7" s="16"/>
      <c r="S7" s="16"/>
      <c r="T7" s="16"/>
      <c r="U7" s="16"/>
      <c r="V7" s="16"/>
      <c r="W7" s="16"/>
      <c r="X7" s="16"/>
      <c r="Y7" s="16"/>
      <c r="Z7" s="16"/>
    </row>
    <row r="8" spans="1:26" ht="12.75">
      <c r="A8" s="16"/>
      <c r="B8" s="17" t="s">
        <v>0</v>
      </c>
      <c r="C8" s="17" t="s">
        <v>19</v>
      </c>
      <c r="D8" s="17" t="s">
        <v>123</v>
      </c>
      <c r="E8" s="17" t="s">
        <v>123</v>
      </c>
      <c r="F8" s="59"/>
      <c r="G8" s="17" t="s">
        <v>123</v>
      </c>
      <c r="H8" s="17" t="s">
        <v>124</v>
      </c>
      <c r="I8" s="17" t="s">
        <v>124</v>
      </c>
      <c r="J8" s="59"/>
      <c r="K8" s="17" t="s">
        <v>124</v>
      </c>
      <c r="L8" s="19"/>
      <c r="M8" s="17" t="s">
        <v>20</v>
      </c>
      <c r="N8" s="17" t="s">
        <v>47</v>
      </c>
      <c r="O8" s="19"/>
      <c r="P8" s="17" t="s">
        <v>20</v>
      </c>
      <c r="Q8" s="17" t="s">
        <v>119</v>
      </c>
      <c r="R8" s="16"/>
      <c r="S8" s="16"/>
      <c r="T8" s="296" t="s">
        <v>18</v>
      </c>
      <c r="U8" s="297" t="s">
        <v>125</v>
      </c>
      <c r="V8" s="297" t="s">
        <v>126</v>
      </c>
      <c r="W8" s="297" t="s">
        <v>21</v>
      </c>
      <c r="Y8" s="16"/>
      <c r="Z8" s="16"/>
    </row>
    <row r="9" spans="1:23" ht="12.75">
      <c r="A9" s="3" t="s">
        <v>48</v>
      </c>
      <c r="S9" s="3" t="s">
        <v>127</v>
      </c>
      <c r="T9" s="3">
        <v>1</v>
      </c>
      <c r="U9" s="294">
        <v>0.6459</v>
      </c>
      <c r="V9" s="294">
        <v>0.3541</v>
      </c>
      <c r="W9" s="62">
        <f>U9+V9</f>
        <v>1</v>
      </c>
    </row>
    <row r="10" spans="1:23" ht="12.75">
      <c r="A10" s="3" t="s">
        <v>49</v>
      </c>
      <c r="S10" s="3" t="s">
        <v>22</v>
      </c>
      <c r="T10" s="3">
        <v>2</v>
      </c>
      <c r="U10" s="294">
        <v>0.65758</v>
      </c>
      <c r="V10" s="294">
        <v>0.34242</v>
      </c>
      <c r="W10" s="62">
        <f>U10+V10</f>
        <v>1</v>
      </c>
    </row>
    <row r="11" spans="1:23" ht="12.75">
      <c r="A11" s="2">
        <v>500</v>
      </c>
      <c r="B11" s="60">
        <f>SUMIF('Elec Labor'!A:A,A11,'Elec Labor'!G:G)</f>
        <v>154451.09</v>
      </c>
      <c r="C11" s="60">
        <f>SUMIF('Elec Labor'!A:A,A11,'Elec Labor'!C:C)+SUMIF('Elec Labor'!A:A,A11,'Elec Labor'!D:D)</f>
        <v>154451.09</v>
      </c>
      <c r="D11" s="60">
        <f>SUMIF('Elec Labor'!A:A,A11,'Elec Labor'!F:F)</f>
        <v>0</v>
      </c>
      <c r="E11" s="7">
        <f aca="true" t="shared" si="0" ref="E11:E20">C11*$U$9</f>
        <v>99759.96</v>
      </c>
      <c r="F11" s="61"/>
      <c r="G11" s="7">
        <f aca="true" t="shared" si="1" ref="G11:G20">D11+E11+F11</f>
        <v>99759.96</v>
      </c>
      <c r="H11" s="60">
        <f>SUMIF('Elec Labor'!A:A,A11,'Elec Labor'!E:E)</f>
        <v>0</v>
      </c>
      <c r="I11" s="7">
        <f>$C11*$V$9</f>
        <v>54691.13</v>
      </c>
      <c r="J11" s="61"/>
      <c r="K11" s="7">
        <f aca="true" t="shared" si="2" ref="K11:K20">H11+I11+J11</f>
        <v>54691.13</v>
      </c>
      <c r="L11" s="8"/>
      <c r="M11" s="7">
        <f aca="true" t="shared" si="3" ref="M11:M20">ROUND(G11/(G$127-G$119)*G$119,2)</f>
        <v>429.23</v>
      </c>
      <c r="N11" s="7">
        <f aca="true" t="shared" si="4" ref="N11:N20">G11+M11</f>
        <v>100189.19</v>
      </c>
      <c r="O11" s="8"/>
      <c r="P11" s="7">
        <f aca="true" t="shared" si="5" ref="P11:P20">ROUND(K11/(K$127-K$119)*K$119,2)</f>
        <v>245.43</v>
      </c>
      <c r="Q11" s="7">
        <f aca="true" t="shared" si="6" ref="Q11:Q20">K11+P11</f>
        <v>54936.56</v>
      </c>
      <c r="S11" s="3" t="s">
        <v>23</v>
      </c>
      <c r="T11" s="3">
        <v>3</v>
      </c>
      <c r="U11" s="294">
        <v>0.66821</v>
      </c>
      <c r="V11" s="294">
        <v>0.33179</v>
      </c>
      <c r="W11" s="62">
        <f>U11+V11</f>
        <v>1</v>
      </c>
    </row>
    <row r="12" spans="1:23" ht="12.75">
      <c r="A12" s="2">
        <v>501</v>
      </c>
      <c r="B12" s="60">
        <f>SUMIF('Elec Labor'!A:A,A12,'Elec Labor'!G:G)</f>
        <v>662195.19</v>
      </c>
      <c r="C12" s="60">
        <f>SUMIF('Elec Labor'!A:A,A12,'Elec Labor'!C:C)+SUMIF('Elec Labor'!A:A,A12,'Elec Labor'!D:D)</f>
        <v>662195.19</v>
      </c>
      <c r="D12" s="60">
        <f>SUMIF('Elec Labor'!A:A,A12,'Elec Labor'!F:F)</f>
        <v>0</v>
      </c>
      <c r="E12" s="7">
        <f t="shared" si="0"/>
        <v>427711.87</v>
      </c>
      <c r="F12" s="61"/>
      <c r="G12" s="7">
        <f t="shared" si="1"/>
        <v>427711.87</v>
      </c>
      <c r="H12" s="60">
        <f>SUMIF('Elec Labor'!A:A,A12,'Elec Labor'!E:E)</f>
        <v>0</v>
      </c>
      <c r="I12" s="7">
        <f aca="true" t="shared" si="7" ref="I12:I20">C12*$V$9</f>
        <v>234483.32</v>
      </c>
      <c r="J12" s="61"/>
      <c r="K12" s="7">
        <f t="shared" si="2"/>
        <v>234483.32</v>
      </c>
      <c r="L12" s="8"/>
      <c r="M12" s="7">
        <f t="shared" si="3"/>
        <v>1840.28</v>
      </c>
      <c r="N12" s="7">
        <f t="shared" si="4"/>
        <v>429552.15</v>
      </c>
      <c r="O12" s="8"/>
      <c r="P12" s="7">
        <f t="shared" si="5"/>
        <v>1052.27</v>
      </c>
      <c r="Q12" s="7">
        <f t="shared" si="6"/>
        <v>235535.59</v>
      </c>
      <c r="S12" s="3" t="s">
        <v>24</v>
      </c>
      <c r="T12" s="3">
        <v>4</v>
      </c>
      <c r="U12" s="294">
        <v>0.65097</v>
      </c>
      <c r="V12" s="294">
        <v>0.34903</v>
      </c>
      <c r="W12" s="62">
        <f>U12+V12</f>
        <v>1</v>
      </c>
    </row>
    <row r="13" spans="1:24" ht="12.75">
      <c r="A13" s="2">
        <v>502</v>
      </c>
      <c r="B13" s="60">
        <f>SUMIF('Elec Labor'!A:A,A13,'Elec Labor'!G:G)</f>
        <v>383797.29</v>
      </c>
      <c r="C13" s="60">
        <f>SUMIF('Elec Labor'!A:A,A13,'Elec Labor'!C:C)+SUMIF('Elec Labor'!A:A,A13,'Elec Labor'!D:D)</f>
        <v>383797.29</v>
      </c>
      <c r="D13" s="60">
        <f>SUMIF('Elec Labor'!A:A,A13,'Elec Labor'!F:F)</f>
        <v>0</v>
      </c>
      <c r="E13" s="7">
        <f t="shared" si="0"/>
        <v>247894.67</v>
      </c>
      <c r="F13" s="61"/>
      <c r="G13" s="7">
        <f t="shared" si="1"/>
        <v>247894.67</v>
      </c>
      <c r="H13" s="60">
        <f>SUMIF('Elec Labor'!A:A,A13,'Elec Labor'!E:E)</f>
        <v>0</v>
      </c>
      <c r="I13" s="7">
        <f t="shared" si="7"/>
        <v>135902.62</v>
      </c>
      <c r="J13" s="61"/>
      <c r="K13" s="7">
        <f t="shared" si="2"/>
        <v>135902.62</v>
      </c>
      <c r="L13" s="8"/>
      <c r="M13" s="7">
        <f t="shared" si="3"/>
        <v>1066.6</v>
      </c>
      <c r="N13" s="7">
        <f t="shared" si="4"/>
        <v>248961.27</v>
      </c>
      <c r="O13" s="8"/>
      <c r="P13" s="7">
        <f t="shared" si="5"/>
        <v>609.88</v>
      </c>
      <c r="Q13" s="7">
        <f t="shared" si="6"/>
        <v>136512.5</v>
      </c>
      <c r="U13" s="62"/>
      <c r="V13" s="62"/>
      <c r="W13" s="62"/>
      <c r="X13" s="62"/>
    </row>
    <row r="14" spans="1:24" ht="12.75">
      <c r="A14" s="2">
        <v>505</v>
      </c>
      <c r="B14" s="60">
        <f>SUMIF('Elec Labor'!A:A,A14,'Elec Labor'!G:G)</f>
        <v>429458.85</v>
      </c>
      <c r="C14" s="60">
        <f>SUMIF('Elec Labor'!A:A,A14,'Elec Labor'!C:C)+SUMIF('Elec Labor'!A:A,A14,'Elec Labor'!D:D)</f>
        <v>429458.85</v>
      </c>
      <c r="D14" s="60">
        <f>SUMIF('Elec Labor'!A:A,A14,'Elec Labor'!F:F)</f>
        <v>0</v>
      </c>
      <c r="E14" s="7">
        <f t="shared" si="0"/>
        <v>277387.47</v>
      </c>
      <c r="F14" s="61"/>
      <c r="G14" s="7">
        <f t="shared" si="1"/>
        <v>277387.47</v>
      </c>
      <c r="H14" s="60">
        <f>SUMIF('Elec Labor'!A:A,A14,'Elec Labor'!E:E)</f>
        <v>0</v>
      </c>
      <c r="I14" s="7">
        <f t="shared" si="7"/>
        <v>152071.38</v>
      </c>
      <c r="J14" s="61"/>
      <c r="K14" s="7">
        <f t="shared" si="2"/>
        <v>152071.38</v>
      </c>
      <c r="L14" s="8"/>
      <c r="M14" s="7">
        <f t="shared" si="3"/>
        <v>1193.49</v>
      </c>
      <c r="N14" s="7">
        <f t="shared" si="4"/>
        <v>278580.96</v>
      </c>
      <c r="O14" s="8"/>
      <c r="P14" s="7">
        <f t="shared" si="5"/>
        <v>682.44</v>
      </c>
      <c r="Q14" s="7">
        <f t="shared" si="6"/>
        <v>152753.82</v>
      </c>
      <c r="S14" s="160" t="s">
        <v>181</v>
      </c>
      <c r="U14" s="62"/>
      <c r="V14" s="62"/>
      <c r="W14" s="62"/>
      <c r="X14" s="62"/>
    </row>
    <row r="15" spans="1:24" ht="12.75">
      <c r="A15" s="2">
        <v>506</v>
      </c>
      <c r="B15" s="60">
        <f>SUMIF('Elec Labor'!A:A,A15,'Elec Labor'!G:G)</f>
        <v>126835.16</v>
      </c>
      <c r="C15" s="60">
        <f>SUMIF('Elec Labor'!A:A,A15,'Elec Labor'!C:C)+SUMIF('Elec Labor'!A:A,A15,'Elec Labor'!D:D)</f>
        <v>126835.16</v>
      </c>
      <c r="D15" s="60">
        <f>SUMIF('Elec Labor'!A:A,A15,'Elec Labor'!F:F)</f>
        <v>0</v>
      </c>
      <c r="E15" s="7">
        <f t="shared" si="0"/>
        <v>81922.83</v>
      </c>
      <c r="F15" s="61"/>
      <c r="G15" s="7">
        <f t="shared" si="1"/>
        <v>81922.83</v>
      </c>
      <c r="H15" s="60">
        <f>SUMIF('Elec Labor'!A:A,A15,'Elec Labor'!E:E)</f>
        <v>0</v>
      </c>
      <c r="I15" s="7">
        <f t="shared" si="7"/>
        <v>44912.33</v>
      </c>
      <c r="J15" s="61"/>
      <c r="K15" s="7">
        <f t="shared" si="2"/>
        <v>44912.33</v>
      </c>
      <c r="L15" s="8"/>
      <c r="M15" s="7">
        <f t="shared" si="3"/>
        <v>352.48</v>
      </c>
      <c r="N15" s="7">
        <f t="shared" si="4"/>
        <v>82275.31</v>
      </c>
      <c r="O15" s="8"/>
      <c r="P15" s="7">
        <f t="shared" si="5"/>
        <v>201.55</v>
      </c>
      <c r="Q15" s="7">
        <f t="shared" si="6"/>
        <v>45113.88</v>
      </c>
      <c r="S15" s="295"/>
      <c r="U15" s="62"/>
      <c r="V15" s="62"/>
      <c r="W15" s="62"/>
      <c r="X15" s="62"/>
    </row>
    <row r="16" spans="1:24" ht="12.75">
      <c r="A16" s="2">
        <v>510</v>
      </c>
      <c r="B16" s="60">
        <f>SUMIF('Elec Labor'!A:A,A16,'Elec Labor'!G:G)</f>
        <v>66470.12</v>
      </c>
      <c r="C16" s="60">
        <f>SUMIF('Elec Labor'!A:A,A16,'Elec Labor'!C:C)+SUMIF('Elec Labor'!A:A,A16,'Elec Labor'!D:D)</f>
        <v>66470.12</v>
      </c>
      <c r="D16" s="60">
        <f>SUMIF('Elec Labor'!A:A,A16,'Elec Labor'!F:F)</f>
        <v>0</v>
      </c>
      <c r="E16" s="7">
        <f t="shared" si="0"/>
        <v>42933.05</v>
      </c>
      <c r="F16" s="61"/>
      <c r="G16" s="7">
        <f t="shared" si="1"/>
        <v>42933.05</v>
      </c>
      <c r="H16" s="60">
        <f>SUMIF('Elec Labor'!A:A,A16,'Elec Labor'!E:E)</f>
        <v>0</v>
      </c>
      <c r="I16" s="7">
        <f t="shared" si="7"/>
        <v>23537.07</v>
      </c>
      <c r="J16" s="61"/>
      <c r="K16" s="7">
        <f t="shared" si="2"/>
        <v>23537.07</v>
      </c>
      <c r="L16" s="8"/>
      <c r="M16" s="7">
        <f t="shared" si="3"/>
        <v>184.72</v>
      </c>
      <c r="N16" s="7">
        <f t="shared" si="4"/>
        <v>43117.77</v>
      </c>
      <c r="O16" s="8"/>
      <c r="P16" s="7">
        <f t="shared" si="5"/>
        <v>105.63</v>
      </c>
      <c r="Q16" s="7">
        <f t="shared" si="6"/>
        <v>23642.7</v>
      </c>
      <c r="U16" s="62"/>
      <c r="V16" s="62"/>
      <c r="W16" s="62"/>
      <c r="X16" s="62"/>
    </row>
    <row r="17" spans="1:24" ht="12.75">
      <c r="A17" s="2">
        <v>511</v>
      </c>
      <c r="B17" s="60">
        <f>SUMIF('Elec Labor'!A:A,A17,'Elec Labor'!G:G)</f>
        <v>3589.65</v>
      </c>
      <c r="C17" s="60">
        <f>SUMIF('Elec Labor'!A:A,A17,'Elec Labor'!C:C)+SUMIF('Elec Labor'!A:A,A17,'Elec Labor'!D:D)</f>
        <v>3589.65</v>
      </c>
      <c r="D17" s="60">
        <f>SUMIF('Elec Labor'!A:A,A17,'Elec Labor'!F:F)</f>
        <v>0</v>
      </c>
      <c r="E17" s="7">
        <f t="shared" si="0"/>
        <v>2318.55</v>
      </c>
      <c r="F17" s="61"/>
      <c r="G17" s="7">
        <f t="shared" si="1"/>
        <v>2318.55</v>
      </c>
      <c r="H17" s="60">
        <f>SUMIF('Elec Labor'!A:A,A17,'Elec Labor'!E:E)</f>
        <v>0</v>
      </c>
      <c r="I17" s="7">
        <f t="shared" si="7"/>
        <v>1271.1</v>
      </c>
      <c r="J17" s="61"/>
      <c r="K17" s="7">
        <f t="shared" si="2"/>
        <v>1271.1</v>
      </c>
      <c r="L17" s="8"/>
      <c r="M17" s="7">
        <f t="shared" si="3"/>
        <v>9.98</v>
      </c>
      <c r="N17" s="7">
        <f t="shared" si="4"/>
        <v>2328.53</v>
      </c>
      <c r="O17" s="8"/>
      <c r="P17" s="7">
        <f t="shared" si="5"/>
        <v>5.7</v>
      </c>
      <c r="Q17" s="7">
        <f t="shared" si="6"/>
        <v>1276.8</v>
      </c>
      <c r="U17" s="62"/>
      <c r="V17" s="62"/>
      <c r="W17" s="62"/>
      <c r="X17" s="62"/>
    </row>
    <row r="18" spans="1:24" ht="12.75">
      <c r="A18" s="2">
        <v>512</v>
      </c>
      <c r="B18" s="60">
        <f>SUMIF('Elec Labor'!A:A,A18,'Elec Labor'!G:G)</f>
        <v>364689.39</v>
      </c>
      <c r="C18" s="60">
        <f>SUMIF('Elec Labor'!A:A,A18,'Elec Labor'!C:C)+SUMIF('Elec Labor'!A:A,A18,'Elec Labor'!D:D)</f>
        <v>364689.39</v>
      </c>
      <c r="D18" s="60">
        <f>SUMIF('Elec Labor'!A:A,A18,'Elec Labor'!F:F)</f>
        <v>0</v>
      </c>
      <c r="E18" s="7">
        <f t="shared" si="0"/>
        <v>235552.88</v>
      </c>
      <c r="F18" s="61"/>
      <c r="G18" s="7">
        <f t="shared" si="1"/>
        <v>235552.88</v>
      </c>
      <c r="H18" s="60">
        <f>SUMIF('Elec Labor'!A:A,A18,'Elec Labor'!E:E)</f>
        <v>0</v>
      </c>
      <c r="I18" s="7">
        <f t="shared" si="7"/>
        <v>129136.51</v>
      </c>
      <c r="J18" s="61"/>
      <c r="K18" s="7">
        <f t="shared" si="2"/>
        <v>129136.51</v>
      </c>
      <c r="L18" s="8"/>
      <c r="M18" s="7">
        <f t="shared" si="3"/>
        <v>1013.5</v>
      </c>
      <c r="N18" s="7">
        <f t="shared" si="4"/>
        <v>236566.38</v>
      </c>
      <c r="O18" s="8"/>
      <c r="P18" s="7">
        <f t="shared" si="5"/>
        <v>579.51</v>
      </c>
      <c r="Q18" s="7">
        <f t="shared" si="6"/>
        <v>129716.02</v>
      </c>
      <c r="U18" s="62"/>
      <c r="V18" s="62"/>
      <c r="W18" s="62"/>
      <c r="X18" s="62"/>
    </row>
    <row r="19" spans="1:17" ht="12.75">
      <c r="A19" s="2">
        <v>513</v>
      </c>
      <c r="B19" s="60">
        <f>SUMIF('Elec Labor'!A:A,A19,'Elec Labor'!G:G)</f>
        <v>91859.29</v>
      </c>
      <c r="C19" s="60">
        <f>SUMIF('Elec Labor'!A:A,A19,'Elec Labor'!C:C)+SUMIF('Elec Labor'!A:A,A19,'Elec Labor'!D:D)</f>
        <v>91859.29</v>
      </c>
      <c r="D19" s="60">
        <f>SUMIF('Elec Labor'!A:A,A19,'Elec Labor'!F:F)</f>
        <v>0</v>
      </c>
      <c r="E19" s="7">
        <f t="shared" si="0"/>
        <v>59331.92</v>
      </c>
      <c r="F19" s="61"/>
      <c r="G19" s="7">
        <f t="shared" si="1"/>
        <v>59331.92</v>
      </c>
      <c r="H19" s="60">
        <f>SUMIF('Elec Labor'!A:A,A19,'Elec Labor'!E:E)</f>
        <v>0</v>
      </c>
      <c r="I19" s="7">
        <f t="shared" si="7"/>
        <v>32527.37</v>
      </c>
      <c r="J19" s="61"/>
      <c r="K19" s="7">
        <f t="shared" si="2"/>
        <v>32527.37</v>
      </c>
      <c r="L19" s="8"/>
      <c r="M19" s="7">
        <f t="shared" si="3"/>
        <v>255.28</v>
      </c>
      <c r="N19" s="7">
        <f t="shared" si="4"/>
        <v>59587.2</v>
      </c>
      <c r="O19" s="8"/>
      <c r="P19" s="7">
        <f t="shared" si="5"/>
        <v>145.97</v>
      </c>
      <c r="Q19" s="7">
        <f t="shared" si="6"/>
        <v>32673.34</v>
      </c>
    </row>
    <row r="20" spans="1:17" ht="12.75">
      <c r="A20" s="2">
        <v>514</v>
      </c>
      <c r="B20" s="60">
        <f>SUMIF('Elec Labor'!A:A,A20,'Elec Labor'!G:G)</f>
        <v>66325.71</v>
      </c>
      <c r="C20" s="60">
        <f>SUMIF('Elec Labor'!A:A,A20,'Elec Labor'!C:C)+SUMIF('Elec Labor'!A:A,A20,'Elec Labor'!D:D)</f>
        <v>66325.71</v>
      </c>
      <c r="D20" s="60">
        <f>SUMIF('Elec Labor'!A:A,A20,'Elec Labor'!F:F)</f>
        <v>0</v>
      </c>
      <c r="E20" s="7">
        <f t="shared" si="0"/>
        <v>42839.78</v>
      </c>
      <c r="F20" s="61"/>
      <c r="G20" s="7">
        <f t="shared" si="1"/>
        <v>42839.78</v>
      </c>
      <c r="H20" s="60">
        <f>SUMIF('Elec Labor'!A:A,A20,'Elec Labor'!E:E)</f>
        <v>0</v>
      </c>
      <c r="I20" s="7">
        <f t="shared" si="7"/>
        <v>23485.93</v>
      </c>
      <c r="J20" s="61"/>
      <c r="K20" s="7">
        <f t="shared" si="2"/>
        <v>23485.93</v>
      </c>
      <c r="L20" s="8"/>
      <c r="M20" s="7">
        <f t="shared" si="3"/>
        <v>184.32</v>
      </c>
      <c r="N20" s="7">
        <f t="shared" si="4"/>
        <v>43024.1</v>
      </c>
      <c r="O20" s="8"/>
      <c r="P20" s="7">
        <f t="shared" si="5"/>
        <v>105.4</v>
      </c>
      <c r="Q20" s="7">
        <f t="shared" si="6"/>
        <v>23591.33</v>
      </c>
    </row>
    <row r="21" spans="1:17" ht="12.75">
      <c r="A21" s="3" t="s">
        <v>59</v>
      </c>
      <c r="B21" s="63">
        <f>SUM(B11:B20)</f>
        <v>2349671.74</v>
      </c>
      <c r="C21" s="163">
        <f>SUM(C11:C20)</f>
        <v>2349671.74</v>
      </c>
      <c r="D21" s="63">
        <f>SUM(D11:D20)</f>
        <v>0</v>
      </c>
      <c r="E21" s="63">
        <f>SUM(E11:E20)</f>
        <v>1517652.98</v>
      </c>
      <c r="F21" s="64"/>
      <c r="G21" s="63">
        <f>SUM(G11:G20)</f>
        <v>1517652.98</v>
      </c>
      <c r="H21" s="63">
        <f>SUM(H11:H20)</f>
        <v>0</v>
      </c>
      <c r="I21" s="63">
        <f>SUM(I11:I20)</f>
        <v>832018.76</v>
      </c>
      <c r="J21" s="64"/>
      <c r="K21" s="63">
        <f>SUM(K11:K20)</f>
        <v>832018.76</v>
      </c>
      <c r="L21" s="8"/>
      <c r="M21" s="63">
        <f>SUM(M11:M20)</f>
        <v>6529.88</v>
      </c>
      <c r="N21" s="63">
        <f>SUM(N11:N20)</f>
        <v>1524182.86</v>
      </c>
      <c r="O21" s="8"/>
      <c r="P21" s="63">
        <f>SUM(P11:P20)</f>
        <v>3733.78</v>
      </c>
      <c r="Q21" s="63">
        <f>SUM(Q11:Q20)</f>
        <v>835752.54</v>
      </c>
    </row>
    <row r="22" spans="2:17" ht="10.5" customHeight="1">
      <c r="B22" s="7"/>
      <c r="C22" s="7"/>
      <c r="D22" s="7"/>
      <c r="E22" s="7"/>
      <c r="F22" s="61"/>
      <c r="G22" s="7"/>
      <c r="H22" s="7"/>
      <c r="I22" s="7"/>
      <c r="J22" s="61"/>
      <c r="K22" s="7"/>
      <c r="L22" s="8"/>
      <c r="M22" s="7"/>
      <c r="N22" s="7"/>
      <c r="O22" s="8"/>
      <c r="P22" s="7"/>
      <c r="Q22" s="7"/>
    </row>
    <row r="23" spans="1:17" ht="12.75">
      <c r="A23" s="3" t="s">
        <v>60</v>
      </c>
      <c r="B23" s="7"/>
      <c r="C23" s="7"/>
      <c r="D23" s="7"/>
      <c r="E23" s="7"/>
      <c r="F23" s="61"/>
      <c r="G23" s="7"/>
      <c r="H23" s="7"/>
      <c r="I23" s="7"/>
      <c r="J23" s="61"/>
      <c r="K23" s="7"/>
      <c r="L23" s="8"/>
      <c r="M23" s="7"/>
      <c r="N23" s="7"/>
      <c r="O23" s="8"/>
      <c r="P23" s="7"/>
      <c r="Q23" s="7"/>
    </row>
    <row r="24" spans="1:17" ht="12.75">
      <c r="A24" s="2">
        <v>535</v>
      </c>
      <c r="B24" s="60">
        <f>SUMIF('Elec Labor'!A:A,A24,'Elec Labor'!G:G)</f>
        <v>971873.55</v>
      </c>
      <c r="C24" s="60">
        <f>SUMIF('Elec Labor'!A:A,A24,'Elec Labor'!C:C)+SUMIF('Elec Labor'!A:A,A24,'Elec Labor'!D:D)</f>
        <v>971873.55</v>
      </c>
      <c r="D24" s="60">
        <f>SUMIF('Elec Labor'!A:A,A24,'Elec Labor'!F:F)</f>
        <v>0</v>
      </c>
      <c r="E24" s="7">
        <f aca="true" t="shared" si="8" ref="E24:E33">C24*$U$9</f>
        <v>627733.13</v>
      </c>
      <c r="F24" s="61"/>
      <c r="G24" s="7">
        <f aca="true" t="shared" si="9" ref="G24:G33">D24+E24+F24</f>
        <v>627733.13</v>
      </c>
      <c r="H24" s="60">
        <f>SUMIF('Elec Labor'!A:A,A24,'Elec Labor'!E:E)</f>
        <v>0</v>
      </c>
      <c r="I24" s="7">
        <f aca="true" t="shared" si="10" ref="I24:I33">C24*$V$9</f>
        <v>344140.42</v>
      </c>
      <c r="J24" s="61"/>
      <c r="K24" s="7">
        <f aca="true" t="shared" si="11" ref="K24:K33">H24+I24+J24</f>
        <v>344140.42</v>
      </c>
      <c r="L24" s="8"/>
      <c r="M24" s="7">
        <f aca="true" t="shared" si="12" ref="M24:M33">ROUND(G24/(G$127-G$119)*G$119,2)</f>
        <v>2700.9</v>
      </c>
      <c r="N24" s="7">
        <f aca="true" t="shared" si="13" ref="N24:N33">G24+M24</f>
        <v>630434.03</v>
      </c>
      <c r="O24" s="8"/>
      <c r="P24" s="7">
        <f aca="true" t="shared" si="14" ref="P24:P33">ROUND(K24/(K$127-K$119)*K$119,2)</f>
        <v>1544.37</v>
      </c>
      <c r="Q24" s="7">
        <f aca="true" t="shared" si="15" ref="Q24:Q33">K24+P24</f>
        <v>345684.79</v>
      </c>
    </row>
    <row r="25" spans="1:17" ht="12.75">
      <c r="A25" s="2">
        <v>536</v>
      </c>
      <c r="B25" s="60">
        <f>SUMIF('Elec Labor'!A:A,A25,'Elec Labor'!G:G)</f>
        <v>7688.44</v>
      </c>
      <c r="C25" s="60">
        <f>SUMIF('Elec Labor'!A:A,A25,'Elec Labor'!C:C)+SUMIF('Elec Labor'!A:A,A25,'Elec Labor'!D:D)</f>
        <v>7688.44</v>
      </c>
      <c r="D25" s="60">
        <f>SUMIF('Elec Labor'!A:A,A25,'Elec Labor'!F:F)</f>
        <v>0</v>
      </c>
      <c r="E25" s="7">
        <f t="shared" si="8"/>
        <v>4965.96</v>
      </c>
      <c r="F25" s="61"/>
      <c r="G25" s="7">
        <f t="shared" si="9"/>
        <v>4965.96</v>
      </c>
      <c r="H25" s="60">
        <f>SUMIF('Elec Labor'!A:A,A25,'Elec Labor'!E:E)</f>
        <v>0</v>
      </c>
      <c r="I25" s="7">
        <f t="shared" si="10"/>
        <v>2722.48</v>
      </c>
      <c r="J25" s="61"/>
      <c r="K25" s="7">
        <f t="shared" si="11"/>
        <v>2722.48</v>
      </c>
      <c r="L25" s="8"/>
      <c r="M25" s="7">
        <f t="shared" si="12"/>
        <v>21.37</v>
      </c>
      <c r="N25" s="7">
        <f t="shared" si="13"/>
        <v>4987.33</v>
      </c>
      <c r="O25" s="8"/>
      <c r="P25" s="7">
        <f t="shared" si="14"/>
        <v>12.22</v>
      </c>
      <c r="Q25" s="7">
        <f t="shared" si="15"/>
        <v>2734.7</v>
      </c>
    </row>
    <row r="26" spans="1:17" ht="12.75">
      <c r="A26" s="2">
        <v>537</v>
      </c>
      <c r="B26" s="60">
        <f>SUMIF('Elec Labor'!A:A,A26,'Elec Labor'!G:G)</f>
        <v>311063.1</v>
      </c>
      <c r="C26" s="60">
        <f>SUMIF('Elec Labor'!A:A,A26,'Elec Labor'!C:C)+SUMIF('Elec Labor'!A:A,A26,'Elec Labor'!D:D)</f>
        <v>311063.1</v>
      </c>
      <c r="D26" s="60">
        <f>SUMIF('Elec Labor'!A:A,A26,'Elec Labor'!F:F)</f>
        <v>0</v>
      </c>
      <c r="E26" s="7">
        <f t="shared" si="8"/>
        <v>200915.66</v>
      </c>
      <c r="F26" s="61"/>
      <c r="G26" s="7">
        <f t="shared" si="9"/>
        <v>200915.66</v>
      </c>
      <c r="H26" s="60">
        <f>SUMIF('Elec Labor'!A:A,A26,'Elec Labor'!E:E)</f>
        <v>0</v>
      </c>
      <c r="I26" s="7">
        <f t="shared" si="10"/>
        <v>110147.44</v>
      </c>
      <c r="J26" s="61"/>
      <c r="K26" s="7">
        <f t="shared" si="11"/>
        <v>110147.44</v>
      </c>
      <c r="L26" s="8"/>
      <c r="M26" s="7">
        <f t="shared" si="12"/>
        <v>864.46</v>
      </c>
      <c r="N26" s="7">
        <f t="shared" si="13"/>
        <v>201780.12</v>
      </c>
      <c r="O26" s="8"/>
      <c r="P26" s="7">
        <f t="shared" si="14"/>
        <v>494.3</v>
      </c>
      <c r="Q26" s="7">
        <f t="shared" si="15"/>
        <v>110641.74</v>
      </c>
    </row>
    <row r="27" spans="1:17" ht="12.75">
      <c r="A27" s="2">
        <v>538</v>
      </c>
      <c r="B27" s="60">
        <f>SUMIF('Elec Labor'!A:A,A27,'Elec Labor'!G:G)</f>
        <v>3165414.91</v>
      </c>
      <c r="C27" s="60">
        <f>SUMIF('Elec Labor'!A:A,A27,'Elec Labor'!C:C)+SUMIF('Elec Labor'!A:A,A27,'Elec Labor'!D:D)</f>
        <v>3165414.91</v>
      </c>
      <c r="D27" s="60">
        <f>SUMIF('Elec Labor'!A:A,A27,'Elec Labor'!F:F)</f>
        <v>0</v>
      </c>
      <c r="E27" s="7">
        <f t="shared" si="8"/>
        <v>2044541.49</v>
      </c>
      <c r="F27" s="61"/>
      <c r="G27" s="7">
        <f t="shared" si="9"/>
        <v>2044541.49</v>
      </c>
      <c r="H27" s="60">
        <f>SUMIF('Elec Labor'!A:A,A27,'Elec Labor'!E:E)</f>
        <v>0</v>
      </c>
      <c r="I27" s="7">
        <f t="shared" si="10"/>
        <v>1120873.42</v>
      </c>
      <c r="J27" s="61"/>
      <c r="K27" s="7">
        <f t="shared" si="11"/>
        <v>1120873.42</v>
      </c>
      <c r="L27" s="8"/>
      <c r="M27" s="7">
        <f t="shared" si="12"/>
        <v>8796.89</v>
      </c>
      <c r="N27" s="7">
        <f t="shared" si="13"/>
        <v>2053338.38</v>
      </c>
      <c r="O27" s="8"/>
      <c r="P27" s="7">
        <f t="shared" si="14"/>
        <v>5030.04</v>
      </c>
      <c r="Q27" s="7">
        <f t="shared" si="15"/>
        <v>1125903.46</v>
      </c>
    </row>
    <row r="28" spans="1:17" ht="12.75">
      <c r="A28" s="2">
        <v>539</v>
      </c>
      <c r="B28" s="60">
        <f>SUMIF('Elec Labor'!A:A,A28,'Elec Labor'!G:G)</f>
        <v>297844.34</v>
      </c>
      <c r="C28" s="60">
        <f>SUMIF('Elec Labor'!A:A,A28,'Elec Labor'!C:C)+SUMIF('Elec Labor'!A:A,A28,'Elec Labor'!D:D)</f>
        <v>297844.34</v>
      </c>
      <c r="D28" s="60">
        <f>SUMIF('Elec Labor'!A:A,A28,'Elec Labor'!F:F)</f>
        <v>0</v>
      </c>
      <c r="E28" s="7">
        <f t="shared" si="8"/>
        <v>192377.66</v>
      </c>
      <c r="F28" s="61"/>
      <c r="G28" s="7">
        <f t="shared" si="9"/>
        <v>192377.66</v>
      </c>
      <c r="H28" s="60">
        <f>SUMIF('Elec Labor'!A:A,A28,'Elec Labor'!E:E)</f>
        <v>0</v>
      </c>
      <c r="I28" s="7">
        <f t="shared" si="10"/>
        <v>105466.68</v>
      </c>
      <c r="J28" s="61"/>
      <c r="K28" s="7">
        <f t="shared" si="11"/>
        <v>105466.68</v>
      </c>
      <c r="L28" s="8"/>
      <c r="M28" s="7">
        <f t="shared" si="12"/>
        <v>827.73</v>
      </c>
      <c r="N28" s="7">
        <f t="shared" si="13"/>
        <v>193205.39</v>
      </c>
      <c r="O28" s="8"/>
      <c r="P28" s="7">
        <f t="shared" si="14"/>
        <v>473.29</v>
      </c>
      <c r="Q28" s="7">
        <f t="shared" si="15"/>
        <v>105939.97</v>
      </c>
    </row>
    <row r="29" spans="1:17" ht="12.75">
      <c r="A29" s="2">
        <v>541</v>
      </c>
      <c r="B29" s="60">
        <f>SUMIF('Elec Labor'!A:A,A29,'Elec Labor'!G:G)</f>
        <v>142136.24</v>
      </c>
      <c r="C29" s="60">
        <f>SUMIF('Elec Labor'!A:A,A29,'Elec Labor'!C:C)+SUMIF('Elec Labor'!A:A,A29,'Elec Labor'!D:D)</f>
        <v>142136.24</v>
      </c>
      <c r="D29" s="60">
        <f>SUMIF('Elec Labor'!A:A,A29,'Elec Labor'!F:F)</f>
        <v>0</v>
      </c>
      <c r="E29" s="7">
        <f t="shared" si="8"/>
        <v>91805.8</v>
      </c>
      <c r="F29" s="61"/>
      <c r="G29" s="7">
        <f t="shared" si="9"/>
        <v>91805.8</v>
      </c>
      <c r="H29" s="60">
        <f>SUMIF('Elec Labor'!A:A,A29,'Elec Labor'!E:E)</f>
        <v>0</v>
      </c>
      <c r="I29" s="7">
        <f t="shared" si="10"/>
        <v>50330.44</v>
      </c>
      <c r="J29" s="61"/>
      <c r="K29" s="7">
        <f t="shared" si="11"/>
        <v>50330.44</v>
      </c>
      <c r="L29" s="8"/>
      <c r="M29" s="7">
        <f t="shared" si="12"/>
        <v>395.01</v>
      </c>
      <c r="N29" s="7">
        <f t="shared" si="13"/>
        <v>92200.81</v>
      </c>
      <c r="O29" s="8"/>
      <c r="P29" s="7">
        <f t="shared" si="14"/>
        <v>225.86</v>
      </c>
      <c r="Q29" s="7">
        <f t="shared" si="15"/>
        <v>50556.3</v>
      </c>
    </row>
    <row r="30" spans="1:17" ht="12.75">
      <c r="A30" s="2">
        <v>542</v>
      </c>
      <c r="B30" s="60">
        <f>SUMIF('Elec Labor'!A:A,A30,'Elec Labor'!G:G)</f>
        <v>141169.41</v>
      </c>
      <c r="C30" s="60">
        <f>SUMIF('Elec Labor'!A:A,A30,'Elec Labor'!C:C)+SUMIF('Elec Labor'!A:A,A30,'Elec Labor'!D:D)</f>
        <v>141169.41</v>
      </c>
      <c r="D30" s="60">
        <f>SUMIF('Elec Labor'!A:A,A30,'Elec Labor'!F:F)</f>
        <v>0</v>
      </c>
      <c r="E30" s="7">
        <f t="shared" si="8"/>
        <v>91181.32</v>
      </c>
      <c r="F30" s="61"/>
      <c r="G30" s="7">
        <f t="shared" si="9"/>
        <v>91181.32</v>
      </c>
      <c r="H30" s="60">
        <f>SUMIF('Elec Labor'!A:A,A30,'Elec Labor'!E:E)</f>
        <v>0</v>
      </c>
      <c r="I30" s="7">
        <f t="shared" si="10"/>
        <v>49988.09</v>
      </c>
      <c r="J30" s="61"/>
      <c r="K30" s="7">
        <f t="shared" si="11"/>
        <v>49988.09</v>
      </c>
      <c r="L30" s="8"/>
      <c r="M30" s="7">
        <f t="shared" si="12"/>
        <v>392.32</v>
      </c>
      <c r="N30" s="7">
        <f t="shared" si="13"/>
        <v>91573.64</v>
      </c>
      <c r="O30" s="8"/>
      <c r="P30" s="7">
        <f t="shared" si="14"/>
        <v>224.33</v>
      </c>
      <c r="Q30" s="7">
        <f t="shared" si="15"/>
        <v>50212.42</v>
      </c>
    </row>
    <row r="31" spans="1:17" ht="12.75">
      <c r="A31" s="2">
        <v>543</v>
      </c>
      <c r="B31" s="60">
        <f>SUMIF('Elec Labor'!A:A,A31,'Elec Labor'!G:G)</f>
        <v>393427.12</v>
      </c>
      <c r="C31" s="60">
        <f>SUMIF('Elec Labor'!A:A,A31,'Elec Labor'!C:C)+SUMIF('Elec Labor'!A:A,A31,'Elec Labor'!D:D)</f>
        <v>393427.12</v>
      </c>
      <c r="D31" s="60">
        <f>SUMIF('Elec Labor'!A:A,A31,'Elec Labor'!F:F)</f>
        <v>0</v>
      </c>
      <c r="E31" s="7">
        <f t="shared" si="8"/>
        <v>254114.58</v>
      </c>
      <c r="F31" s="61"/>
      <c r="G31" s="7">
        <f t="shared" si="9"/>
        <v>254114.58</v>
      </c>
      <c r="H31" s="60">
        <f>SUMIF('Elec Labor'!A:A,A31,'Elec Labor'!E:E)</f>
        <v>0</v>
      </c>
      <c r="I31" s="7">
        <f t="shared" si="10"/>
        <v>139312.54</v>
      </c>
      <c r="J31" s="61"/>
      <c r="K31" s="7">
        <f t="shared" si="11"/>
        <v>139312.54</v>
      </c>
      <c r="L31" s="8"/>
      <c r="M31" s="7">
        <f t="shared" si="12"/>
        <v>1093.36</v>
      </c>
      <c r="N31" s="7">
        <f t="shared" si="13"/>
        <v>255207.94</v>
      </c>
      <c r="O31" s="8"/>
      <c r="P31" s="7">
        <f t="shared" si="14"/>
        <v>625.18</v>
      </c>
      <c r="Q31" s="7">
        <f t="shared" si="15"/>
        <v>139937.72</v>
      </c>
    </row>
    <row r="32" spans="1:17" ht="12.75">
      <c r="A32" s="2">
        <v>544</v>
      </c>
      <c r="B32" s="60">
        <f>SUMIF('Elec Labor'!A:A,A32,'Elec Labor'!G:G)</f>
        <v>1122453.19</v>
      </c>
      <c r="C32" s="60">
        <f>SUMIF('Elec Labor'!A:A,A32,'Elec Labor'!C:C)+SUMIF('Elec Labor'!A:A,A32,'Elec Labor'!D:D)</f>
        <v>1122453.19</v>
      </c>
      <c r="D32" s="60">
        <f>SUMIF('Elec Labor'!A:A,A32,'Elec Labor'!F:F)</f>
        <v>0</v>
      </c>
      <c r="E32" s="7">
        <f t="shared" si="8"/>
        <v>724992.52</v>
      </c>
      <c r="F32" s="61"/>
      <c r="G32" s="7">
        <f t="shared" si="9"/>
        <v>724992.52</v>
      </c>
      <c r="H32" s="60">
        <f>SUMIF('Elec Labor'!A:A,A32,'Elec Labor'!E:E)</f>
        <v>0</v>
      </c>
      <c r="I32" s="7">
        <f t="shared" si="10"/>
        <v>397460.67</v>
      </c>
      <c r="J32" s="61"/>
      <c r="K32" s="7">
        <f t="shared" si="11"/>
        <v>397460.67</v>
      </c>
      <c r="L32" s="8"/>
      <c r="M32" s="7">
        <f t="shared" si="12"/>
        <v>3119.37</v>
      </c>
      <c r="N32" s="7">
        <f t="shared" si="13"/>
        <v>728111.89</v>
      </c>
      <c r="O32" s="8"/>
      <c r="P32" s="7">
        <f t="shared" si="14"/>
        <v>1783.65</v>
      </c>
      <c r="Q32" s="7">
        <f t="shared" si="15"/>
        <v>399244.32</v>
      </c>
    </row>
    <row r="33" spans="1:17" ht="12.75">
      <c r="A33" s="2">
        <v>545</v>
      </c>
      <c r="B33" s="60">
        <f>SUMIF('Elec Labor'!A:A,A33,'Elec Labor'!G:G)</f>
        <v>123817.52</v>
      </c>
      <c r="C33" s="60">
        <f>SUMIF('Elec Labor'!A:A,A33,'Elec Labor'!C:C)+SUMIF('Elec Labor'!A:A,A33,'Elec Labor'!D:D)</f>
        <v>123817.52</v>
      </c>
      <c r="D33" s="60">
        <f>SUMIF('Elec Labor'!A:A,A33,'Elec Labor'!F:F)</f>
        <v>0</v>
      </c>
      <c r="E33" s="7">
        <f t="shared" si="8"/>
        <v>79973.74</v>
      </c>
      <c r="F33" s="61"/>
      <c r="G33" s="7">
        <f t="shared" si="9"/>
        <v>79973.74</v>
      </c>
      <c r="H33" s="60">
        <f>SUMIF('Elec Labor'!A:A,A33,'Elec Labor'!E:E)</f>
        <v>0</v>
      </c>
      <c r="I33" s="7">
        <f t="shared" si="10"/>
        <v>43843.78</v>
      </c>
      <c r="J33" s="61"/>
      <c r="K33" s="7">
        <f t="shared" si="11"/>
        <v>43843.78</v>
      </c>
      <c r="L33" s="8"/>
      <c r="M33" s="7">
        <f t="shared" si="12"/>
        <v>344.1</v>
      </c>
      <c r="N33" s="7">
        <f t="shared" si="13"/>
        <v>80317.84</v>
      </c>
      <c r="O33" s="8"/>
      <c r="P33" s="7">
        <f t="shared" si="14"/>
        <v>196.75</v>
      </c>
      <c r="Q33" s="7">
        <f t="shared" si="15"/>
        <v>44040.53</v>
      </c>
    </row>
    <row r="34" spans="1:20" ht="12.75">
      <c r="A34" s="3" t="s">
        <v>66</v>
      </c>
      <c r="B34" s="63">
        <f>SUM(B24:B33)</f>
        <v>6676887.82</v>
      </c>
      <c r="C34" s="163">
        <f>SUM(C24:C33)</f>
        <v>6676887.82</v>
      </c>
      <c r="D34" s="63">
        <f>SUM(D24:D33)</f>
        <v>0</v>
      </c>
      <c r="E34" s="63">
        <f>SUM(E24:E33)</f>
        <v>4312601.86</v>
      </c>
      <c r="F34" s="64"/>
      <c r="G34" s="63">
        <f>SUM(G24:G33)</f>
        <v>4312601.86</v>
      </c>
      <c r="H34" s="63">
        <f>SUM(H24:H33)</f>
        <v>0</v>
      </c>
      <c r="I34" s="63">
        <f>SUM(I24:I33)</f>
        <v>2364285.96</v>
      </c>
      <c r="J34" s="64"/>
      <c r="K34" s="63">
        <f>SUM(K24:K33)</f>
        <v>2364285.96</v>
      </c>
      <c r="L34" s="8"/>
      <c r="M34" s="63">
        <f>SUM(M24:M33)</f>
        <v>18555.51</v>
      </c>
      <c r="N34" s="63">
        <f>SUM(N24:N33)</f>
        <v>4331157.37</v>
      </c>
      <c r="O34" s="8"/>
      <c r="P34" s="63">
        <f>SUM(P24:P33)</f>
        <v>10609.99</v>
      </c>
      <c r="Q34" s="63">
        <f>SUM(Q24:Q33)</f>
        <v>2374895.95</v>
      </c>
      <c r="T34" s="16"/>
    </row>
    <row r="35" spans="2:17" ht="10.5" customHeight="1">
      <c r="B35" s="7"/>
      <c r="C35" s="7"/>
      <c r="D35" s="7"/>
      <c r="E35" s="7"/>
      <c r="F35" s="61"/>
      <c r="G35" s="7"/>
      <c r="H35" s="7"/>
      <c r="I35" s="7"/>
      <c r="J35" s="61"/>
      <c r="K35" s="7"/>
      <c r="L35" s="8"/>
      <c r="M35" s="7"/>
      <c r="N35" s="7"/>
      <c r="O35" s="8"/>
      <c r="P35" s="7"/>
      <c r="Q35" s="7"/>
    </row>
    <row r="36" spans="1:17" ht="12.75">
      <c r="A36" s="3" t="s">
        <v>67</v>
      </c>
      <c r="B36" s="7"/>
      <c r="C36" s="7"/>
      <c r="D36" s="7"/>
      <c r="E36" s="7"/>
      <c r="F36" s="61"/>
      <c r="G36" s="7"/>
      <c r="H36" s="7"/>
      <c r="I36" s="7"/>
      <c r="J36" s="61"/>
      <c r="K36" s="7"/>
      <c r="L36" s="8"/>
      <c r="M36" s="7"/>
      <c r="N36" s="7"/>
      <c r="O36" s="8"/>
      <c r="P36" s="7"/>
      <c r="Q36" s="7"/>
    </row>
    <row r="37" spans="1:17" ht="12.75">
      <c r="A37" s="2">
        <v>546</v>
      </c>
      <c r="B37" s="60">
        <f>SUMIF('Elec Labor'!A:A,A37,'Elec Labor'!G:G)</f>
        <v>194618.08</v>
      </c>
      <c r="C37" s="60">
        <f>SUMIF('Elec Labor'!A:A,A37,'Elec Labor'!C:C)+SUMIF('Elec Labor'!A:A,A37,'Elec Labor'!D:D)</f>
        <v>194618.08</v>
      </c>
      <c r="D37" s="60">
        <f>SUMIF('Elec Labor'!A:A,A37,'Elec Labor'!F:F)</f>
        <v>0</v>
      </c>
      <c r="E37" s="7">
        <f aca="true" t="shared" si="16" ref="E37:E44">C37*$U$9</f>
        <v>125703.82</v>
      </c>
      <c r="F37" s="61"/>
      <c r="G37" s="7">
        <f aca="true" t="shared" si="17" ref="G37:G44">D37+E37+F37</f>
        <v>125703.82</v>
      </c>
      <c r="H37" s="60">
        <f>SUMIF('Elec Labor'!A:A,A37,'Elec Labor'!E:E)</f>
        <v>0</v>
      </c>
      <c r="I37" s="7">
        <f aca="true" t="shared" si="18" ref="I37:I44">C37*$V$9</f>
        <v>68914.26</v>
      </c>
      <c r="J37" s="61"/>
      <c r="K37" s="7">
        <f aca="true" t="shared" si="19" ref="K37:K44">H37+I37+J37</f>
        <v>68914.26</v>
      </c>
      <c r="L37" s="8"/>
      <c r="M37" s="7">
        <f aca="true" t="shared" si="20" ref="M37:M44">ROUND(G37/(G$127-G$119)*G$119,2)</f>
        <v>540.86</v>
      </c>
      <c r="N37" s="7">
        <f aca="true" t="shared" si="21" ref="N37:N44">G37+M37</f>
        <v>126244.68</v>
      </c>
      <c r="O37" s="8"/>
      <c r="P37" s="7">
        <f aca="true" t="shared" si="22" ref="P37:P44">ROUND(K37/(K$127-K$119)*K$119,2)</f>
        <v>309.26</v>
      </c>
      <c r="Q37" s="7">
        <f aca="true" t="shared" si="23" ref="Q37:Q44">K37+P37</f>
        <v>69223.52</v>
      </c>
    </row>
    <row r="38" spans="1:17" ht="12.75">
      <c r="A38" s="2">
        <v>547</v>
      </c>
      <c r="B38" s="60">
        <f>SUMIF('Elec Labor'!A:A,A38,'Elec Labor'!G:G)</f>
        <v>0</v>
      </c>
      <c r="C38" s="60">
        <f>SUMIF('Elec Labor'!A:A,A38,'Elec Labor'!C:C)+SUMIF('Elec Labor'!A:A,A38,'Elec Labor'!D:D)</f>
        <v>0</v>
      </c>
      <c r="D38" s="60">
        <f>SUMIF('Elec Labor'!A:A,A38,'Elec Labor'!F:F)</f>
        <v>0</v>
      </c>
      <c r="E38" s="7">
        <f t="shared" si="16"/>
        <v>0</v>
      </c>
      <c r="F38" s="61"/>
      <c r="G38" s="7">
        <f t="shared" si="17"/>
        <v>0</v>
      </c>
      <c r="H38" s="60">
        <f>SUMIF('Elec Labor'!A:A,A38,'Elec Labor'!E:E)</f>
        <v>0</v>
      </c>
      <c r="I38" s="7">
        <f t="shared" si="18"/>
        <v>0</v>
      </c>
      <c r="J38" s="61"/>
      <c r="K38" s="7">
        <f t="shared" si="19"/>
        <v>0</v>
      </c>
      <c r="L38" s="8"/>
      <c r="M38" s="7">
        <f t="shared" si="20"/>
        <v>0</v>
      </c>
      <c r="N38" s="7">
        <f t="shared" si="21"/>
        <v>0</v>
      </c>
      <c r="O38" s="8"/>
      <c r="P38" s="7">
        <f t="shared" si="22"/>
        <v>0</v>
      </c>
      <c r="Q38" s="7">
        <f t="shared" si="23"/>
        <v>0</v>
      </c>
    </row>
    <row r="39" spans="1:17" ht="12.75">
      <c r="A39" s="2">
        <v>548</v>
      </c>
      <c r="B39" s="60">
        <f>SUMIF('Elec Labor'!A:A,A39,'Elec Labor'!G:G)</f>
        <v>195425.92</v>
      </c>
      <c r="C39" s="60">
        <f>SUMIF('Elec Labor'!A:A,A39,'Elec Labor'!C:C)+SUMIF('Elec Labor'!A:A,A39,'Elec Labor'!D:D)</f>
        <v>195425.92</v>
      </c>
      <c r="D39" s="60">
        <f>SUMIF('Elec Labor'!A:A,A39,'Elec Labor'!F:F)</f>
        <v>0</v>
      </c>
      <c r="E39" s="7">
        <f t="shared" si="16"/>
        <v>126225.6</v>
      </c>
      <c r="F39" s="61"/>
      <c r="G39" s="7">
        <f t="shared" si="17"/>
        <v>126225.6</v>
      </c>
      <c r="H39" s="60">
        <f>SUMIF('Elec Labor'!A:A,A39,'Elec Labor'!E:E)</f>
        <v>0</v>
      </c>
      <c r="I39" s="7">
        <f t="shared" si="18"/>
        <v>69200.32</v>
      </c>
      <c r="J39" s="61"/>
      <c r="K39" s="7">
        <f t="shared" si="19"/>
        <v>69200.32</v>
      </c>
      <c r="L39" s="8"/>
      <c r="M39" s="7">
        <f t="shared" si="20"/>
        <v>543.1</v>
      </c>
      <c r="N39" s="7">
        <f t="shared" si="21"/>
        <v>126768.7</v>
      </c>
      <c r="O39" s="8"/>
      <c r="P39" s="7">
        <f t="shared" si="22"/>
        <v>310.54</v>
      </c>
      <c r="Q39" s="7">
        <f t="shared" si="23"/>
        <v>69510.86</v>
      </c>
    </row>
    <row r="40" spans="1:17" ht="12.75">
      <c r="A40" s="2">
        <v>549</v>
      </c>
      <c r="B40" s="60">
        <f>SUMIF('Elec Labor'!A:A,A40,'Elec Labor'!G:G)</f>
        <v>116313.49</v>
      </c>
      <c r="C40" s="60">
        <f>SUMIF('Elec Labor'!A:A,A40,'Elec Labor'!C:C)+SUMIF('Elec Labor'!A:A,A40,'Elec Labor'!D:D)</f>
        <v>116313.49</v>
      </c>
      <c r="D40" s="60">
        <f>SUMIF('Elec Labor'!A:A,A40,'Elec Labor'!F:F)</f>
        <v>0</v>
      </c>
      <c r="E40" s="7">
        <f t="shared" si="16"/>
        <v>75126.88</v>
      </c>
      <c r="F40" s="61"/>
      <c r="G40" s="7">
        <f t="shared" si="17"/>
        <v>75126.88</v>
      </c>
      <c r="H40" s="60">
        <f>SUMIF('Elec Labor'!A:A,A40,'Elec Labor'!E:E)</f>
        <v>0</v>
      </c>
      <c r="I40" s="7">
        <f t="shared" si="18"/>
        <v>41186.61</v>
      </c>
      <c r="J40" s="61"/>
      <c r="K40" s="7">
        <f t="shared" si="19"/>
        <v>41186.61</v>
      </c>
      <c r="L40" s="8"/>
      <c r="M40" s="7">
        <f t="shared" si="20"/>
        <v>323.24</v>
      </c>
      <c r="N40" s="7">
        <f t="shared" si="21"/>
        <v>75450.12</v>
      </c>
      <c r="O40" s="8"/>
      <c r="P40" s="7">
        <f t="shared" si="22"/>
        <v>184.83</v>
      </c>
      <c r="Q40" s="7">
        <f t="shared" si="23"/>
        <v>41371.44</v>
      </c>
    </row>
    <row r="41" spans="1:17" ht="12.75">
      <c r="A41" s="2">
        <v>551</v>
      </c>
      <c r="B41" s="60">
        <f>SUMIF('Elec Labor'!A:A,A41,'Elec Labor'!G:G)</f>
        <v>90165.61</v>
      </c>
      <c r="C41" s="60">
        <f>SUMIF('Elec Labor'!A:A,A41,'Elec Labor'!C:C)+SUMIF('Elec Labor'!A:A,A41,'Elec Labor'!D:D)</f>
        <v>90165.61</v>
      </c>
      <c r="D41" s="60">
        <f>SUMIF('Elec Labor'!A:A,A41,'Elec Labor'!F:F)</f>
        <v>0</v>
      </c>
      <c r="E41" s="7">
        <f t="shared" si="16"/>
        <v>58237.97</v>
      </c>
      <c r="F41" s="61"/>
      <c r="G41" s="7">
        <f t="shared" si="17"/>
        <v>58237.97</v>
      </c>
      <c r="H41" s="60">
        <f>SUMIF('Elec Labor'!A:A,A41,'Elec Labor'!E:E)</f>
        <v>0</v>
      </c>
      <c r="I41" s="7">
        <f t="shared" si="18"/>
        <v>31927.64</v>
      </c>
      <c r="J41" s="61"/>
      <c r="K41" s="7">
        <f t="shared" si="19"/>
        <v>31927.64</v>
      </c>
      <c r="L41" s="8"/>
      <c r="M41" s="7">
        <f t="shared" si="20"/>
        <v>250.58</v>
      </c>
      <c r="N41" s="7">
        <f t="shared" si="21"/>
        <v>58488.55</v>
      </c>
      <c r="O41" s="8"/>
      <c r="P41" s="7">
        <f t="shared" si="22"/>
        <v>143.28</v>
      </c>
      <c r="Q41" s="7">
        <f t="shared" si="23"/>
        <v>32070.92</v>
      </c>
    </row>
    <row r="42" spans="1:17" ht="12.75">
      <c r="A42" s="2">
        <v>552</v>
      </c>
      <c r="B42" s="60">
        <f>SUMIF('Elec Labor'!A:A,A42,'Elec Labor'!G:G)</f>
        <v>1782.35</v>
      </c>
      <c r="C42" s="60">
        <f>SUMIF('Elec Labor'!A:A,A42,'Elec Labor'!C:C)+SUMIF('Elec Labor'!A:A,A42,'Elec Labor'!D:D)</f>
        <v>1782.35</v>
      </c>
      <c r="D42" s="60">
        <f>SUMIF('Elec Labor'!A:A,A42,'Elec Labor'!F:F)</f>
        <v>0</v>
      </c>
      <c r="E42" s="7">
        <f t="shared" si="16"/>
        <v>1151.22</v>
      </c>
      <c r="F42" s="61"/>
      <c r="G42" s="7">
        <f t="shared" si="17"/>
        <v>1151.22</v>
      </c>
      <c r="H42" s="60">
        <f>SUMIF('Elec Labor'!A:A,A42,'Elec Labor'!E:E)</f>
        <v>0</v>
      </c>
      <c r="I42" s="7">
        <f t="shared" si="18"/>
        <v>631.13</v>
      </c>
      <c r="J42" s="61"/>
      <c r="K42" s="7">
        <f t="shared" si="19"/>
        <v>631.13</v>
      </c>
      <c r="L42" s="8"/>
      <c r="M42" s="7">
        <f t="shared" si="20"/>
        <v>4.95</v>
      </c>
      <c r="N42" s="7">
        <f t="shared" si="21"/>
        <v>1156.17</v>
      </c>
      <c r="O42" s="8"/>
      <c r="P42" s="7">
        <f t="shared" si="22"/>
        <v>2.83</v>
      </c>
      <c r="Q42" s="7">
        <f t="shared" si="23"/>
        <v>633.96</v>
      </c>
    </row>
    <row r="43" spans="1:17" ht="12.75">
      <c r="A43" s="2">
        <v>553</v>
      </c>
      <c r="B43" s="60">
        <f>SUMIF('Elec Labor'!A:A,A43,'Elec Labor'!G:G)</f>
        <v>160200.38</v>
      </c>
      <c r="C43" s="60">
        <f>SUMIF('Elec Labor'!A:A,A43,'Elec Labor'!C:C)+SUMIF('Elec Labor'!A:A,A43,'Elec Labor'!D:D)</f>
        <v>160200.38</v>
      </c>
      <c r="D43" s="60">
        <f>SUMIF('Elec Labor'!A:A,A43,'Elec Labor'!F:F)</f>
        <v>0</v>
      </c>
      <c r="E43" s="7">
        <f t="shared" si="16"/>
        <v>103473.43</v>
      </c>
      <c r="F43" s="61"/>
      <c r="G43" s="7">
        <f t="shared" si="17"/>
        <v>103473.43</v>
      </c>
      <c r="H43" s="60">
        <f>SUMIF('Elec Labor'!A:A,A43,'Elec Labor'!E:E)</f>
        <v>0</v>
      </c>
      <c r="I43" s="7">
        <f t="shared" si="18"/>
        <v>56726.95</v>
      </c>
      <c r="J43" s="61"/>
      <c r="K43" s="7">
        <f t="shared" si="19"/>
        <v>56726.95</v>
      </c>
      <c r="L43" s="8"/>
      <c r="M43" s="7">
        <f t="shared" si="20"/>
        <v>445.21</v>
      </c>
      <c r="N43" s="7">
        <f t="shared" si="21"/>
        <v>103918.64</v>
      </c>
      <c r="O43" s="8"/>
      <c r="P43" s="7">
        <f t="shared" si="22"/>
        <v>254.57</v>
      </c>
      <c r="Q43" s="7">
        <f t="shared" si="23"/>
        <v>56981.52</v>
      </c>
    </row>
    <row r="44" spans="1:17" ht="12.75">
      <c r="A44" s="2">
        <v>554</v>
      </c>
      <c r="B44" s="60">
        <f>SUMIF('Elec Labor'!A:A,A44,'Elec Labor'!G:G)</f>
        <v>67365.83</v>
      </c>
      <c r="C44" s="60">
        <f>SUMIF('Elec Labor'!A:A,A44,'Elec Labor'!C:C)+SUMIF('Elec Labor'!A:A,A44,'Elec Labor'!D:D)</f>
        <v>67365.83</v>
      </c>
      <c r="D44" s="60">
        <f>SUMIF('Elec Labor'!A:A,A44,'Elec Labor'!F:F)</f>
        <v>0</v>
      </c>
      <c r="E44" s="7">
        <f t="shared" si="16"/>
        <v>43511.59</v>
      </c>
      <c r="F44" s="61"/>
      <c r="G44" s="7">
        <f t="shared" si="17"/>
        <v>43511.59</v>
      </c>
      <c r="H44" s="60">
        <f>SUMIF('Elec Labor'!A:A,A44,'Elec Labor'!E:E)</f>
        <v>0</v>
      </c>
      <c r="I44" s="7">
        <f t="shared" si="18"/>
        <v>23854.24</v>
      </c>
      <c r="J44" s="61"/>
      <c r="K44" s="7">
        <f t="shared" si="19"/>
        <v>23854.24</v>
      </c>
      <c r="L44" s="8"/>
      <c r="M44" s="7">
        <f t="shared" si="20"/>
        <v>187.21</v>
      </c>
      <c r="N44" s="7">
        <f t="shared" si="21"/>
        <v>43698.8</v>
      </c>
      <c r="O44" s="8"/>
      <c r="P44" s="7">
        <f t="shared" si="22"/>
        <v>107.05</v>
      </c>
      <c r="Q44" s="7">
        <f t="shared" si="23"/>
        <v>23961.29</v>
      </c>
    </row>
    <row r="45" spans="1:17" ht="12.75">
      <c r="A45" s="224" t="s">
        <v>72</v>
      </c>
      <c r="B45" s="63">
        <f>SUM(B37:B44)</f>
        <v>825871.66</v>
      </c>
      <c r="C45" s="163">
        <f>SUM(C37:C44)</f>
        <v>825871.66</v>
      </c>
      <c r="D45" s="63">
        <f>SUM(D37:D44)</f>
        <v>0</v>
      </c>
      <c r="E45" s="63">
        <f>SUM(E37:E44)</f>
        <v>533430.51</v>
      </c>
      <c r="F45" s="64"/>
      <c r="G45" s="63">
        <f>SUM(G37:G44)</f>
        <v>533430.51</v>
      </c>
      <c r="H45" s="63">
        <f>SUM(H37:H44)</f>
        <v>0</v>
      </c>
      <c r="I45" s="63">
        <f>SUM(I37:I44)</f>
        <v>292441.15</v>
      </c>
      <c r="J45" s="64"/>
      <c r="K45" s="63">
        <f>SUM(K37:K44)</f>
        <v>292441.15</v>
      </c>
      <c r="L45" s="8"/>
      <c r="M45" s="63">
        <f>SUM(M37:M44)</f>
        <v>2295.15</v>
      </c>
      <c r="N45" s="63">
        <f>SUM(N37:N44)</f>
        <v>535725.66</v>
      </c>
      <c r="O45" s="8"/>
      <c r="P45" s="63">
        <f>SUM(P37:P44)</f>
        <v>1312.36</v>
      </c>
      <c r="Q45" s="63">
        <f>SUM(Q37:Q44)</f>
        <v>293753.51</v>
      </c>
    </row>
    <row r="46" spans="2:17" ht="9.75" customHeight="1">
      <c r="B46" s="7"/>
      <c r="C46" s="7"/>
      <c r="D46" s="7"/>
      <c r="E46" s="7"/>
      <c r="F46" s="61"/>
      <c r="G46" s="7"/>
      <c r="H46" s="7"/>
      <c r="I46" s="7"/>
      <c r="J46" s="61"/>
      <c r="K46" s="7"/>
      <c r="L46" s="8"/>
      <c r="M46" s="7"/>
      <c r="N46" s="7"/>
      <c r="O46" s="8"/>
      <c r="P46" s="7"/>
      <c r="Q46" s="7"/>
    </row>
    <row r="47" spans="1:17" ht="12.75">
      <c r="A47" s="3" t="s">
        <v>73</v>
      </c>
      <c r="B47" s="7"/>
      <c r="C47" s="7"/>
      <c r="D47" s="7"/>
      <c r="E47" s="7"/>
      <c r="F47" s="61"/>
      <c r="G47" s="7"/>
      <c r="H47" s="7"/>
      <c r="I47" s="7"/>
      <c r="J47" s="61"/>
      <c r="K47" s="7"/>
      <c r="L47" s="8"/>
      <c r="M47" s="7"/>
      <c r="N47" s="7"/>
      <c r="O47" s="8"/>
      <c r="P47" s="7"/>
      <c r="Q47" s="7"/>
    </row>
    <row r="48" spans="1:17" ht="12.75">
      <c r="A48" s="2">
        <v>556</v>
      </c>
      <c r="B48" s="60">
        <f>SUMIF('Elec Labor'!A:A,A48,'Elec Labor'!G:G)</f>
        <v>248134.71</v>
      </c>
      <c r="C48" s="60">
        <f>SUMIF('Elec Labor'!A:A,A48,'Elec Labor'!C:C)+SUMIF('Elec Labor'!A:A,A48,'Elec Labor'!D:D)</f>
        <v>248134.71</v>
      </c>
      <c r="D48" s="60">
        <f>SUMIF('Elec Labor'!A:A,A48,'Elec Labor'!F:F)</f>
        <v>0</v>
      </c>
      <c r="E48" s="7">
        <f>C48*$U$9</f>
        <v>160270.21</v>
      </c>
      <c r="F48" s="61"/>
      <c r="G48" s="7">
        <f>D48+E48+F48</f>
        <v>160270.21</v>
      </c>
      <c r="H48" s="60">
        <f>SUMIF('Elec Labor'!A:A,A48,'Elec Labor'!E:E)</f>
        <v>0</v>
      </c>
      <c r="I48" s="7">
        <f>C48*$V$9</f>
        <v>87864.5</v>
      </c>
      <c r="J48" s="61"/>
      <c r="K48" s="7">
        <f>H48+I48+J48</f>
        <v>87864.5</v>
      </c>
      <c r="L48" s="8"/>
      <c r="M48" s="7">
        <f>ROUND(G48/(G$127-G$119)*G$119,2)</f>
        <v>689.58</v>
      </c>
      <c r="N48" s="7">
        <f>G48+M48</f>
        <v>160959.79</v>
      </c>
      <c r="O48" s="8"/>
      <c r="P48" s="7">
        <f>ROUND(K48/(K$127-K$119)*K$119,2)</f>
        <v>394.3</v>
      </c>
      <c r="Q48" s="7">
        <f>K48+P48</f>
        <v>88258.8</v>
      </c>
    </row>
    <row r="49" spans="1:17" ht="12.75">
      <c r="A49" s="2">
        <v>557</v>
      </c>
      <c r="B49" s="60">
        <f>SUMIF('Elec Labor'!A:A,A49,'Elec Labor'!G:G)</f>
        <v>2842175.5</v>
      </c>
      <c r="C49" s="60">
        <f>SUMIF('Elec Labor'!A:A,A49,'Elec Labor'!C:C)+SUMIF('Elec Labor'!A:A,A49,'Elec Labor'!D:D)</f>
        <v>2842175.5</v>
      </c>
      <c r="D49" s="60">
        <f>SUMIF('Elec Labor'!A:A,A49,'Elec Labor'!F:F)</f>
        <v>0</v>
      </c>
      <c r="E49" s="7">
        <f>C49*$U$9</f>
        <v>1835761.16</v>
      </c>
      <c r="F49" s="61"/>
      <c r="G49" s="7">
        <f>D49+E49+F49</f>
        <v>1835761.16</v>
      </c>
      <c r="H49" s="60">
        <f>SUMIF('Elec Labor'!A:A,A49,'Elec Labor'!E:E)</f>
        <v>0</v>
      </c>
      <c r="I49" s="7">
        <f>C49*$V$9</f>
        <v>1006414.34</v>
      </c>
      <c r="J49" s="61"/>
      <c r="K49" s="7">
        <f>H49+I49+J49</f>
        <v>1006414.34</v>
      </c>
      <c r="L49" s="8"/>
      <c r="M49" s="7">
        <f>ROUND(G49/(G$127-G$119)*G$119,2)</f>
        <v>7898.59</v>
      </c>
      <c r="N49" s="7">
        <f>G49+M49</f>
        <v>1843659.75</v>
      </c>
      <c r="O49" s="8"/>
      <c r="P49" s="7">
        <f>ROUND(K49/(K$127-K$119)*K$119,2)</f>
        <v>4516.39</v>
      </c>
      <c r="Q49" s="7">
        <f>K49+P49</f>
        <v>1010930.73</v>
      </c>
    </row>
    <row r="50" spans="1:17" ht="12.75">
      <c r="A50" s="224" t="s">
        <v>349</v>
      </c>
      <c r="B50" s="63">
        <f>SUM(B48:B49)</f>
        <v>3090310.21</v>
      </c>
      <c r="C50" s="163">
        <f>SUM(C48:C49)</f>
        <v>3090310.21</v>
      </c>
      <c r="D50" s="63">
        <f>SUM(D48:D49)</f>
        <v>0</v>
      </c>
      <c r="E50" s="63">
        <f>SUM(E48:E49)</f>
        <v>1996031.37</v>
      </c>
      <c r="F50" s="64"/>
      <c r="G50" s="63">
        <f>SUM(G48:G49)</f>
        <v>1996031.37</v>
      </c>
      <c r="H50" s="63">
        <f>SUM(H48:H49)</f>
        <v>0</v>
      </c>
      <c r="I50" s="63">
        <f>SUM(I48:I49)</f>
        <v>1094278.84</v>
      </c>
      <c r="J50" s="64"/>
      <c r="K50" s="63">
        <f>SUM(K48:K49)</f>
        <v>1094278.84</v>
      </c>
      <c r="L50" s="8"/>
      <c r="M50" s="63">
        <f>SUM(M48:M49)</f>
        <v>8588.17</v>
      </c>
      <c r="N50" s="63">
        <f>SUM(N48:N49)</f>
        <v>2004619.54</v>
      </c>
      <c r="O50" s="8"/>
      <c r="P50" s="63">
        <f>SUM(P48:P49)</f>
        <v>4910.69</v>
      </c>
      <c r="Q50" s="63">
        <f>SUM(Q48:Q49)</f>
        <v>1099189.53</v>
      </c>
    </row>
    <row r="51" spans="2:17" ht="9.75" customHeight="1">
      <c r="B51" s="7"/>
      <c r="C51" s="7"/>
      <c r="D51" s="7"/>
      <c r="E51" s="7"/>
      <c r="F51" s="61"/>
      <c r="G51" s="7"/>
      <c r="H51" s="7"/>
      <c r="I51" s="7"/>
      <c r="J51" s="61"/>
      <c r="K51" s="7"/>
      <c r="L51" s="8"/>
      <c r="M51" s="7"/>
      <c r="N51" s="7"/>
      <c r="O51" s="8"/>
      <c r="P51" s="7"/>
      <c r="Q51" s="7"/>
    </row>
    <row r="52" spans="1:17" ht="12.75">
      <c r="A52" s="3" t="s">
        <v>39</v>
      </c>
      <c r="B52" s="63">
        <f>B21+B34+B45+B50</f>
        <v>12942741.43</v>
      </c>
      <c r="C52" s="63">
        <f>C21+C34+C45+C50</f>
        <v>12942741.43</v>
      </c>
      <c r="D52" s="63">
        <f>D21+D34+D45+D50</f>
        <v>0</v>
      </c>
      <c r="E52" s="63">
        <f>E21+E34+E45+E50</f>
        <v>8359716.72</v>
      </c>
      <c r="F52" s="64"/>
      <c r="G52" s="163">
        <f>G21+G34+G45+G50</f>
        <v>8359716.72</v>
      </c>
      <c r="H52" s="63">
        <f>H21+H34+H45+H50</f>
        <v>0</v>
      </c>
      <c r="I52" s="63">
        <f>I21+I34+I45+I50</f>
        <v>4583024.71</v>
      </c>
      <c r="J52" s="64"/>
      <c r="K52" s="163">
        <f>K21+K34+K45+K50</f>
        <v>4583024.71</v>
      </c>
      <c r="L52" s="8"/>
      <c r="M52" s="63">
        <f>M21+M34+M45+M50</f>
        <v>35968.71</v>
      </c>
      <c r="N52" s="63">
        <f>N21+N34+N45+N50</f>
        <v>8395685.43</v>
      </c>
      <c r="O52" s="8"/>
      <c r="P52" s="63">
        <f>P21+P34+P45+P50</f>
        <v>20566.82</v>
      </c>
      <c r="Q52" s="63">
        <f>Q21+Q34+Q45+Q50</f>
        <v>4603591.53</v>
      </c>
    </row>
    <row r="53" spans="2:17" ht="9.75" customHeight="1">
      <c r="B53" s="7"/>
      <c r="C53" s="7"/>
      <c r="D53" s="7"/>
      <c r="E53" s="7"/>
      <c r="F53" s="61"/>
      <c r="G53" s="7"/>
      <c r="H53" s="7"/>
      <c r="I53" s="7"/>
      <c r="J53" s="61"/>
      <c r="K53" s="7"/>
      <c r="L53" s="8"/>
      <c r="M53" s="7"/>
      <c r="N53" s="7"/>
      <c r="O53" s="8"/>
      <c r="P53" s="7"/>
      <c r="Q53" s="7"/>
    </row>
    <row r="54" spans="1:17" ht="12.75">
      <c r="A54" s="3" t="s">
        <v>5</v>
      </c>
      <c r="B54" s="7"/>
      <c r="C54" s="7"/>
      <c r="D54" s="7"/>
      <c r="E54" s="7"/>
      <c r="F54" s="61"/>
      <c r="G54" s="7"/>
      <c r="H54" s="7"/>
      <c r="I54" s="7"/>
      <c r="J54" s="61"/>
      <c r="K54" s="7"/>
      <c r="L54" s="8"/>
      <c r="M54" s="7"/>
      <c r="N54" s="7"/>
      <c r="O54" s="8"/>
      <c r="P54" s="7"/>
      <c r="Q54" s="7"/>
    </row>
    <row r="55" spans="1:17" ht="12.75">
      <c r="A55" s="2">
        <v>560</v>
      </c>
      <c r="B55" s="60">
        <f>SUMIF('Elec Labor'!A:A,A55,'Elec Labor'!G:G)</f>
        <v>1122147.29</v>
      </c>
      <c r="C55" s="60">
        <f>SUMIF('Elec Labor'!A:A,A55,'Elec Labor'!C:C)+SUMIF('Elec Labor'!A:A,A55,'Elec Labor'!D:D)</f>
        <v>1122147.29</v>
      </c>
      <c r="D55" s="60">
        <f>SUMIF('Elec Labor'!A:A,A55,'Elec Labor'!F:F)</f>
        <v>0</v>
      </c>
      <c r="E55" s="7">
        <f aca="true" t="shared" si="24" ref="E55:E67">C55*$U$9</f>
        <v>724794.93</v>
      </c>
      <c r="F55" s="61"/>
      <c r="G55" s="7">
        <f aca="true" t="shared" si="25" ref="G55:G67">D55+E55+F55</f>
        <v>724794.93</v>
      </c>
      <c r="H55" s="60">
        <f>SUMIF('Elec Labor'!A:A,A55,'Elec Labor'!E:E)</f>
        <v>0</v>
      </c>
      <c r="I55" s="7">
        <f aca="true" t="shared" si="26" ref="I55:I67">C55*$V$9</f>
        <v>397352.36</v>
      </c>
      <c r="J55" s="61"/>
      <c r="K55" s="7">
        <f aca="true" t="shared" si="27" ref="K55:K67">H55+I55+J55</f>
        <v>397352.36</v>
      </c>
      <c r="L55" s="8"/>
      <c r="M55" s="7">
        <f aca="true" t="shared" si="28" ref="M55:M67">ROUND(G55/(G$127-G$119)*G$119,2)</f>
        <v>3118.52</v>
      </c>
      <c r="N55" s="7">
        <f aca="true" t="shared" si="29" ref="N55:N67">G55+M55</f>
        <v>727913.45</v>
      </c>
      <c r="O55" s="8"/>
      <c r="P55" s="7">
        <f aca="true" t="shared" si="30" ref="P55:P67">ROUND(K55/(K$127-K$119)*K$119,2)</f>
        <v>1783.16</v>
      </c>
      <c r="Q55" s="7">
        <f aca="true" t="shared" si="31" ref="Q55:Q67">K55+P55</f>
        <v>399135.52</v>
      </c>
    </row>
    <row r="56" spans="1:17" ht="12.75">
      <c r="A56" s="2">
        <v>561</v>
      </c>
      <c r="B56" s="60">
        <f>SUMIF('Elec Labor'!A:A,A56,'Elec Labor'!G:G)</f>
        <v>1253584.49</v>
      </c>
      <c r="C56" s="60">
        <f>SUMIF('Elec Labor'!A:A,A56,'Elec Labor'!C:C)+SUMIF('Elec Labor'!A:A,A56,'Elec Labor'!D:D)</f>
        <v>1253584.49</v>
      </c>
      <c r="D56" s="60">
        <f>SUMIF('Elec Labor'!A:A,A56,'Elec Labor'!F:F)</f>
        <v>0</v>
      </c>
      <c r="E56" s="7">
        <f t="shared" si="24"/>
        <v>809690.22</v>
      </c>
      <c r="F56" s="61"/>
      <c r="G56" s="7">
        <f t="shared" si="25"/>
        <v>809690.22</v>
      </c>
      <c r="H56" s="60">
        <f>SUMIF('Elec Labor'!A:A,A56,'Elec Labor'!E:E)</f>
        <v>0</v>
      </c>
      <c r="I56" s="7">
        <f t="shared" si="26"/>
        <v>443894.27</v>
      </c>
      <c r="J56" s="61"/>
      <c r="K56" s="7">
        <f t="shared" si="27"/>
        <v>443894.27</v>
      </c>
      <c r="L56" s="8"/>
      <c r="M56" s="7">
        <f t="shared" si="28"/>
        <v>3483.79</v>
      </c>
      <c r="N56" s="7">
        <f t="shared" si="29"/>
        <v>813174.01</v>
      </c>
      <c r="O56" s="8"/>
      <c r="P56" s="7">
        <f t="shared" si="30"/>
        <v>1992.02</v>
      </c>
      <c r="Q56" s="7">
        <f t="shared" si="31"/>
        <v>445886.29</v>
      </c>
    </row>
    <row r="57" spans="1:17" ht="12.75">
      <c r="A57" s="2">
        <v>562</v>
      </c>
      <c r="B57" s="60">
        <f>SUMIF('Elec Labor'!A:A,A57,'Elec Labor'!G:G)</f>
        <v>95545.53</v>
      </c>
      <c r="C57" s="60">
        <f>SUMIF('Elec Labor'!A:A,A57,'Elec Labor'!C:C)+SUMIF('Elec Labor'!A:A,A57,'Elec Labor'!D:D)</f>
        <v>95545.53</v>
      </c>
      <c r="D57" s="60">
        <f>SUMIF('Elec Labor'!A:A,A57,'Elec Labor'!F:F)</f>
        <v>0</v>
      </c>
      <c r="E57" s="7">
        <f t="shared" si="24"/>
        <v>61712.86</v>
      </c>
      <c r="F57" s="61"/>
      <c r="G57" s="7">
        <f t="shared" si="25"/>
        <v>61712.86</v>
      </c>
      <c r="H57" s="60">
        <f>SUMIF('Elec Labor'!A:A,A57,'Elec Labor'!E:E)</f>
        <v>0</v>
      </c>
      <c r="I57" s="7">
        <f t="shared" si="26"/>
        <v>33832.67</v>
      </c>
      <c r="J57" s="61"/>
      <c r="K57" s="7">
        <f t="shared" si="27"/>
        <v>33832.67</v>
      </c>
      <c r="L57" s="8"/>
      <c r="M57" s="7">
        <f t="shared" si="28"/>
        <v>265.53</v>
      </c>
      <c r="N57" s="7">
        <f t="shared" si="29"/>
        <v>61978.39</v>
      </c>
      <c r="O57" s="8"/>
      <c r="P57" s="7">
        <f t="shared" si="30"/>
        <v>151.83</v>
      </c>
      <c r="Q57" s="7">
        <f t="shared" si="31"/>
        <v>33984.5</v>
      </c>
    </row>
    <row r="58" spans="1:17" ht="12.75">
      <c r="A58" s="2">
        <v>563</v>
      </c>
      <c r="B58" s="60">
        <f>SUMIF('Elec Labor'!A:A,A58,'Elec Labor'!G:G)</f>
        <v>96413.56</v>
      </c>
      <c r="C58" s="60">
        <f>SUMIF('Elec Labor'!A:A,A58,'Elec Labor'!C:C)+SUMIF('Elec Labor'!A:A,A58,'Elec Labor'!D:D)</f>
        <v>96413.56</v>
      </c>
      <c r="D58" s="60">
        <f>SUMIF('Elec Labor'!A:A,A58,'Elec Labor'!F:F)</f>
        <v>0</v>
      </c>
      <c r="E58" s="7">
        <f t="shared" si="24"/>
        <v>62273.52</v>
      </c>
      <c r="F58" s="61"/>
      <c r="G58" s="7">
        <f t="shared" si="25"/>
        <v>62273.52</v>
      </c>
      <c r="H58" s="60">
        <f>SUMIF('Elec Labor'!A:A,A58,'Elec Labor'!E:E)</f>
        <v>0</v>
      </c>
      <c r="I58" s="7">
        <f t="shared" si="26"/>
        <v>34140.04</v>
      </c>
      <c r="J58" s="61"/>
      <c r="K58" s="7">
        <f t="shared" si="27"/>
        <v>34140.04</v>
      </c>
      <c r="L58" s="8"/>
      <c r="M58" s="7">
        <f t="shared" si="28"/>
        <v>267.94</v>
      </c>
      <c r="N58" s="7">
        <f t="shared" si="29"/>
        <v>62541.46</v>
      </c>
      <c r="O58" s="8"/>
      <c r="P58" s="7">
        <f t="shared" si="30"/>
        <v>153.21</v>
      </c>
      <c r="Q58" s="7">
        <f t="shared" si="31"/>
        <v>34293.25</v>
      </c>
    </row>
    <row r="59" spans="1:17" ht="12.75">
      <c r="A59" s="2">
        <v>564</v>
      </c>
      <c r="B59" s="60">
        <f>SUMIF('Elec Labor'!A:A,A59,'Elec Labor'!G:G)</f>
        <v>0</v>
      </c>
      <c r="C59" s="60">
        <f>SUMIF('Elec Labor'!A:A,A59,'Elec Labor'!C:C)+SUMIF('Elec Labor'!A:A,A59,'Elec Labor'!D:D)</f>
        <v>0</v>
      </c>
      <c r="D59" s="60">
        <f>SUMIF('Elec Labor'!A:A,A59,'Elec Labor'!F:F)</f>
        <v>0</v>
      </c>
      <c r="E59" s="7">
        <f t="shared" si="24"/>
        <v>0</v>
      </c>
      <c r="F59" s="61"/>
      <c r="G59" s="7">
        <f t="shared" si="25"/>
        <v>0</v>
      </c>
      <c r="H59" s="60">
        <f>SUMIF('Elec Labor'!A:A,A59,'Elec Labor'!E:E)</f>
        <v>0</v>
      </c>
      <c r="I59" s="7">
        <f t="shared" si="26"/>
        <v>0</v>
      </c>
      <c r="J59" s="61"/>
      <c r="K59" s="7">
        <f t="shared" si="27"/>
        <v>0</v>
      </c>
      <c r="L59" s="8"/>
      <c r="M59" s="7">
        <f t="shared" si="28"/>
        <v>0</v>
      </c>
      <c r="N59" s="7">
        <f t="shared" si="29"/>
        <v>0</v>
      </c>
      <c r="O59" s="8"/>
      <c r="P59" s="7">
        <f t="shared" si="30"/>
        <v>0</v>
      </c>
      <c r="Q59" s="7">
        <f t="shared" si="31"/>
        <v>0</v>
      </c>
    </row>
    <row r="60" spans="1:17" ht="12.75">
      <c r="A60" s="2">
        <v>566</v>
      </c>
      <c r="B60" s="60">
        <f>SUMIF('Elec Labor'!A:A,A60,'Elec Labor'!G:G)</f>
        <v>267852.9</v>
      </c>
      <c r="C60" s="60">
        <f>SUMIF('Elec Labor'!A:A,A60,'Elec Labor'!C:C)+SUMIF('Elec Labor'!A:A,A60,'Elec Labor'!D:D)</f>
        <v>267852.9</v>
      </c>
      <c r="D60" s="60">
        <f>SUMIF('Elec Labor'!A:A,A60,'Elec Labor'!F:F)</f>
        <v>0</v>
      </c>
      <c r="E60" s="7">
        <f t="shared" si="24"/>
        <v>173006.19</v>
      </c>
      <c r="F60" s="61"/>
      <c r="G60" s="7">
        <f t="shared" si="25"/>
        <v>173006.19</v>
      </c>
      <c r="H60" s="60">
        <f>SUMIF('Elec Labor'!A:A,A60,'Elec Labor'!E:E)</f>
        <v>0</v>
      </c>
      <c r="I60" s="7">
        <f t="shared" si="26"/>
        <v>94846.71</v>
      </c>
      <c r="J60" s="61"/>
      <c r="K60" s="7">
        <f t="shared" si="27"/>
        <v>94846.71</v>
      </c>
      <c r="L60" s="8"/>
      <c r="M60" s="7">
        <f t="shared" si="28"/>
        <v>744.38</v>
      </c>
      <c r="N60" s="7">
        <f t="shared" si="29"/>
        <v>173750.57</v>
      </c>
      <c r="O60" s="8"/>
      <c r="P60" s="7">
        <f t="shared" si="30"/>
        <v>425.63</v>
      </c>
      <c r="Q60" s="7">
        <f t="shared" si="31"/>
        <v>95272.34</v>
      </c>
    </row>
    <row r="61" spans="1:17" ht="12.75">
      <c r="A61" s="2">
        <v>567</v>
      </c>
      <c r="B61" s="60">
        <f>SUMIF('Elec Labor'!A:A,A61,'Elec Labor'!G:G)</f>
        <v>531.03</v>
      </c>
      <c r="C61" s="60">
        <f>SUMIF('Elec Labor'!A:A,A61,'Elec Labor'!C:C)+SUMIF('Elec Labor'!A:A,A61,'Elec Labor'!D:D)</f>
        <v>531.03</v>
      </c>
      <c r="D61" s="60">
        <f>SUMIF('Elec Labor'!A:A,A61,'Elec Labor'!F:F)</f>
        <v>0</v>
      </c>
      <c r="E61" s="7">
        <f>C61*$U$9</f>
        <v>342.99</v>
      </c>
      <c r="F61" s="61"/>
      <c r="G61" s="7">
        <f>D61+E61+F61</f>
        <v>342.99</v>
      </c>
      <c r="H61" s="60">
        <f>SUMIF('Elec Labor'!A:A,A61,'Elec Labor'!E:E)</f>
        <v>0</v>
      </c>
      <c r="I61" s="7">
        <f>C61*$V$9</f>
        <v>188.04</v>
      </c>
      <c r="J61" s="61"/>
      <c r="K61" s="7">
        <f>H61+I61+J61</f>
        <v>188.04</v>
      </c>
      <c r="L61" s="8"/>
      <c r="M61" s="7">
        <f>ROUND(G61/(G$127-G$119)*G$119,2)</f>
        <v>1.48</v>
      </c>
      <c r="N61" s="7">
        <f>G61+M61</f>
        <v>344.47</v>
      </c>
      <c r="O61" s="8"/>
      <c r="P61" s="7">
        <f>ROUND(K61/(K$127-K$119)*K$119,2)</f>
        <v>0.84</v>
      </c>
      <c r="Q61" s="7">
        <f>K61+P61</f>
        <v>188.88</v>
      </c>
    </row>
    <row r="62" spans="1:17" ht="12.75">
      <c r="A62" s="2">
        <v>568</v>
      </c>
      <c r="B62" s="60">
        <f>SUMIF('Elec Labor'!A:A,A62,'Elec Labor'!G:G)</f>
        <v>253369.81</v>
      </c>
      <c r="C62" s="60">
        <f>SUMIF('Elec Labor'!A:A,A62,'Elec Labor'!C:C)+SUMIF('Elec Labor'!A:A,A62,'Elec Labor'!D:D)</f>
        <v>253369.81</v>
      </c>
      <c r="D62" s="60">
        <f>SUMIF('Elec Labor'!A:A,A62,'Elec Labor'!F:F)</f>
        <v>0</v>
      </c>
      <c r="E62" s="7">
        <f t="shared" si="24"/>
        <v>163651.56</v>
      </c>
      <c r="F62" s="61"/>
      <c r="G62" s="7">
        <f t="shared" si="25"/>
        <v>163651.56</v>
      </c>
      <c r="H62" s="60">
        <f>SUMIF('Elec Labor'!A:A,A62,'Elec Labor'!E:E)</f>
        <v>0</v>
      </c>
      <c r="I62" s="7">
        <f t="shared" si="26"/>
        <v>89718.25</v>
      </c>
      <c r="J62" s="61"/>
      <c r="K62" s="7">
        <f t="shared" si="27"/>
        <v>89718.25</v>
      </c>
      <c r="L62" s="8"/>
      <c r="M62" s="7">
        <f t="shared" si="28"/>
        <v>704.13</v>
      </c>
      <c r="N62" s="7">
        <f t="shared" si="29"/>
        <v>164355.69</v>
      </c>
      <c r="O62" s="8"/>
      <c r="P62" s="7">
        <f t="shared" si="30"/>
        <v>402.62</v>
      </c>
      <c r="Q62" s="7">
        <f t="shared" si="31"/>
        <v>90120.87</v>
      </c>
    </row>
    <row r="63" spans="1:17" ht="12.75">
      <c r="A63" s="2">
        <v>569</v>
      </c>
      <c r="B63" s="60">
        <f>SUMIF('Elec Labor'!A:A,A63,'Elec Labor'!G:G)</f>
        <v>115104.06</v>
      </c>
      <c r="C63" s="60">
        <f>SUMIF('Elec Labor'!A:A,A63,'Elec Labor'!C:C)+SUMIF('Elec Labor'!A:A,A63,'Elec Labor'!D:D)</f>
        <v>115104.06</v>
      </c>
      <c r="D63" s="60">
        <f>SUMIF('Elec Labor'!A:A,A63,'Elec Labor'!F:F)</f>
        <v>0</v>
      </c>
      <c r="E63" s="7">
        <f t="shared" si="24"/>
        <v>74345.71</v>
      </c>
      <c r="F63" s="61"/>
      <c r="G63" s="7">
        <f t="shared" si="25"/>
        <v>74345.71</v>
      </c>
      <c r="H63" s="60">
        <f>SUMIF('Elec Labor'!A:A,A63,'Elec Labor'!E:E)</f>
        <v>0</v>
      </c>
      <c r="I63" s="7">
        <f t="shared" si="26"/>
        <v>40758.35</v>
      </c>
      <c r="J63" s="61"/>
      <c r="K63" s="7">
        <f t="shared" si="27"/>
        <v>40758.35</v>
      </c>
      <c r="L63" s="8"/>
      <c r="M63" s="7">
        <f t="shared" si="28"/>
        <v>319.88</v>
      </c>
      <c r="N63" s="7">
        <f t="shared" si="29"/>
        <v>74665.59</v>
      </c>
      <c r="O63" s="8"/>
      <c r="P63" s="7">
        <f t="shared" si="30"/>
        <v>182.91</v>
      </c>
      <c r="Q63" s="7">
        <f t="shared" si="31"/>
        <v>40941.26</v>
      </c>
    </row>
    <row r="64" spans="1:17" ht="12.75">
      <c r="A64" s="2">
        <v>570</v>
      </c>
      <c r="B64" s="60">
        <f>SUMIF('Elec Labor'!A:A,A64,'Elec Labor'!G:G)</f>
        <v>466612.7</v>
      </c>
      <c r="C64" s="60">
        <f>SUMIF('Elec Labor'!A:A,A64,'Elec Labor'!C:C)+SUMIF('Elec Labor'!A:A,A64,'Elec Labor'!D:D)</f>
        <v>466612.7</v>
      </c>
      <c r="D64" s="60">
        <f>SUMIF('Elec Labor'!A:A,A64,'Elec Labor'!F:F)</f>
        <v>0</v>
      </c>
      <c r="E64" s="7">
        <f t="shared" si="24"/>
        <v>301385.14</v>
      </c>
      <c r="F64" s="61"/>
      <c r="G64" s="7">
        <f t="shared" si="25"/>
        <v>301385.14</v>
      </c>
      <c r="H64" s="60">
        <f>SUMIF('Elec Labor'!A:A,A64,'Elec Labor'!E:E)</f>
        <v>0</v>
      </c>
      <c r="I64" s="7">
        <f t="shared" si="26"/>
        <v>165227.56</v>
      </c>
      <c r="J64" s="61"/>
      <c r="K64" s="7">
        <f t="shared" si="27"/>
        <v>165227.56</v>
      </c>
      <c r="L64" s="8"/>
      <c r="M64" s="7">
        <f t="shared" si="28"/>
        <v>1296.75</v>
      </c>
      <c r="N64" s="7">
        <f t="shared" si="29"/>
        <v>302681.89</v>
      </c>
      <c r="O64" s="8"/>
      <c r="P64" s="7">
        <f t="shared" si="30"/>
        <v>741.48</v>
      </c>
      <c r="Q64" s="7">
        <f t="shared" si="31"/>
        <v>165969.04</v>
      </c>
    </row>
    <row r="65" spans="1:17" ht="12.75">
      <c r="A65" s="2">
        <v>571</v>
      </c>
      <c r="B65" s="60">
        <f>SUMIF('Elec Labor'!A:A,A65,'Elec Labor'!G:G)</f>
        <v>46556.29</v>
      </c>
      <c r="C65" s="60">
        <f>SUMIF('Elec Labor'!A:A,A65,'Elec Labor'!C:C)+SUMIF('Elec Labor'!A:A,A65,'Elec Labor'!D:D)</f>
        <v>46556.29</v>
      </c>
      <c r="D65" s="60">
        <f>SUMIF('Elec Labor'!A:A,A65,'Elec Labor'!F:F)</f>
        <v>0</v>
      </c>
      <c r="E65" s="7">
        <f t="shared" si="24"/>
        <v>30070.71</v>
      </c>
      <c r="F65" s="61"/>
      <c r="G65" s="7">
        <f t="shared" si="25"/>
        <v>30070.71</v>
      </c>
      <c r="H65" s="60">
        <f>SUMIF('Elec Labor'!A:A,A65,'Elec Labor'!E:E)</f>
        <v>0</v>
      </c>
      <c r="I65" s="7">
        <f t="shared" si="26"/>
        <v>16485.58</v>
      </c>
      <c r="J65" s="61"/>
      <c r="K65" s="7">
        <f t="shared" si="27"/>
        <v>16485.58</v>
      </c>
      <c r="L65" s="8"/>
      <c r="M65" s="7">
        <f t="shared" si="28"/>
        <v>129.38</v>
      </c>
      <c r="N65" s="7">
        <f t="shared" si="29"/>
        <v>30200.09</v>
      </c>
      <c r="O65" s="8"/>
      <c r="P65" s="7">
        <f t="shared" si="30"/>
        <v>73.98</v>
      </c>
      <c r="Q65" s="7">
        <f t="shared" si="31"/>
        <v>16559.56</v>
      </c>
    </row>
    <row r="66" spans="1:17" ht="12.75">
      <c r="A66" s="2">
        <v>572</v>
      </c>
      <c r="B66" s="60">
        <f>SUMIF('Elec Labor'!A:A,A66,'Elec Labor'!G:G)</f>
        <v>4080.88</v>
      </c>
      <c r="C66" s="60">
        <f>SUMIF('Elec Labor'!A:A,A66,'Elec Labor'!C:C)+SUMIF('Elec Labor'!A:A,A66,'Elec Labor'!D:D)</f>
        <v>4080.88</v>
      </c>
      <c r="D66" s="60">
        <f>SUMIF('Elec Labor'!A:A,A66,'Elec Labor'!F:F)</f>
        <v>0</v>
      </c>
      <c r="E66" s="7">
        <f t="shared" si="24"/>
        <v>2635.84</v>
      </c>
      <c r="F66" s="61"/>
      <c r="G66" s="7">
        <f t="shared" si="25"/>
        <v>2635.84</v>
      </c>
      <c r="H66" s="60">
        <f>SUMIF('Elec Labor'!A:A,A66,'Elec Labor'!E:E)</f>
        <v>0</v>
      </c>
      <c r="I66" s="7">
        <f t="shared" si="26"/>
        <v>1445.04</v>
      </c>
      <c r="J66" s="61"/>
      <c r="K66" s="7">
        <f t="shared" si="27"/>
        <v>1445.04</v>
      </c>
      <c r="L66" s="8"/>
      <c r="M66" s="7">
        <f t="shared" si="28"/>
        <v>11.34</v>
      </c>
      <c r="N66" s="7">
        <f t="shared" si="29"/>
        <v>2647.18</v>
      </c>
      <c r="O66" s="8"/>
      <c r="P66" s="7">
        <f t="shared" si="30"/>
        <v>6.48</v>
      </c>
      <c r="Q66" s="7">
        <f t="shared" si="31"/>
        <v>1451.52</v>
      </c>
    </row>
    <row r="67" spans="1:17" ht="12.75">
      <c r="A67" s="2">
        <v>573</v>
      </c>
      <c r="B67" s="60">
        <f>SUMIF('Elec Labor'!A:A,A67,'Elec Labor'!G:G)</f>
        <v>18409.72</v>
      </c>
      <c r="C67" s="60">
        <f>SUMIF('Elec Labor'!A:A,A67,'Elec Labor'!C:C)+SUMIF('Elec Labor'!A:A,A67,'Elec Labor'!D:D)</f>
        <v>18409.72</v>
      </c>
      <c r="D67" s="60">
        <f>SUMIF('Elec Labor'!A:A,A67,'Elec Labor'!F:F)</f>
        <v>0</v>
      </c>
      <c r="E67" s="7">
        <f t="shared" si="24"/>
        <v>11890.84</v>
      </c>
      <c r="F67" s="61"/>
      <c r="G67" s="7">
        <f t="shared" si="25"/>
        <v>11890.84</v>
      </c>
      <c r="H67" s="60">
        <f>SUMIF('Elec Labor'!A:A,A67,'Elec Labor'!E:E)</f>
        <v>0</v>
      </c>
      <c r="I67" s="7">
        <f t="shared" si="26"/>
        <v>6518.88</v>
      </c>
      <c r="J67" s="61"/>
      <c r="K67" s="7">
        <f t="shared" si="27"/>
        <v>6518.88</v>
      </c>
      <c r="L67" s="8"/>
      <c r="M67" s="7">
        <f t="shared" si="28"/>
        <v>51.16</v>
      </c>
      <c r="N67" s="7">
        <f t="shared" si="29"/>
        <v>11942</v>
      </c>
      <c r="O67" s="8"/>
      <c r="P67" s="7">
        <f t="shared" si="30"/>
        <v>29.25</v>
      </c>
      <c r="Q67" s="7">
        <f t="shared" si="31"/>
        <v>6548.13</v>
      </c>
    </row>
    <row r="68" spans="1:17" ht="12.75">
      <c r="A68" s="3" t="s">
        <v>6</v>
      </c>
      <c r="B68" s="63">
        <f>SUM(B55:B67)</f>
        <v>3740208.26</v>
      </c>
      <c r="C68" s="163">
        <f>SUM(C55:C67)</f>
        <v>3740208.26</v>
      </c>
      <c r="D68" s="63">
        <f>SUM(D55:D67)</f>
        <v>0</v>
      </c>
      <c r="E68" s="63">
        <f>SUM(E55:E67)</f>
        <v>2415800.51</v>
      </c>
      <c r="F68" s="64"/>
      <c r="G68" s="163">
        <f>SUM(G55:G67)</f>
        <v>2415800.51</v>
      </c>
      <c r="H68" s="63">
        <f>SUM(H55:H67)</f>
        <v>0</v>
      </c>
      <c r="I68" s="63">
        <f>SUM(I55:I67)</f>
        <v>1324407.75</v>
      </c>
      <c r="J68" s="64"/>
      <c r="K68" s="163">
        <f>SUM(K55:K67)</f>
        <v>1324407.75</v>
      </c>
      <c r="L68" s="8"/>
      <c r="M68" s="63">
        <f>SUM(M55:M67)</f>
        <v>10394.28</v>
      </c>
      <c r="N68" s="63">
        <f>SUM(N55:N67)</f>
        <v>2426194.79</v>
      </c>
      <c r="O68" s="8"/>
      <c r="P68" s="63">
        <f>SUM(P55:P67)</f>
        <v>5943.41</v>
      </c>
      <c r="Q68" s="63">
        <f>SUM(Q55:Q67)</f>
        <v>1330351.16</v>
      </c>
    </row>
    <row r="69" spans="2:17" ht="9.75" customHeight="1">
      <c r="B69" s="7"/>
      <c r="C69" s="7"/>
      <c r="D69" s="7"/>
      <c r="E69" s="7"/>
      <c r="F69" s="61"/>
      <c r="G69" s="7"/>
      <c r="H69" s="7"/>
      <c r="I69" s="7"/>
      <c r="J69" s="61"/>
      <c r="K69" s="7"/>
      <c r="L69" s="8"/>
      <c r="M69" s="7"/>
      <c r="N69" s="7"/>
      <c r="O69" s="8"/>
      <c r="P69" s="7"/>
      <c r="Q69" s="7"/>
    </row>
    <row r="70" spans="1:17" ht="12.75">
      <c r="A70" s="3" t="s">
        <v>7</v>
      </c>
      <c r="B70" s="7"/>
      <c r="C70" s="7"/>
      <c r="D70" s="7"/>
      <c r="E70" s="7"/>
      <c r="F70" s="61"/>
      <c r="G70" s="7"/>
      <c r="H70" s="7"/>
      <c r="I70" s="7"/>
      <c r="J70" s="61"/>
      <c r="K70" s="7"/>
      <c r="L70" s="8"/>
      <c r="M70" s="7"/>
      <c r="N70" s="7"/>
      <c r="O70" s="8"/>
      <c r="P70" s="7"/>
      <c r="Q70" s="7"/>
    </row>
    <row r="71" spans="1:17" ht="12.75">
      <c r="A71" s="2">
        <v>580</v>
      </c>
      <c r="B71" s="60">
        <f>SUMIF('Elec Labor'!A:A,A71,'Elec Labor'!G:G)</f>
        <v>897314.46</v>
      </c>
      <c r="C71" s="60">
        <f>SUMIF('Elec Labor'!A:A,A71,'Elec Labor'!C:C)+SUMIF('Elec Labor'!A:A,A71,'Elec Labor'!D:D)</f>
        <v>720569.54</v>
      </c>
      <c r="D71" s="60">
        <f>SUMIF('Elec Labor'!A:A,A71,'Elec Labor'!F:F)</f>
        <v>116573.75</v>
      </c>
      <c r="E71" s="7">
        <f>C71*$U$11</f>
        <v>481491.77</v>
      </c>
      <c r="F71" s="61"/>
      <c r="G71" s="7">
        <f aca="true" t="shared" si="32" ref="G71:G89">D71+E71+F71</f>
        <v>598065.52</v>
      </c>
      <c r="H71" s="60">
        <f>SUMIF('Elec Labor'!A:A,A71,'Elec Labor'!E:E)</f>
        <v>60171.17</v>
      </c>
      <c r="I71" s="7">
        <f aca="true" t="shared" si="33" ref="I71:I89">C71*$V$11</f>
        <v>239077.77</v>
      </c>
      <c r="J71" s="61"/>
      <c r="K71" s="7">
        <f aca="true" t="shared" si="34" ref="K71:K89">H71+I71+J71</f>
        <v>299248.94</v>
      </c>
      <c r="L71" s="8"/>
      <c r="M71" s="7">
        <f aca="true" t="shared" si="35" ref="M71:M89">ROUND(G71/(G$127-G$119)*G$119,2)</f>
        <v>2573.25</v>
      </c>
      <c r="N71" s="7">
        <f aca="true" t="shared" si="36" ref="N71:N89">G71+M71</f>
        <v>600638.77</v>
      </c>
      <c r="O71" s="8"/>
      <c r="P71" s="7">
        <f aca="true" t="shared" si="37" ref="P71:P89">ROUND(K71/(K$127-K$119)*K$119,2)</f>
        <v>1342.91</v>
      </c>
      <c r="Q71" s="7">
        <f aca="true" t="shared" si="38" ref="Q71:Q89">K71+P71</f>
        <v>300591.85</v>
      </c>
    </row>
    <row r="72" spans="1:17" ht="12.75">
      <c r="A72" s="2">
        <v>581</v>
      </c>
      <c r="B72" s="60">
        <f>SUMIF('Elec Labor'!A:A,A72,'Elec Labor'!G:G)</f>
        <v>0</v>
      </c>
      <c r="C72" s="60">
        <f>SUMIF('Elec Labor'!A:A,A72,'Elec Labor'!C:C)+SUMIF('Elec Labor'!A:A,A72,'Elec Labor'!D:D)</f>
        <v>0</v>
      </c>
      <c r="D72" s="60">
        <f>SUMIF('Elec Labor'!A:A,A72,'Elec Labor'!F:F)</f>
        <v>0</v>
      </c>
      <c r="E72" s="7">
        <f aca="true" t="shared" si="39" ref="E72:E89">C72*$U$11</f>
        <v>0</v>
      </c>
      <c r="F72" s="61"/>
      <c r="G72" s="7">
        <f t="shared" si="32"/>
        <v>0</v>
      </c>
      <c r="H72" s="60">
        <f>SUMIF('Elec Labor'!A:A,A72,'Elec Labor'!E:E)</f>
        <v>0</v>
      </c>
      <c r="I72" s="7">
        <f t="shared" si="33"/>
        <v>0</v>
      </c>
      <c r="J72" s="61"/>
      <c r="K72" s="7">
        <f t="shared" si="34"/>
        <v>0</v>
      </c>
      <c r="L72" s="8"/>
      <c r="M72" s="7">
        <f t="shared" si="35"/>
        <v>0</v>
      </c>
      <c r="N72" s="7">
        <f t="shared" si="36"/>
        <v>0</v>
      </c>
      <c r="O72" s="8"/>
      <c r="P72" s="7">
        <f t="shared" si="37"/>
        <v>0</v>
      </c>
      <c r="Q72" s="7">
        <f t="shared" si="38"/>
        <v>0</v>
      </c>
    </row>
    <row r="73" spans="1:17" ht="12.75">
      <c r="A73" s="2">
        <v>582</v>
      </c>
      <c r="B73" s="60">
        <f>SUMIF('Elec Labor'!A:A,A73,'Elec Labor'!G:G)</f>
        <v>315214.72</v>
      </c>
      <c r="C73" s="60">
        <f>SUMIF('Elec Labor'!A:A,A73,'Elec Labor'!C:C)+SUMIF('Elec Labor'!A:A,A73,'Elec Labor'!D:D)</f>
        <v>1485.56</v>
      </c>
      <c r="D73" s="60">
        <f>SUMIF('Elec Labor'!A:A,A73,'Elec Labor'!F:F)</f>
        <v>185856.25</v>
      </c>
      <c r="E73" s="7">
        <f t="shared" si="39"/>
        <v>992.67</v>
      </c>
      <c r="F73" s="61"/>
      <c r="G73" s="7">
        <f t="shared" si="32"/>
        <v>186848.92</v>
      </c>
      <c r="H73" s="60">
        <f>SUMIF('Elec Labor'!A:A,A73,'Elec Labor'!E:E)</f>
        <v>127872.91</v>
      </c>
      <c r="I73" s="7">
        <f t="shared" si="33"/>
        <v>492.89</v>
      </c>
      <c r="J73" s="61"/>
      <c r="K73" s="7">
        <f t="shared" si="34"/>
        <v>128365.8</v>
      </c>
      <c r="L73" s="8"/>
      <c r="M73" s="7">
        <f t="shared" si="35"/>
        <v>803.94</v>
      </c>
      <c r="N73" s="7">
        <f t="shared" si="36"/>
        <v>187652.86</v>
      </c>
      <c r="O73" s="8"/>
      <c r="P73" s="7">
        <f t="shared" si="37"/>
        <v>576.06</v>
      </c>
      <c r="Q73" s="7">
        <f t="shared" si="38"/>
        <v>128941.86</v>
      </c>
    </row>
    <row r="74" spans="1:17" ht="12.75">
      <c r="A74" s="2">
        <v>583</v>
      </c>
      <c r="B74" s="60">
        <f>SUMIF('Elec Labor'!A:A,A74,'Elec Labor'!G:G)</f>
        <v>1724428.68</v>
      </c>
      <c r="C74" s="60">
        <f>SUMIF('Elec Labor'!A:A,A74,'Elec Labor'!C:C)+SUMIF('Elec Labor'!A:A,A74,'Elec Labor'!D:D)</f>
        <v>765160.55</v>
      </c>
      <c r="D74" s="60">
        <f>SUMIF('Elec Labor'!A:A,A74,'Elec Labor'!F:F)</f>
        <v>584280</v>
      </c>
      <c r="E74" s="7">
        <f t="shared" si="39"/>
        <v>511287.93</v>
      </c>
      <c r="F74" s="61"/>
      <c r="G74" s="7">
        <f t="shared" si="32"/>
        <v>1095567.93</v>
      </c>
      <c r="H74" s="60">
        <f>SUMIF('Elec Labor'!A:A,A74,'Elec Labor'!E:E)</f>
        <v>374988.13</v>
      </c>
      <c r="I74" s="7">
        <f t="shared" si="33"/>
        <v>253872.62</v>
      </c>
      <c r="J74" s="61"/>
      <c r="K74" s="7">
        <f t="shared" si="34"/>
        <v>628860.75</v>
      </c>
      <c r="L74" s="8"/>
      <c r="M74" s="7">
        <f t="shared" si="35"/>
        <v>4713.82</v>
      </c>
      <c r="N74" s="7">
        <f t="shared" si="36"/>
        <v>1100281.75</v>
      </c>
      <c r="O74" s="8"/>
      <c r="P74" s="7">
        <f t="shared" si="37"/>
        <v>2822.08</v>
      </c>
      <c r="Q74" s="7">
        <f t="shared" si="38"/>
        <v>631682.83</v>
      </c>
    </row>
    <row r="75" spans="1:17" ht="12.75">
      <c r="A75" s="2">
        <v>584</v>
      </c>
      <c r="B75" s="60">
        <f>SUMIF('Elec Labor'!A:A,A75,'Elec Labor'!G:G)</f>
        <v>775767.6</v>
      </c>
      <c r="C75" s="60">
        <f>SUMIF('Elec Labor'!A:A,A75,'Elec Labor'!C:C)+SUMIF('Elec Labor'!A:A,A75,'Elec Labor'!D:D)</f>
        <v>0</v>
      </c>
      <c r="D75" s="60">
        <f>SUMIF('Elec Labor'!A:A,A75,'Elec Labor'!F:F)</f>
        <v>532971.72</v>
      </c>
      <c r="E75" s="7">
        <f t="shared" si="39"/>
        <v>0</v>
      </c>
      <c r="F75" s="61"/>
      <c r="G75" s="7">
        <f t="shared" si="32"/>
        <v>532971.72</v>
      </c>
      <c r="H75" s="60">
        <f>SUMIF('Elec Labor'!A:A,A75,'Elec Labor'!E:E)</f>
        <v>242795.88</v>
      </c>
      <c r="I75" s="7">
        <f t="shared" si="33"/>
        <v>0</v>
      </c>
      <c r="J75" s="61"/>
      <c r="K75" s="7">
        <f t="shared" si="34"/>
        <v>242795.88</v>
      </c>
      <c r="L75" s="8"/>
      <c r="M75" s="7">
        <f t="shared" si="35"/>
        <v>2293.18</v>
      </c>
      <c r="N75" s="7">
        <f t="shared" si="36"/>
        <v>535264.9</v>
      </c>
      <c r="O75" s="8"/>
      <c r="P75" s="7">
        <f t="shared" si="37"/>
        <v>1089.57</v>
      </c>
      <c r="Q75" s="7">
        <f t="shared" si="38"/>
        <v>243885.45</v>
      </c>
    </row>
    <row r="76" spans="1:17" ht="12.75">
      <c r="A76" s="2">
        <v>585</v>
      </c>
      <c r="B76" s="60">
        <f>SUMIF('Elec Labor'!A:A,A76,'Elec Labor'!G:G)</f>
        <v>93495.29</v>
      </c>
      <c r="C76" s="60">
        <f>SUMIF('Elec Labor'!A:A,A76,'Elec Labor'!C:C)+SUMIF('Elec Labor'!A:A,A76,'Elec Labor'!D:D)</f>
        <v>0</v>
      </c>
      <c r="D76" s="60">
        <f>SUMIF('Elec Labor'!A:A,A76,'Elec Labor'!F:F)</f>
        <v>18562.34</v>
      </c>
      <c r="E76" s="7">
        <f t="shared" si="39"/>
        <v>0</v>
      </c>
      <c r="F76" s="61"/>
      <c r="G76" s="7">
        <f t="shared" si="32"/>
        <v>18562.34</v>
      </c>
      <c r="H76" s="60">
        <f>SUMIF('Elec Labor'!A:A,A76,'Elec Labor'!E:E)</f>
        <v>74932.95</v>
      </c>
      <c r="I76" s="7">
        <f t="shared" si="33"/>
        <v>0</v>
      </c>
      <c r="J76" s="61"/>
      <c r="K76" s="7">
        <f t="shared" si="34"/>
        <v>74932.95</v>
      </c>
      <c r="L76" s="8"/>
      <c r="M76" s="7">
        <f t="shared" si="35"/>
        <v>79.87</v>
      </c>
      <c r="N76" s="7">
        <f t="shared" si="36"/>
        <v>18642.21</v>
      </c>
      <c r="O76" s="8"/>
      <c r="P76" s="7">
        <f t="shared" si="37"/>
        <v>336.27</v>
      </c>
      <c r="Q76" s="7">
        <f t="shared" si="38"/>
        <v>75269.22</v>
      </c>
    </row>
    <row r="77" spans="1:17" ht="12.75">
      <c r="A77" s="2">
        <v>586</v>
      </c>
      <c r="B77" s="60">
        <f>SUMIF('Elec Labor'!A:A,A77,'Elec Labor'!G:G)</f>
        <v>927858.36</v>
      </c>
      <c r="C77" s="60">
        <f>SUMIF('Elec Labor'!A:A,A77,'Elec Labor'!C:C)+SUMIF('Elec Labor'!A:A,A77,'Elec Labor'!D:D)</f>
        <v>0</v>
      </c>
      <c r="D77" s="60">
        <f>SUMIF('Elec Labor'!A:A,A77,'Elec Labor'!F:F)</f>
        <v>851636.95</v>
      </c>
      <c r="E77" s="7">
        <f t="shared" si="39"/>
        <v>0</v>
      </c>
      <c r="F77" s="61"/>
      <c r="G77" s="7">
        <f t="shared" si="32"/>
        <v>851636.95</v>
      </c>
      <c r="H77" s="60">
        <f>SUMIF('Elec Labor'!A:A,A77,'Elec Labor'!E:E)</f>
        <v>76221.41</v>
      </c>
      <c r="I77" s="7">
        <f t="shared" si="33"/>
        <v>0</v>
      </c>
      <c r="J77" s="61"/>
      <c r="K77" s="7">
        <f t="shared" si="34"/>
        <v>76221.41</v>
      </c>
      <c r="L77" s="8"/>
      <c r="M77" s="7">
        <f t="shared" si="35"/>
        <v>3664.27</v>
      </c>
      <c r="N77" s="7">
        <f t="shared" si="36"/>
        <v>855301.22</v>
      </c>
      <c r="O77" s="8"/>
      <c r="P77" s="7">
        <f t="shared" si="37"/>
        <v>342.05</v>
      </c>
      <c r="Q77" s="7">
        <f t="shared" si="38"/>
        <v>76563.46</v>
      </c>
    </row>
    <row r="78" spans="1:17" ht="12.75">
      <c r="A78" s="2">
        <v>587</v>
      </c>
      <c r="B78" s="60">
        <f>SUMIF('Elec Labor'!A:A,A78,'Elec Labor'!G:G)</f>
        <v>520101.34</v>
      </c>
      <c r="C78" s="60">
        <f>SUMIF('Elec Labor'!A:A,A78,'Elec Labor'!C:C)+SUMIF('Elec Labor'!A:A,A78,'Elec Labor'!D:D)</f>
        <v>0</v>
      </c>
      <c r="D78" s="60">
        <f>SUMIF('Elec Labor'!A:A,A78,'Elec Labor'!F:F)</f>
        <v>230974.07</v>
      </c>
      <c r="E78" s="7">
        <f t="shared" si="39"/>
        <v>0</v>
      </c>
      <c r="F78" s="61"/>
      <c r="G78" s="7">
        <f t="shared" si="32"/>
        <v>230974.07</v>
      </c>
      <c r="H78" s="60">
        <f>SUMIF('Elec Labor'!A:A,A78,'Elec Labor'!E:E)</f>
        <v>289127.27</v>
      </c>
      <c r="I78" s="7">
        <f t="shared" si="33"/>
        <v>0</v>
      </c>
      <c r="J78" s="61"/>
      <c r="K78" s="7">
        <f t="shared" si="34"/>
        <v>289127.27</v>
      </c>
      <c r="L78" s="8"/>
      <c r="M78" s="7">
        <f t="shared" si="35"/>
        <v>993.79</v>
      </c>
      <c r="N78" s="7">
        <f t="shared" si="36"/>
        <v>231967.86</v>
      </c>
      <c r="O78" s="8"/>
      <c r="P78" s="7">
        <f t="shared" si="37"/>
        <v>1297.49</v>
      </c>
      <c r="Q78" s="7">
        <f t="shared" si="38"/>
        <v>290424.76</v>
      </c>
    </row>
    <row r="79" spans="1:17" ht="12.75">
      <c r="A79" s="2">
        <v>588</v>
      </c>
      <c r="B79" s="60">
        <f>SUMIF('Elec Labor'!A:A,A79,'Elec Labor'!G:G)</f>
        <v>2896980.39</v>
      </c>
      <c r="C79" s="60">
        <f>SUMIF('Elec Labor'!A:A,A79,'Elec Labor'!C:C)+SUMIF('Elec Labor'!A:A,A79,'Elec Labor'!D:D)</f>
        <v>1287492.87</v>
      </c>
      <c r="D79" s="60">
        <f>SUMIF('Elec Labor'!A:A,A79,'Elec Labor'!F:F)</f>
        <v>1084078.16</v>
      </c>
      <c r="E79" s="7">
        <f t="shared" si="39"/>
        <v>860315.61</v>
      </c>
      <c r="F79" s="61"/>
      <c r="G79" s="7">
        <f t="shared" si="32"/>
        <v>1944393.77</v>
      </c>
      <c r="H79" s="60">
        <f>SUMIF('Elec Labor'!A:A,A79,'Elec Labor'!E:E)</f>
        <v>525409.36</v>
      </c>
      <c r="I79" s="7">
        <f t="shared" si="33"/>
        <v>427177.26</v>
      </c>
      <c r="J79" s="61"/>
      <c r="K79" s="7">
        <f t="shared" si="34"/>
        <v>952586.62</v>
      </c>
      <c r="L79" s="8"/>
      <c r="M79" s="7">
        <f t="shared" si="35"/>
        <v>8366</v>
      </c>
      <c r="N79" s="7">
        <f t="shared" si="36"/>
        <v>1952759.77</v>
      </c>
      <c r="O79" s="8"/>
      <c r="P79" s="7">
        <f t="shared" si="37"/>
        <v>4274.83</v>
      </c>
      <c r="Q79" s="7">
        <f t="shared" si="38"/>
        <v>956861.45</v>
      </c>
    </row>
    <row r="80" spans="1:17" ht="12.75">
      <c r="A80" s="2">
        <v>589</v>
      </c>
      <c r="B80" s="60">
        <f>SUMIF('Elec Labor'!A:A,A80,'Elec Labor'!G:G)</f>
        <v>1074.1</v>
      </c>
      <c r="C80" s="60">
        <f>SUMIF('Elec Labor'!A:A,A80,'Elec Labor'!C:C)+SUMIF('Elec Labor'!A:A,A80,'Elec Labor'!D:D)</f>
        <v>0</v>
      </c>
      <c r="D80" s="60">
        <f>SUMIF('Elec Labor'!A:A,A80,'Elec Labor'!F:F)</f>
        <v>945.32</v>
      </c>
      <c r="E80" s="7">
        <f t="shared" si="39"/>
        <v>0</v>
      </c>
      <c r="F80" s="61"/>
      <c r="G80" s="7">
        <f t="shared" si="32"/>
        <v>945.32</v>
      </c>
      <c r="H80" s="60">
        <f>SUMIF('Elec Labor'!A:A,A80,'Elec Labor'!E:E)</f>
        <v>128.78</v>
      </c>
      <c r="I80" s="7">
        <f t="shared" si="33"/>
        <v>0</v>
      </c>
      <c r="J80" s="61"/>
      <c r="K80" s="7">
        <f t="shared" si="34"/>
        <v>128.78</v>
      </c>
      <c r="L80" s="8"/>
      <c r="M80" s="7">
        <f t="shared" si="35"/>
        <v>4.07</v>
      </c>
      <c r="N80" s="7">
        <f t="shared" si="36"/>
        <v>949.39</v>
      </c>
      <c r="O80" s="8"/>
      <c r="P80" s="7">
        <f t="shared" si="37"/>
        <v>0.58</v>
      </c>
      <c r="Q80" s="7">
        <f t="shared" si="38"/>
        <v>129.36</v>
      </c>
    </row>
    <row r="81" spans="1:17" ht="12.75">
      <c r="A81" s="2">
        <v>590</v>
      </c>
      <c r="B81" s="60">
        <f>SUMIF('Elec Labor'!A:A,A81,'Elec Labor'!G:G)</f>
        <v>514609.9</v>
      </c>
      <c r="C81" s="60">
        <f>SUMIF('Elec Labor'!A:A,A81,'Elec Labor'!C:C)+SUMIF('Elec Labor'!A:A,A81,'Elec Labor'!D:D)</f>
        <v>173128.23</v>
      </c>
      <c r="D81" s="60">
        <f>SUMIF('Elec Labor'!A:A,A81,'Elec Labor'!F:F)</f>
        <v>225439.16</v>
      </c>
      <c r="E81" s="7">
        <f t="shared" si="39"/>
        <v>115686.01</v>
      </c>
      <c r="F81" s="61"/>
      <c r="G81" s="7">
        <f t="shared" si="32"/>
        <v>341125.17</v>
      </c>
      <c r="H81" s="60">
        <f>SUMIF('Elec Labor'!A:A,A81,'Elec Labor'!E:E)</f>
        <v>116042.51</v>
      </c>
      <c r="I81" s="7">
        <f t="shared" si="33"/>
        <v>57442.22</v>
      </c>
      <c r="J81" s="61"/>
      <c r="K81" s="7">
        <f t="shared" si="34"/>
        <v>173484.73</v>
      </c>
      <c r="L81" s="8"/>
      <c r="M81" s="7">
        <f t="shared" si="35"/>
        <v>1467.73</v>
      </c>
      <c r="N81" s="7">
        <f t="shared" si="36"/>
        <v>342592.9</v>
      </c>
      <c r="O81" s="8"/>
      <c r="P81" s="7">
        <f t="shared" si="37"/>
        <v>778.53</v>
      </c>
      <c r="Q81" s="7">
        <f t="shared" si="38"/>
        <v>174263.26</v>
      </c>
    </row>
    <row r="82" spans="1:17" ht="12.75">
      <c r="A82" s="2">
        <v>591</v>
      </c>
      <c r="B82" s="60">
        <f>SUMIF('Elec Labor'!A:A,A82,'Elec Labor'!G:G)</f>
        <v>66603.16</v>
      </c>
      <c r="C82" s="60">
        <f>SUMIF('Elec Labor'!A:A,A82,'Elec Labor'!C:C)+SUMIF('Elec Labor'!A:A,A82,'Elec Labor'!D:D)</f>
        <v>408.55</v>
      </c>
      <c r="D82" s="60">
        <f>SUMIF('Elec Labor'!A:A,A82,'Elec Labor'!F:F)</f>
        <v>48516.18</v>
      </c>
      <c r="E82" s="7">
        <f t="shared" si="39"/>
        <v>273</v>
      </c>
      <c r="F82" s="61"/>
      <c r="G82" s="7">
        <f t="shared" si="32"/>
        <v>48789.18</v>
      </c>
      <c r="H82" s="60">
        <f>SUMIF('Elec Labor'!A:A,A82,'Elec Labor'!E:E)</f>
        <v>17678.43</v>
      </c>
      <c r="I82" s="7">
        <f t="shared" si="33"/>
        <v>135.55</v>
      </c>
      <c r="J82" s="61"/>
      <c r="K82" s="7">
        <f t="shared" si="34"/>
        <v>17813.98</v>
      </c>
      <c r="L82" s="8"/>
      <c r="M82" s="7">
        <f t="shared" si="35"/>
        <v>209.92</v>
      </c>
      <c r="N82" s="7">
        <f t="shared" si="36"/>
        <v>48999.1</v>
      </c>
      <c r="O82" s="8"/>
      <c r="P82" s="7">
        <f t="shared" si="37"/>
        <v>79.94</v>
      </c>
      <c r="Q82" s="7">
        <f t="shared" si="38"/>
        <v>17893.92</v>
      </c>
    </row>
    <row r="83" spans="1:17" ht="12.75">
      <c r="A83" s="2">
        <v>592</v>
      </c>
      <c r="B83" s="60">
        <f>SUMIF('Elec Labor'!A:A,A83,'Elec Labor'!G:G)</f>
        <v>382268.26</v>
      </c>
      <c r="C83" s="60">
        <f>SUMIF('Elec Labor'!A:A,A83,'Elec Labor'!C:C)+SUMIF('Elec Labor'!A:A,A83,'Elec Labor'!D:D)</f>
        <v>140.59</v>
      </c>
      <c r="D83" s="60">
        <f>SUMIF('Elec Labor'!A:A,A83,'Elec Labor'!F:F)</f>
        <v>303641.84</v>
      </c>
      <c r="E83" s="7">
        <f t="shared" si="39"/>
        <v>93.94</v>
      </c>
      <c r="F83" s="61"/>
      <c r="G83" s="7">
        <f t="shared" si="32"/>
        <v>303735.78</v>
      </c>
      <c r="H83" s="60">
        <f>SUMIF('Elec Labor'!A:A,A83,'Elec Labor'!E:E)</f>
        <v>78485.83</v>
      </c>
      <c r="I83" s="7">
        <f t="shared" si="33"/>
        <v>46.65</v>
      </c>
      <c r="J83" s="61"/>
      <c r="K83" s="7">
        <f t="shared" si="34"/>
        <v>78532.48</v>
      </c>
      <c r="L83" s="8"/>
      <c r="M83" s="7">
        <f t="shared" si="35"/>
        <v>1306.86</v>
      </c>
      <c r="N83" s="7">
        <f t="shared" si="36"/>
        <v>305042.64</v>
      </c>
      <c r="O83" s="8"/>
      <c r="P83" s="7">
        <f t="shared" si="37"/>
        <v>352.42</v>
      </c>
      <c r="Q83" s="7">
        <f t="shared" si="38"/>
        <v>78884.9</v>
      </c>
    </row>
    <row r="84" spans="1:17" ht="12.75">
      <c r="A84" s="2">
        <v>593</v>
      </c>
      <c r="B84" s="60">
        <f>SUMIF('Elec Labor'!A:A,A84,'Elec Labor'!G:G)</f>
        <v>2196466.24</v>
      </c>
      <c r="C84" s="60">
        <f>SUMIF('Elec Labor'!A:A,A84,'Elec Labor'!C:C)+SUMIF('Elec Labor'!A:A,A84,'Elec Labor'!D:D)</f>
        <v>0</v>
      </c>
      <c r="D84" s="60">
        <f>SUMIF('Elec Labor'!A:A,A84,'Elec Labor'!F:F)</f>
        <v>1289402.1</v>
      </c>
      <c r="E84" s="7">
        <f t="shared" si="39"/>
        <v>0</v>
      </c>
      <c r="F84" s="61"/>
      <c r="G84" s="7">
        <f t="shared" si="32"/>
        <v>1289402.1</v>
      </c>
      <c r="H84" s="60">
        <f>SUMIF('Elec Labor'!A:A,A84,'Elec Labor'!E:E)</f>
        <v>907064.14</v>
      </c>
      <c r="I84" s="7">
        <f t="shared" si="33"/>
        <v>0</v>
      </c>
      <c r="J84" s="61"/>
      <c r="K84" s="7">
        <f t="shared" si="34"/>
        <v>907064.14</v>
      </c>
      <c r="L84" s="8"/>
      <c r="M84" s="7">
        <f t="shared" si="35"/>
        <v>5547.81</v>
      </c>
      <c r="N84" s="7">
        <f t="shared" si="36"/>
        <v>1294949.91</v>
      </c>
      <c r="O84" s="8"/>
      <c r="P84" s="7">
        <f t="shared" si="37"/>
        <v>4070.55</v>
      </c>
      <c r="Q84" s="7">
        <f t="shared" si="38"/>
        <v>911134.69</v>
      </c>
    </row>
    <row r="85" spans="1:17" ht="12.75">
      <c r="A85" s="2">
        <v>594</v>
      </c>
      <c r="B85" s="60">
        <f>SUMIF('Elec Labor'!A:A,A85,'Elec Labor'!G:G)</f>
        <v>625024.43</v>
      </c>
      <c r="C85" s="60">
        <f>SUMIF('Elec Labor'!A:A,A85,'Elec Labor'!C:C)+SUMIF('Elec Labor'!A:A,A85,'Elec Labor'!D:D)</f>
        <v>0</v>
      </c>
      <c r="D85" s="60">
        <f>SUMIF('Elec Labor'!A:A,A85,'Elec Labor'!F:F)</f>
        <v>441822.93</v>
      </c>
      <c r="E85" s="7">
        <f t="shared" si="39"/>
        <v>0</v>
      </c>
      <c r="F85" s="61"/>
      <c r="G85" s="7">
        <f t="shared" si="32"/>
        <v>441822.93</v>
      </c>
      <c r="H85" s="60">
        <f>SUMIF('Elec Labor'!A:A,A85,'Elec Labor'!E:E)</f>
        <v>183201.5</v>
      </c>
      <c r="I85" s="7">
        <f t="shared" si="33"/>
        <v>0</v>
      </c>
      <c r="J85" s="61"/>
      <c r="K85" s="7">
        <f t="shared" si="34"/>
        <v>183201.5</v>
      </c>
      <c r="L85" s="8"/>
      <c r="M85" s="7">
        <f t="shared" si="35"/>
        <v>1901</v>
      </c>
      <c r="N85" s="7">
        <f t="shared" si="36"/>
        <v>443723.93</v>
      </c>
      <c r="O85" s="8"/>
      <c r="P85" s="7">
        <f t="shared" si="37"/>
        <v>822.14</v>
      </c>
      <c r="Q85" s="7">
        <f t="shared" si="38"/>
        <v>184023.64</v>
      </c>
    </row>
    <row r="86" spans="1:17" ht="12.75">
      <c r="A86" s="2">
        <v>595</v>
      </c>
      <c r="B86" s="60">
        <f>SUMIF('Elec Labor'!A:A,A86,'Elec Labor'!G:G)</f>
        <v>376447.35</v>
      </c>
      <c r="C86" s="60">
        <f>SUMIF('Elec Labor'!A:A,A86,'Elec Labor'!C:C)+SUMIF('Elec Labor'!A:A,A86,'Elec Labor'!D:D)</f>
        <v>101632.37</v>
      </c>
      <c r="D86" s="60">
        <f>SUMIF('Elec Labor'!A:A,A86,'Elec Labor'!F:F)</f>
        <v>241314.45</v>
      </c>
      <c r="E86" s="7">
        <f t="shared" si="39"/>
        <v>67911.77</v>
      </c>
      <c r="F86" s="61"/>
      <c r="G86" s="7">
        <f t="shared" si="32"/>
        <v>309226.22</v>
      </c>
      <c r="H86" s="60">
        <f>SUMIF('Elec Labor'!A:A,A86,'Elec Labor'!E:E)</f>
        <v>33500.53</v>
      </c>
      <c r="I86" s="7">
        <f t="shared" si="33"/>
        <v>33720.6</v>
      </c>
      <c r="J86" s="61"/>
      <c r="K86" s="7">
        <f t="shared" si="34"/>
        <v>67221.13</v>
      </c>
      <c r="L86" s="8"/>
      <c r="M86" s="7">
        <f t="shared" si="35"/>
        <v>1330.48</v>
      </c>
      <c r="N86" s="7">
        <f t="shared" si="36"/>
        <v>310556.7</v>
      </c>
      <c r="O86" s="8"/>
      <c r="P86" s="7">
        <f t="shared" si="37"/>
        <v>301.66</v>
      </c>
      <c r="Q86" s="7">
        <f t="shared" si="38"/>
        <v>67522.79</v>
      </c>
    </row>
    <row r="87" spans="1:17" ht="12.75">
      <c r="A87" s="2">
        <v>596</v>
      </c>
      <c r="B87" s="60">
        <f>SUMIF('Elec Labor'!A:A,A87,'Elec Labor'!G:G)</f>
        <v>247462.34</v>
      </c>
      <c r="C87" s="60">
        <f>SUMIF('Elec Labor'!A:A,A87,'Elec Labor'!C:C)+SUMIF('Elec Labor'!A:A,A87,'Elec Labor'!D:D)</f>
        <v>0</v>
      </c>
      <c r="D87" s="60">
        <f>SUMIF('Elec Labor'!A:A,A87,'Elec Labor'!F:F)</f>
        <v>187014.82</v>
      </c>
      <c r="E87" s="7">
        <f t="shared" si="39"/>
        <v>0</v>
      </c>
      <c r="F87" s="61"/>
      <c r="G87" s="7">
        <f t="shared" si="32"/>
        <v>187014.82</v>
      </c>
      <c r="H87" s="60">
        <f>SUMIF('Elec Labor'!A:A,A87,'Elec Labor'!E:E)</f>
        <v>60447.52</v>
      </c>
      <c r="I87" s="7">
        <f t="shared" si="33"/>
        <v>0</v>
      </c>
      <c r="J87" s="61"/>
      <c r="K87" s="7">
        <f t="shared" si="34"/>
        <v>60447.52</v>
      </c>
      <c r="L87" s="8"/>
      <c r="M87" s="7">
        <f t="shared" si="35"/>
        <v>804.65</v>
      </c>
      <c r="N87" s="7">
        <f t="shared" si="36"/>
        <v>187819.47</v>
      </c>
      <c r="O87" s="8"/>
      <c r="P87" s="7">
        <f t="shared" si="37"/>
        <v>271.26</v>
      </c>
      <c r="Q87" s="7">
        <f t="shared" si="38"/>
        <v>60718.78</v>
      </c>
    </row>
    <row r="88" spans="1:17" ht="12.75">
      <c r="A88" s="2">
        <v>597</v>
      </c>
      <c r="B88" s="60">
        <f>SUMIF('Elec Labor'!A:A,A88,'Elec Labor'!G:G)</f>
        <v>88853.63</v>
      </c>
      <c r="C88" s="60">
        <f>SUMIF('Elec Labor'!A:A,A88,'Elec Labor'!C:C)+SUMIF('Elec Labor'!A:A,A88,'Elec Labor'!D:D)</f>
        <v>0</v>
      </c>
      <c r="D88" s="60">
        <f>SUMIF('Elec Labor'!A:A,A88,'Elec Labor'!F:F)</f>
        <v>55772.76</v>
      </c>
      <c r="E88" s="7">
        <f t="shared" si="39"/>
        <v>0</v>
      </c>
      <c r="F88" s="61"/>
      <c r="G88" s="7">
        <f t="shared" si="32"/>
        <v>55772.76</v>
      </c>
      <c r="H88" s="60">
        <f>SUMIF('Elec Labor'!A:A,A88,'Elec Labor'!E:E)</f>
        <v>33080.87</v>
      </c>
      <c r="I88" s="7">
        <f t="shared" si="33"/>
        <v>0</v>
      </c>
      <c r="J88" s="61"/>
      <c r="K88" s="7">
        <f t="shared" si="34"/>
        <v>33080.87</v>
      </c>
      <c r="L88" s="8"/>
      <c r="M88" s="7">
        <f t="shared" si="35"/>
        <v>239.97</v>
      </c>
      <c r="N88" s="7">
        <f t="shared" si="36"/>
        <v>56012.73</v>
      </c>
      <c r="O88" s="8"/>
      <c r="P88" s="7">
        <f t="shared" si="37"/>
        <v>148.45</v>
      </c>
      <c r="Q88" s="7">
        <f t="shared" si="38"/>
        <v>33229.32</v>
      </c>
    </row>
    <row r="89" spans="1:17" ht="12.75">
      <c r="A89" s="2">
        <v>598</v>
      </c>
      <c r="B89" s="60">
        <f>SUMIF('Elec Labor'!A:A,A89,'Elec Labor'!G:G)</f>
        <v>254798.1</v>
      </c>
      <c r="C89" s="60">
        <f>SUMIF('Elec Labor'!A:A,A89,'Elec Labor'!C:C)+SUMIF('Elec Labor'!A:A,A89,'Elec Labor'!D:D)</f>
        <v>0</v>
      </c>
      <c r="D89" s="60">
        <f>SUMIF('Elec Labor'!A:A,A89,'Elec Labor'!F:F)</f>
        <v>167046.61</v>
      </c>
      <c r="E89" s="7">
        <f t="shared" si="39"/>
        <v>0</v>
      </c>
      <c r="F89" s="61"/>
      <c r="G89" s="7">
        <f t="shared" si="32"/>
        <v>167046.61</v>
      </c>
      <c r="H89" s="60">
        <f>SUMIF('Elec Labor'!A:A,A89,'Elec Labor'!E:E)</f>
        <v>87751.49</v>
      </c>
      <c r="I89" s="7">
        <f t="shared" si="33"/>
        <v>0</v>
      </c>
      <c r="J89" s="61"/>
      <c r="K89" s="7">
        <f t="shared" si="34"/>
        <v>87751.49</v>
      </c>
      <c r="L89" s="8"/>
      <c r="M89" s="7">
        <f t="shared" si="35"/>
        <v>718.74</v>
      </c>
      <c r="N89" s="7">
        <f t="shared" si="36"/>
        <v>167765.35</v>
      </c>
      <c r="O89" s="8"/>
      <c r="P89" s="7">
        <f t="shared" si="37"/>
        <v>393.79</v>
      </c>
      <c r="Q89" s="7">
        <f t="shared" si="38"/>
        <v>88145.28</v>
      </c>
    </row>
    <row r="90" spans="1:17" ht="12.75">
      <c r="A90" s="3" t="s">
        <v>8</v>
      </c>
      <c r="B90" s="63">
        <f>SUM(B71:B89)</f>
        <v>12904768.35</v>
      </c>
      <c r="C90" s="163">
        <f>SUM(C71:C89)</f>
        <v>3050018.26</v>
      </c>
      <c r="D90" s="63">
        <f>SUM(D71:D89)</f>
        <v>6565849.41</v>
      </c>
      <c r="E90" s="63">
        <f>SUM(E71:E89)</f>
        <v>2038052.7</v>
      </c>
      <c r="F90" s="64"/>
      <c r="G90" s="163">
        <f>SUM(G71:G89)</f>
        <v>8603902.11</v>
      </c>
      <c r="H90" s="63">
        <f>SUM(H71:H89)</f>
        <v>3288900.68</v>
      </c>
      <c r="I90" s="63">
        <f>SUM(I71:I89)</f>
        <v>1011965.56</v>
      </c>
      <c r="J90" s="64"/>
      <c r="K90" s="163">
        <f>SUM(K71:K89)</f>
        <v>4300866.24</v>
      </c>
      <c r="L90" s="8"/>
      <c r="M90" s="63">
        <f>SUM(M71:M89)</f>
        <v>37019.35</v>
      </c>
      <c r="N90" s="63">
        <f>SUM(N71:N89)</f>
        <v>8640921.46</v>
      </c>
      <c r="O90" s="8"/>
      <c r="P90" s="63">
        <f>SUM(P71:P89)</f>
        <v>19300.58</v>
      </c>
      <c r="Q90" s="63">
        <f>SUM(Q71:Q89)</f>
        <v>4320166.82</v>
      </c>
    </row>
    <row r="91" spans="2:17" ht="12.75">
      <c r="B91" s="7"/>
      <c r="C91" s="7"/>
      <c r="D91" s="7"/>
      <c r="E91" s="7"/>
      <c r="F91" s="61"/>
      <c r="G91" s="7"/>
      <c r="H91" s="7"/>
      <c r="I91" s="7"/>
      <c r="J91" s="61"/>
      <c r="K91" s="7"/>
      <c r="L91" s="8"/>
      <c r="M91" s="7"/>
      <c r="N91" s="7"/>
      <c r="O91" s="8"/>
      <c r="P91" s="7"/>
      <c r="Q91" s="7"/>
    </row>
    <row r="92" spans="1:17" ht="12.75">
      <c r="A92" s="3" t="s">
        <v>9</v>
      </c>
      <c r="B92" s="7"/>
      <c r="C92" s="7"/>
      <c r="D92" s="7"/>
      <c r="E92" s="7"/>
      <c r="F92" s="61"/>
      <c r="G92" s="7"/>
      <c r="H92" s="7"/>
      <c r="I92" s="7"/>
      <c r="J92" s="61"/>
      <c r="K92" s="7"/>
      <c r="L92" s="8"/>
      <c r="M92" s="7"/>
      <c r="N92" s="7"/>
      <c r="O92" s="8"/>
      <c r="P92" s="7"/>
      <c r="Q92" s="7"/>
    </row>
    <row r="93" spans="1:17" ht="12.75">
      <c r="A93" s="2">
        <v>901</v>
      </c>
      <c r="B93" s="60">
        <f>SUMIF('Elec Labor'!A:A,A93,'Elec Labor'!G:G)</f>
        <v>334756.72</v>
      </c>
      <c r="C93" s="60">
        <f>SUMIF('Elec Labor'!A:A,A93,'Elec Labor'!C:C)+SUMIF('Elec Labor'!A:A,A93,'Elec Labor'!D:D)</f>
        <v>334756.72</v>
      </c>
      <c r="D93" s="60">
        <f>SUMIF('Elec Labor'!A:A,A93,'Elec Labor'!F:F)</f>
        <v>0</v>
      </c>
      <c r="E93" s="7">
        <f>C93*$U$10</f>
        <v>220129.32</v>
      </c>
      <c r="F93" s="61"/>
      <c r="G93" s="7">
        <f>D93+E93+F93</f>
        <v>220129.32</v>
      </c>
      <c r="H93" s="60">
        <f>SUMIF('Elec Labor'!A:A,A93,'Elec Labor'!E:E)</f>
        <v>0</v>
      </c>
      <c r="I93" s="7">
        <f>C93*$V$10</f>
        <v>114627.4</v>
      </c>
      <c r="J93" s="61"/>
      <c r="K93" s="7">
        <f>H93+I93+J93</f>
        <v>114627.4</v>
      </c>
      <c r="L93" s="8"/>
      <c r="M93" s="7">
        <f>ROUND(G93/(G$127-G$119)*G$119,2)</f>
        <v>947.13</v>
      </c>
      <c r="N93" s="7">
        <f>G93+M93</f>
        <v>221076.45</v>
      </c>
      <c r="O93" s="8"/>
      <c r="P93" s="7">
        <f>ROUND(K93/(K$127-K$119)*K$119,2)</f>
        <v>514.4</v>
      </c>
      <c r="Q93" s="7">
        <f>K93+P93</f>
        <v>115141.8</v>
      </c>
    </row>
    <row r="94" spans="1:17" ht="12.75">
      <c r="A94" s="2">
        <v>902</v>
      </c>
      <c r="B94" s="60">
        <f>SUMIF('Elec Labor'!A:A,A94,'Elec Labor'!G:G)</f>
        <v>1424735.73</v>
      </c>
      <c r="C94" s="60">
        <f>SUMIF('Elec Labor'!A:A,A94,'Elec Labor'!C:C)+SUMIF('Elec Labor'!A:A,A94,'Elec Labor'!D:D)</f>
        <v>0</v>
      </c>
      <c r="D94" s="60">
        <f>SUMIF('Elec Labor'!A:A,A94,'Elec Labor'!F:F)</f>
        <v>1246381.21</v>
      </c>
      <c r="E94" s="7">
        <f>C94*$U$10</f>
        <v>0</v>
      </c>
      <c r="F94" s="61"/>
      <c r="G94" s="7">
        <f>D94+E94+F94</f>
        <v>1246381.21</v>
      </c>
      <c r="H94" s="60">
        <f>SUMIF('Elec Labor'!A:A,A94,'Elec Labor'!E:E)</f>
        <v>178354.52</v>
      </c>
      <c r="I94" s="7">
        <f>C94*$V$10</f>
        <v>0</v>
      </c>
      <c r="J94" s="61"/>
      <c r="K94" s="7">
        <f>H94+I94+J94</f>
        <v>178354.52</v>
      </c>
      <c r="L94" s="8"/>
      <c r="M94" s="7">
        <f>ROUND(G94/(G$127-G$119)*G$119,2)</f>
        <v>5362.71</v>
      </c>
      <c r="N94" s="7">
        <f>G94+M94</f>
        <v>1251743.92</v>
      </c>
      <c r="O94" s="8"/>
      <c r="P94" s="7">
        <f>ROUND(K94/(K$127-K$119)*K$119,2)</f>
        <v>800.38</v>
      </c>
      <c r="Q94" s="7">
        <f>K94+P94</f>
        <v>179154.9</v>
      </c>
    </row>
    <row r="95" spans="1:17" ht="12.75">
      <c r="A95" s="2">
        <v>903</v>
      </c>
      <c r="B95" s="60">
        <f>SUMIF('Elec Labor'!A:A,A95,'Elec Labor'!G:G)</f>
        <v>3171221.11</v>
      </c>
      <c r="C95" s="60">
        <f>SUMIF('Elec Labor'!A:A,A95,'Elec Labor'!C:C)+SUMIF('Elec Labor'!A:A,A95,'Elec Labor'!D:D)</f>
        <v>2366284.42</v>
      </c>
      <c r="D95" s="60">
        <f>SUMIF('Elec Labor'!A:A,A95,'Elec Labor'!F:F)</f>
        <v>559859.47</v>
      </c>
      <c r="E95" s="7">
        <f>C95*$U$10</f>
        <v>1556021.31</v>
      </c>
      <c r="F95" s="61"/>
      <c r="G95" s="7">
        <f>D95+E95+F95</f>
        <v>2115880.78</v>
      </c>
      <c r="H95" s="60">
        <f>SUMIF('Elec Labor'!A:A,A95,'Elec Labor'!E:E)</f>
        <v>245077.22</v>
      </c>
      <c r="I95" s="7">
        <f>C95*$V$10</f>
        <v>810263.11</v>
      </c>
      <c r="J95" s="61"/>
      <c r="K95" s="7">
        <f>H95+I95+J95</f>
        <v>1055340.33</v>
      </c>
      <c r="L95" s="8"/>
      <c r="M95" s="7">
        <f>ROUND(G95/(G$127-G$119)*G$119,2)</f>
        <v>9103.84</v>
      </c>
      <c r="N95" s="7">
        <f>G95+M95</f>
        <v>2124984.62</v>
      </c>
      <c r="O95" s="8"/>
      <c r="P95" s="7">
        <f>ROUND(K95/(K$127-K$119)*K$119,2)</f>
        <v>4735.95</v>
      </c>
      <c r="Q95" s="7">
        <f>K95+P95</f>
        <v>1060076.28</v>
      </c>
    </row>
    <row r="96" spans="1:17" ht="12.75">
      <c r="A96" s="2">
        <v>905</v>
      </c>
      <c r="B96" s="60">
        <f>SUMIF('Elec Labor'!A:A,A96,'Elec Labor'!G:G)</f>
        <v>89654.22</v>
      </c>
      <c r="C96" s="60">
        <f>SUMIF('Elec Labor'!A:A,A96,'Elec Labor'!C:C)+SUMIF('Elec Labor'!A:A,A96,'Elec Labor'!D:D)</f>
        <v>89654.22</v>
      </c>
      <c r="D96" s="60">
        <f>SUMIF('Elec Labor'!A:A,A96,'Elec Labor'!F:F)</f>
        <v>0</v>
      </c>
      <c r="E96" s="7">
        <f>C96*$U$10</f>
        <v>58954.82</v>
      </c>
      <c r="F96" s="61"/>
      <c r="G96" s="7">
        <f>D96+E96+F96</f>
        <v>58954.82</v>
      </c>
      <c r="H96" s="60">
        <f>SUMIF('Elec Labor'!A:A,A96,'Elec Labor'!E:E)</f>
        <v>0</v>
      </c>
      <c r="I96" s="7">
        <f>C96*$V$10</f>
        <v>30699.4</v>
      </c>
      <c r="J96" s="61"/>
      <c r="K96" s="7">
        <f>H96+I96+J96</f>
        <v>30699.4</v>
      </c>
      <c r="L96" s="8"/>
      <c r="M96" s="7">
        <f>ROUND(G96/(G$127-G$119)*G$119,2)</f>
        <v>253.66</v>
      </c>
      <c r="N96" s="7">
        <f>G96+M96</f>
        <v>59208.48</v>
      </c>
      <c r="O96" s="8"/>
      <c r="P96" s="7">
        <f>ROUND(K96/(K$127-K$119)*K$119,2)</f>
        <v>137.77</v>
      </c>
      <c r="Q96" s="7">
        <f>K96+P96</f>
        <v>30837.17</v>
      </c>
    </row>
    <row r="97" spans="1:17" ht="12.75">
      <c r="A97" s="3" t="s">
        <v>10</v>
      </c>
      <c r="B97" s="63">
        <f>SUM(B93:B96)</f>
        <v>5020367.78</v>
      </c>
      <c r="C97" s="163">
        <f>SUM(C93:C96)</f>
        <v>2790695.36</v>
      </c>
      <c r="D97" s="63">
        <f>SUM(D93:D96)</f>
        <v>1806240.68</v>
      </c>
      <c r="E97" s="63">
        <f>SUM(E93:E96)</f>
        <v>1835105.45</v>
      </c>
      <c r="F97" s="64"/>
      <c r="G97" s="63">
        <f>SUM(G93:G96)</f>
        <v>3641346.13</v>
      </c>
      <c r="H97" s="63">
        <f>SUM(H93:H96)</f>
        <v>423431.74</v>
      </c>
      <c r="I97" s="63">
        <f>SUM(I93:I96)</f>
        <v>955589.91</v>
      </c>
      <c r="J97" s="64"/>
      <c r="K97" s="63">
        <f>SUM(K93:K96)</f>
        <v>1379021.65</v>
      </c>
      <c r="L97" s="8"/>
      <c r="M97" s="63">
        <f>SUM(M93:M96)</f>
        <v>15667.34</v>
      </c>
      <c r="N97" s="63">
        <f>SUM(N93:N96)</f>
        <v>3657013.47</v>
      </c>
      <c r="O97" s="8"/>
      <c r="P97" s="63">
        <f>SUM(P93:P96)</f>
        <v>6188.5</v>
      </c>
      <c r="Q97" s="63">
        <f>SUM(Q93:Q96)</f>
        <v>1385210.15</v>
      </c>
    </row>
    <row r="98" spans="2:17" ht="12.75">
      <c r="B98" s="7"/>
      <c r="C98" s="7"/>
      <c r="D98" s="7"/>
      <c r="E98" s="7"/>
      <c r="F98" s="61"/>
      <c r="G98" s="7"/>
      <c r="H98" s="7"/>
      <c r="I98" s="7"/>
      <c r="J98" s="61"/>
      <c r="K98" s="7"/>
      <c r="L98" s="8"/>
      <c r="M98" s="7"/>
      <c r="N98" s="7"/>
      <c r="O98" s="8"/>
      <c r="P98" s="7"/>
      <c r="Q98" s="7"/>
    </row>
    <row r="99" spans="1:17" ht="12.75">
      <c r="A99" s="3" t="s">
        <v>11</v>
      </c>
      <c r="B99" s="7"/>
      <c r="C99" s="7"/>
      <c r="D99" s="7"/>
      <c r="E99" s="7"/>
      <c r="F99" s="61"/>
      <c r="G99" s="7"/>
      <c r="H99" s="7"/>
      <c r="I99" s="7"/>
      <c r="J99" s="61"/>
      <c r="K99" s="7"/>
      <c r="L99" s="8"/>
      <c r="M99" s="7"/>
      <c r="N99" s="7"/>
      <c r="O99" s="8"/>
      <c r="P99" s="7"/>
      <c r="Q99" s="7"/>
    </row>
    <row r="100" spans="1:17" ht="12.75">
      <c r="A100" s="2">
        <v>907</v>
      </c>
      <c r="B100" s="60">
        <f>SUMIF('Elec Labor'!A:A,A100,'Elec Labor'!G:G)</f>
        <v>0</v>
      </c>
      <c r="C100" s="60">
        <f>SUMIF('Elec Labor'!A:A,A100,'Elec Labor'!C:C)+SUMIF('Elec Labor'!A:A,A100,'Elec Labor'!D:D)</f>
        <v>0</v>
      </c>
      <c r="D100" s="60">
        <f>SUMIF('Elec Labor'!A:A,A100,'Elec Labor'!F:F)</f>
        <v>0</v>
      </c>
      <c r="E100" s="7">
        <f>C100*$U$10</f>
        <v>0</v>
      </c>
      <c r="F100" s="61"/>
      <c r="G100" s="7">
        <f>D100+E100+F100</f>
        <v>0</v>
      </c>
      <c r="H100" s="60">
        <f>SUMIF('Elec Labor'!A:A,A100,'Elec Labor'!E:E)</f>
        <v>0</v>
      </c>
      <c r="I100" s="7">
        <f>C100*$V$10</f>
        <v>0</v>
      </c>
      <c r="J100" s="61"/>
      <c r="K100" s="7">
        <f>H100+I100+J100</f>
        <v>0</v>
      </c>
      <c r="L100" s="8"/>
      <c r="M100" s="7">
        <f>ROUND(G100/(G$127-G$119)*G$119,2)</f>
        <v>0</v>
      </c>
      <c r="N100" s="7">
        <f>G100+M100</f>
        <v>0</v>
      </c>
      <c r="O100" s="8"/>
      <c r="P100" s="7">
        <f>ROUND(K100/(K$127-K$119)*K$119,2)</f>
        <v>0</v>
      </c>
      <c r="Q100" s="7">
        <f>K100+P100</f>
        <v>0</v>
      </c>
    </row>
    <row r="101" spans="1:17" ht="12.75">
      <c r="A101" s="2">
        <v>908</v>
      </c>
      <c r="B101" s="60">
        <f>SUMIF('Elec Labor'!A:A,A101,'Elec Labor'!G:G)</f>
        <v>300972.23</v>
      </c>
      <c r="C101" s="60">
        <f>SUMIF('Elec Labor'!A:A,A101,'Elec Labor'!C:C)+SUMIF('Elec Labor'!A:A,A101,'Elec Labor'!D:D)</f>
        <v>300972.23</v>
      </c>
      <c r="D101" s="60">
        <f>SUMIF('Elec Labor'!A:A,A101,'Elec Labor'!F:F)</f>
        <v>0</v>
      </c>
      <c r="E101" s="7">
        <f>C101*$U$10</f>
        <v>197913.32</v>
      </c>
      <c r="F101" s="61"/>
      <c r="G101" s="7">
        <f>D101+E101+F101</f>
        <v>197913.32</v>
      </c>
      <c r="H101" s="60">
        <f>SUMIF('Elec Labor'!A:A,A101,'Elec Labor'!E:E)</f>
        <v>0</v>
      </c>
      <c r="I101" s="7">
        <f>C101*$V$10</f>
        <v>103058.91</v>
      </c>
      <c r="J101" s="61"/>
      <c r="K101" s="7">
        <f>H101+I101+J101</f>
        <v>103058.91</v>
      </c>
      <c r="L101" s="8"/>
      <c r="M101" s="7">
        <f>ROUND(G101/(G$127-G$119)*G$119,2)</f>
        <v>851.55</v>
      </c>
      <c r="N101" s="7">
        <f>G101+M101</f>
        <v>198764.87</v>
      </c>
      <c r="O101" s="8"/>
      <c r="P101" s="7">
        <f>ROUND(K101/(K$127-K$119)*K$119,2)</f>
        <v>462.49</v>
      </c>
      <c r="Q101" s="7">
        <f>K101+P101</f>
        <v>103521.4</v>
      </c>
    </row>
    <row r="102" spans="1:17" ht="12.75">
      <c r="A102" s="2">
        <v>909</v>
      </c>
      <c r="B102" s="60">
        <f>SUMIF('Elec Labor'!A:A,A102,'Elec Labor'!G:G)</f>
        <v>16076.35</v>
      </c>
      <c r="C102" s="60">
        <f>SUMIF('Elec Labor'!A:A,A102,'Elec Labor'!C:C)+SUMIF('Elec Labor'!A:A,A102,'Elec Labor'!D:D)</f>
        <v>16076.35</v>
      </c>
      <c r="D102" s="60">
        <f>SUMIF('Elec Labor'!A:A,A102,'Elec Labor'!F:F)</f>
        <v>0</v>
      </c>
      <c r="E102" s="7">
        <f>C102*$U$10</f>
        <v>10571.49</v>
      </c>
      <c r="F102" s="61"/>
      <c r="G102" s="7">
        <f>D102+E102+F102</f>
        <v>10571.49</v>
      </c>
      <c r="H102" s="60">
        <f>SUMIF('Elec Labor'!A:A,A102,'Elec Labor'!E:E)</f>
        <v>0</v>
      </c>
      <c r="I102" s="7">
        <f>C102*$V$10</f>
        <v>5504.86</v>
      </c>
      <c r="J102" s="61"/>
      <c r="K102" s="7">
        <f>H102+I102+J102</f>
        <v>5504.86</v>
      </c>
      <c r="L102" s="8"/>
      <c r="M102" s="7">
        <f>ROUND(G102/(G$127-G$119)*G$119,2)</f>
        <v>45.49</v>
      </c>
      <c r="N102" s="7">
        <f>G102+M102</f>
        <v>10616.98</v>
      </c>
      <c r="O102" s="8"/>
      <c r="P102" s="7">
        <f>ROUND(K102/(K$127-K$119)*K$119,2)</f>
        <v>24.7</v>
      </c>
      <c r="Q102" s="7">
        <f>K102+P102</f>
        <v>5529.56</v>
      </c>
    </row>
    <row r="103" spans="1:17" ht="12.75">
      <c r="A103" s="2">
        <v>910</v>
      </c>
      <c r="B103" s="60">
        <f>SUMIF('Elec Labor'!A:A,A103,'Elec Labor'!G:G)</f>
        <v>131.65</v>
      </c>
      <c r="C103" s="60">
        <f>SUMIF('Elec Labor'!A:A,A103,'Elec Labor'!C:C)+SUMIF('Elec Labor'!A:A,A103,'Elec Labor'!D:D)</f>
        <v>131.65</v>
      </c>
      <c r="D103" s="60">
        <f>SUMIF('Elec Labor'!A:A,A103,'Elec Labor'!F:F)</f>
        <v>0</v>
      </c>
      <c r="E103" s="7">
        <f>C103*$U$10</f>
        <v>86.57</v>
      </c>
      <c r="F103" s="61"/>
      <c r="G103" s="7">
        <f>D103+E103+F103</f>
        <v>86.57</v>
      </c>
      <c r="H103" s="60">
        <f>SUMIF('Elec Labor'!A:A,A103,'Elec Labor'!E:E)</f>
        <v>0</v>
      </c>
      <c r="I103" s="7">
        <f>C103*$V$10</f>
        <v>45.08</v>
      </c>
      <c r="J103" s="61"/>
      <c r="K103" s="7">
        <f>H103+I103+J103</f>
        <v>45.08</v>
      </c>
      <c r="L103" s="8"/>
      <c r="M103" s="7">
        <f>ROUND(G103/(G$127-G$119)*G$119,2)</f>
        <v>0.37</v>
      </c>
      <c r="N103" s="7">
        <f>G103+M103</f>
        <v>86.94</v>
      </c>
      <c r="O103" s="8"/>
      <c r="P103" s="7">
        <f>ROUND(K103/(K$127-K$119)*K$119,2)</f>
        <v>0.2</v>
      </c>
      <c r="Q103" s="7">
        <f>K103+P103</f>
        <v>45.28</v>
      </c>
    </row>
    <row r="104" spans="1:17" ht="12.75">
      <c r="A104" s="3" t="s">
        <v>12</v>
      </c>
      <c r="B104" s="63">
        <f>SUM(B100:B103)</f>
        <v>317180.23</v>
      </c>
      <c r="C104" s="163">
        <f>SUM(C100:C103)</f>
        <v>317180.23</v>
      </c>
      <c r="D104" s="63">
        <f>SUM(D100:D103)</f>
        <v>0</v>
      </c>
      <c r="E104" s="63">
        <f>SUM(E100:E103)</f>
        <v>208571.38</v>
      </c>
      <c r="F104" s="64"/>
      <c r="G104" s="63">
        <f>SUM(G100:G103)</f>
        <v>208571.38</v>
      </c>
      <c r="H104" s="63">
        <f>SUM(H100:H103)</f>
        <v>0</v>
      </c>
      <c r="I104" s="63">
        <f>SUM(I100:I103)</f>
        <v>108608.85</v>
      </c>
      <c r="J104" s="64"/>
      <c r="K104" s="63">
        <f>SUM(K100:K103)</f>
        <v>108608.85</v>
      </c>
      <c r="L104" s="8"/>
      <c r="M104" s="63">
        <f>SUM(M100:M103)</f>
        <v>897.41</v>
      </c>
      <c r="N104" s="63">
        <f>SUM(N100:N103)</f>
        <v>209468.79</v>
      </c>
      <c r="O104" s="8"/>
      <c r="P104" s="63">
        <f>SUM(P100:P103)</f>
        <v>487.39</v>
      </c>
      <c r="Q104" s="63">
        <f>SUM(Q100:Q103)</f>
        <v>109096.24</v>
      </c>
    </row>
    <row r="105" spans="2:17" ht="12.75">
      <c r="B105" s="7"/>
      <c r="C105" s="7"/>
      <c r="D105" s="7"/>
      <c r="E105" s="7"/>
      <c r="F105" s="61"/>
      <c r="G105" s="7"/>
      <c r="H105" s="7"/>
      <c r="I105" s="7"/>
      <c r="J105" s="61"/>
      <c r="K105" s="7"/>
      <c r="L105" s="8"/>
      <c r="M105" s="7"/>
      <c r="N105" s="7"/>
      <c r="O105" s="8"/>
      <c r="P105" s="7"/>
      <c r="Q105" s="7"/>
    </row>
    <row r="106" spans="1:17" ht="12.75">
      <c r="A106" s="3" t="s">
        <v>13</v>
      </c>
      <c r="B106" s="7"/>
      <c r="C106" s="7"/>
      <c r="D106" s="7"/>
      <c r="E106" s="7"/>
      <c r="F106" s="61"/>
      <c r="G106" s="7"/>
      <c r="H106" s="7"/>
      <c r="I106" s="7"/>
      <c r="J106" s="61"/>
      <c r="K106" s="7"/>
      <c r="L106" s="8"/>
      <c r="M106" s="7"/>
      <c r="N106" s="7"/>
      <c r="O106" s="8"/>
      <c r="P106" s="7"/>
      <c r="Q106" s="7"/>
    </row>
    <row r="107" spans="1:17" ht="12.75">
      <c r="A107" s="2">
        <v>911</v>
      </c>
      <c r="B107" s="60">
        <f>SUMIF('Elec Labor'!A:A,A107,'Elec Labor'!G:G)</f>
        <v>0</v>
      </c>
      <c r="C107" s="60">
        <f>SUMIF('Elec Labor'!A:A,A107,'Elec Labor'!C:C)+SUMIF('Elec Labor'!A:A,A107,'Elec Labor'!D:D)</f>
        <v>0</v>
      </c>
      <c r="D107" s="60">
        <f>SUMIF('Elec Labor'!A:A,A107,'Elec Labor'!F:F)</f>
        <v>0</v>
      </c>
      <c r="E107" s="7">
        <f>C107*$U$10</f>
        <v>0</v>
      </c>
      <c r="F107" s="61"/>
      <c r="G107" s="7">
        <f>D107+E107+F107</f>
        <v>0</v>
      </c>
      <c r="H107" s="60">
        <f>SUMIF('Elec Labor'!A:A,A107,'Elec Labor'!E:E)</f>
        <v>0</v>
      </c>
      <c r="I107" s="7">
        <f>C107*$V$10</f>
        <v>0</v>
      </c>
      <c r="J107" s="61"/>
      <c r="K107" s="7">
        <f>H107+I107+J107</f>
        <v>0</v>
      </c>
      <c r="L107" s="8"/>
      <c r="M107" s="7">
        <f>ROUND(G107/(G$127-G$119)*G$119,2)</f>
        <v>0</v>
      </c>
      <c r="N107" s="7">
        <f>G107+M107</f>
        <v>0</v>
      </c>
      <c r="O107" s="8"/>
      <c r="P107" s="7">
        <f>ROUND(K107/(K$127-K$119)*K$119,2)</f>
        <v>0</v>
      </c>
      <c r="Q107" s="7">
        <f>K107+P107</f>
        <v>0</v>
      </c>
    </row>
    <row r="108" spans="1:17" ht="12.75">
      <c r="A108" s="2">
        <v>912</v>
      </c>
      <c r="B108" s="60">
        <f>SUMIF('Elec Labor'!A:A,A108,'Elec Labor'!G:G)</f>
        <v>282553.02</v>
      </c>
      <c r="C108" s="60">
        <f>SUMIF('Elec Labor'!A:A,A108,'Elec Labor'!C:C)+SUMIF('Elec Labor'!A:A,A108,'Elec Labor'!D:D)</f>
        <v>272520.32</v>
      </c>
      <c r="D108" s="60">
        <f>SUMIF('Elec Labor'!A:A,A108,'Elec Labor'!F:F)</f>
        <v>0</v>
      </c>
      <c r="E108" s="7">
        <f>C108*$U$10</f>
        <v>179203.91</v>
      </c>
      <c r="F108" s="61"/>
      <c r="G108" s="7">
        <f>D108+E108+F108</f>
        <v>179203.91</v>
      </c>
      <c r="H108" s="60">
        <f>SUMIF('Elec Labor'!A:A,A108,'Elec Labor'!E:E)</f>
        <v>10032.7</v>
      </c>
      <c r="I108" s="7">
        <f>C108*$V$10</f>
        <v>93316.41</v>
      </c>
      <c r="J108" s="61"/>
      <c r="K108" s="7">
        <f>H108+I108+J108</f>
        <v>103349.11</v>
      </c>
      <c r="L108" s="8"/>
      <c r="M108" s="7">
        <f>ROUND(G108/(G$127-G$119)*G$119,2)</f>
        <v>771.05</v>
      </c>
      <c r="N108" s="7">
        <f>G108+M108</f>
        <v>179974.96</v>
      </c>
      <c r="O108" s="8"/>
      <c r="P108" s="7">
        <f>ROUND(K108/(K$127-K$119)*K$119,2)</f>
        <v>463.79</v>
      </c>
      <c r="Q108" s="7">
        <f>K108+P108</f>
        <v>103812.9</v>
      </c>
    </row>
    <row r="109" spans="1:17" ht="12.75">
      <c r="A109" s="2">
        <v>913</v>
      </c>
      <c r="B109" s="60">
        <f>SUMIF('Elec Labor'!A:A,A109,'Elec Labor'!G:G)</f>
        <v>0</v>
      </c>
      <c r="C109" s="60">
        <f>SUMIF('Elec Labor'!A:A,A109,'Elec Labor'!C:C)+SUMIF('Elec Labor'!A:A,A109,'Elec Labor'!D:D)</f>
        <v>0</v>
      </c>
      <c r="D109" s="60">
        <f>SUMIF('Elec Labor'!A:A,A109,'Elec Labor'!F:F)</f>
        <v>0</v>
      </c>
      <c r="E109" s="7">
        <f>C109*$U$10</f>
        <v>0</v>
      </c>
      <c r="F109" s="61"/>
      <c r="G109" s="7">
        <f>D109+E109+F109</f>
        <v>0</v>
      </c>
      <c r="H109" s="60">
        <f>SUMIF('Elec Labor'!A:A,A109,'Elec Labor'!E:E)</f>
        <v>0</v>
      </c>
      <c r="I109" s="7">
        <f>C109*$V$10</f>
        <v>0</v>
      </c>
      <c r="J109" s="61"/>
      <c r="K109" s="7">
        <f>H109+I109+J109</f>
        <v>0</v>
      </c>
      <c r="L109" s="8"/>
      <c r="M109" s="7">
        <f>ROUND(G109/(G$127-G$119)*G$119,2)</f>
        <v>0</v>
      </c>
      <c r="N109" s="7">
        <f>G109+M109</f>
        <v>0</v>
      </c>
      <c r="O109" s="8"/>
      <c r="P109" s="7">
        <f>ROUND(K109/(K$127-K$119)*K$119,2)</f>
        <v>0</v>
      </c>
      <c r="Q109" s="7">
        <f>K109+P109</f>
        <v>0</v>
      </c>
    </row>
    <row r="110" spans="1:17" ht="12.75">
      <c r="A110" s="2">
        <v>916</v>
      </c>
      <c r="B110" s="60">
        <f>SUMIF('Elec Labor'!A:A,A110,'Elec Labor'!G:G)</f>
        <v>145826.82</v>
      </c>
      <c r="C110" s="60">
        <f>SUMIF('Elec Labor'!A:A,A110,'Elec Labor'!C:C)+SUMIF('Elec Labor'!A:A,A110,'Elec Labor'!D:D)</f>
        <v>0</v>
      </c>
      <c r="D110" s="60">
        <f>SUMIF('Elec Labor'!A:A,A110,'Elec Labor'!F:F)</f>
        <v>145826.82</v>
      </c>
      <c r="E110" s="7">
        <f>C110*$U$10</f>
        <v>0</v>
      </c>
      <c r="F110" s="61"/>
      <c r="G110" s="7">
        <f>D110+E110+F110</f>
        <v>145826.82</v>
      </c>
      <c r="H110" s="60">
        <f>SUMIF('Elec Labor'!A:A,A110,'Elec Labor'!E:E)</f>
        <v>0</v>
      </c>
      <c r="I110" s="7">
        <f>C110*$V$10</f>
        <v>0</v>
      </c>
      <c r="J110" s="61"/>
      <c r="K110" s="7">
        <f>H110+I110+J110</f>
        <v>0</v>
      </c>
      <c r="L110" s="8"/>
      <c r="M110" s="7">
        <f>ROUND(G110/(G$127-G$119)*G$119,2)</f>
        <v>627.44</v>
      </c>
      <c r="N110" s="7">
        <f>G110+M110</f>
        <v>146454.26</v>
      </c>
      <c r="O110" s="8"/>
      <c r="P110" s="7">
        <f>ROUND(K110/(K$127-K$119)*K$119,2)</f>
        <v>0</v>
      </c>
      <c r="Q110" s="7">
        <f>K110+P110</f>
        <v>0</v>
      </c>
    </row>
    <row r="111" spans="1:17" ht="12.75">
      <c r="A111" s="3" t="s">
        <v>14</v>
      </c>
      <c r="B111" s="63">
        <f>SUM(B107:B110)</f>
        <v>428379.84</v>
      </c>
      <c r="C111" s="163">
        <f>SUM(C107:C110)</f>
        <v>272520.32</v>
      </c>
      <c r="D111" s="63">
        <f>SUM(D107:D110)</f>
        <v>145826.82</v>
      </c>
      <c r="E111" s="63">
        <f>SUM(E107:E110)</f>
        <v>179203.91</v>
      </c>
      <c r="F111" s="63"/>
      <c r="G111" s="63">
        <f>SUM(G107:G110)</f>
        <v>325030.73</v>
      </c>
      <c r="H111" s="63">
        <f>SUM(H107:H110)</f>
        <v>10032.7</v>
      </c>
      <c r="I111" s="63">
        <f>SUM(I107:I110)</f>
        <v>93316.41</v>
      </c>
      <c r="J111" s="63"/>
      <c r="K111" s="63">
        <f>SUM(K107:K110)</f>
        <v>103349.11</v>
      </c>
      <c r="L111" s="8"/>
      <c r="M111" s="63">
        <f>SUM(M107:M110)</f>
        <v>1398.49</v>
      </c>
      <c r="N111" s="63">
        <f>SUM(N107:N110)</f>
        <v>326429.22</v>
      </c>
      <c r="O111" s="63"/>
      <c r="P111" s="63">
        <f>SUM(P107:P110)</f>
        <v>463.79</v>
      </c>
      <c r="Q111" s="63">
        <f>SUM(Q107:Q110)</f>
        <v>103812.9</v>
      </c>
    </row>
    <row r="112" spans="2:17" ht="12.75">
      <c r="B112" s="7"/>
      <c r="C112" s="7"/>
      <c r="D112" s="7"/>
      <c r="E112" s="7"/>
      <c r="F112" s="61"/>
      <c r="G112" s="7"/>
      <c r="H112" s="7"/>
      <c r="I112" s="7"/>
      <c r="J112" s="61"/>
      <c r="K112" s="7"/>
      <c r="L112" s="8"/>
      <c r="M112" s="7"/>
      <c r="N112" s="7"/>
      <c r="O112" s="8"/>
      <c r="P112" s="7"/>
      <c r="Q112" s="7"/>
    </row>
    <row r="113" spans="1:17" ht="12.75">
      <c r="A113" s="3" t="s">
        <v>15</v>
      </c>
      <c r="B113" s="7"/>
      <c r="C113" s="7"/>
      <c r="D113" s="7"/>
      <c r="E113" s="7"/>
      <c r="F113" s="61"/>
      <c r="G113" s="7"/>
      <c r="H113" s="7"/>
      <c r="I113" s="7"/>
      <c r="J113" s="61"/>
      <c r="K113" s="7"/>
      <c r="L113" s="8"/>
      <c r="M113" s="7"/>
      <c r="N113" s="7"/>
      <c r="O113" s="8"/>
      <c r="P113" s="7"/>
      <c r="Q113" s="7"/>
    </row>
    <row r="114" spans="1:17" ht="12.75">
      <c r="A114" s="2">
        <v>920</v>
      </c>
      <c r="B114" s="60">
        <f>SUMIF('Elec Labor'!A:A,A114,'Elec Labor'!G:G)</f>
        <v>10973658.14</v>
      </c>
      <c r="C114" s="60">
        <f>SUMIF('Elec Labor'!A:A,A114,'Elec Labor'!C:C)+SUMIF('Elec Labor'!A:A,A114,'Elec Labor'!D:D)</f>
        <v>10807247.79</v>
      </c>
      <c r="D114" s="60">
        <f>SUMIF('Elec Labor'!A:A,A114,'Elec Labor'!F:F)</f>
        <v>115171.37</v>
      </c>
      <c r="E114" s="7">
        <f aca="true" t="shared" si="40" ref="E114:E120">C114*$U$12</f>
        <v>7035194.09</v>
      </c>
      <c r="F114" s="61"/>
      <c r="G114" s="7">
        <f aca="true" t="shared" si="41" ref="G114:G124">D114+E114+F114</f>
        <v>7150365.46</v>
      </c>
      <c r="H114" s="60">
        <f>SUMIF('Elec Labor'!A:A,A114,'Elec Labor'!E:E)</f>
        <v>51238.98</v>
      </c>
      <c r="I114" s="7">
        <f aca="true" t="shared" si="42" ref="I114:I120">C114*$V$12</f>
        <v>3772053.7</v>
      </c>
      <c r="J114" s="61"/>
      <c r="K114" s="7">
        <f aca="true" t="shared" si="43" ref="K114:K124">H114+I114+J114</f>
        <v>3823292.68</v>
      </c>
      <c r="L114" s="8"/>
      <c r="M114" s="7">
        <f>ROUND(G114/(G$127-G$119)*G$119,2)+0.02</f>
        <v>30765.36</v>
      </c>
      <c r="N114" s="7">
        <f aca="true" t="shared" si="44" ref="N114:N124">G114+M114</f>
        <v>7181130.82</v>
      </c>
      <c r="O114" s="8"/>
      <c r="P114" s="7">
        <f>ROUND(K114/(K$127-K$119)*K$119,2)+0.06</f>
        <v>17157.49</v>
      </c>
      <c r="Q114" s="7">
        <f aca="true" t="shared" si="45" ref="Q114:Q124">K114+P114</f>
        <v>3840450.17</v>
      </c>
    </row>
    <row r="115" spans="1:17" ht="12.75">
      <c r="A115" s="2">
        <v>921</v>
      </c>
      <c r="B115" s="60">
        <f>SUMIF('Elec Labor'!A:A,A115,'Elec Labor'!G:G)</f>
        <v>31341.6</v>
      </c>
      <c r="C115" s="60">
        <f>SUMIF('Elec Labor'!A:A,A115,'Elec Labor'!C:C)+SUMIF('Elec Labor'!A:A,A115,'Elec Labor'!D:D)</f>
        <v>31341.6</v>
      </c>
      <c r="D115" s="60">
        <f>SUMIF('Elec Labor'!A:A,A115,'Elec Labor'!F:F)</f>
        <v>0</v>
      </c>
      <c r="E115" s="7">
        <f t="shared" si="40"/>
        <v>20402.44</v>
      </c>
      <c r="F115" s="61"/>
      <c r="G115" s="7">
        <f t="shared" si="41"/>
        <v>20402.44</v>
      </c>
      <c r="H115" s="60">
        <f>SUMIF('Elec Labor'!A:A,A115,'Elec Labor'!E:E)</f>
        <v>0</v>
      </c>
      <c r="I115" s="7">
        <f t="shared" si="42"/>
        <v>10939.16</v>
      </c>
      <c r="J115" s="61"/>
      <c r="K115" s="7">
        <f t="shared" si="43"/>
        <v>10939.16</v>
      </c>
      <c r="L115" s="8"/>
      <c r="M115" s="7">
        <f>ROUND(G115/(G$127-G$119)*G$119,2)</f>
        <v>87.78</v>
      </c>
      <c r="N115" s="7">
        <f t="shared" si="44"/>
        <v>20490.22</v>
      </c>
      <c r="O115" s="8"/>
      <c r="P115" s="7">
        <f>ROUND(K115/(K$127-K$119)*K$119,2)</f>
        <v>49.09</v>
      </c>
      <c r="Q115" s="7">
        <f t="shared" si="45"/>
        <v>10988.25</v>
      </c>
    </row>
    <row r="116" spans="1:17" ht="12.75">
      <c r="A116" s="2">
        <v>923</v>
      </c>
      <c r="B116" s="60">
        <f>SUMIF('Elec Labor'!A:A,A116,'Elec Labor'!G:G)</f>
        <v>2659.63</v>
      </c>
      <c r="C116" s="60">
        <f>SUMIF('Elec Labor'!A:A,A116,'Elec Labor'!C:C)+SUMIF('Elec Labor'!A:A,A116,'Elec Labor'!D:D)</f>
        <v>2659.63</v>
      </c>
      <c r="D116" s="60">
        <f>SUMIF('Elec Labor'!A:A,A116,'Elec Labor'!F:F)</f>
        <v>0</v>
      </c>
      <c r="E116" s="7">
        <f t="shared" si="40"/>
        <v>1731.34</v>
      </c>
      <c r="F116" s="61"/>
      <c r="G116" s="7">
        <f t="shared" si="41"/>
        <v>1731.34</v>
      </c>
      <c r="H116" s="60">
        <f>SUMIF('Elec Labor'!A:A,A116,'Elec Labor'!E:E)</f>
        <v>0</v>
      </c>
      <c r="I116" s="7">
        <f t="shared" si="42"/>
        <v>928.29</v>
      </c>
      <c r="J116" s="61"/>
      <c r="K116" s="7">
        <f t="shared" si="43"/>
        <v>928.29</v>
      </c>
      <c r="L116" s="8"/>
      <c r="M116" s="7">
        <f>ROUND(G116/(G$127-G$119)*G$119,2)</f>
        <v>7.45</v>
      </c>
      <c r="N116" s="7">
        <f t="shared" si="44"/>
        <v>1738.79</v>
      </c>
      <c r="O116" s="8"/>
      <c r="P116" s="7">
        <f>ROUND(K116/(K$127-K$119)*K$119,2)</f>
        <v>4.17</v>
      </c>
      <c r="Q116" s="7">
        <f t="shared" si="45"/>
        <v>932.46</v>
      </c>
    </row>
    <row r="117" spans="1:17" ht="12.75">
      <c r="A117" s="2">
        <v>924</v>
      </c>
      <c r="B117" s="60">
        <f>SUMIF('Elec Labor'!A:A,A117,'Elec Labor'!G:G)</f>
        <v>0</v>
      </c>
      <c r="C117" s="60">
        <f>SUMIF('Elec Labor'!A:A,A117,'Elec Labor'!C:C)+SUMIF('Elec Labor'!A:A,A117,'Elec Labor'!D:D)</f>
        <v>0</v>
      </c>
      <c r="D117" s="60">
        <f>SUMIF('Elec Labor'!A:A,A117,'Elec Labor'!F:F)</f>
        <v>0</v>
      </c>
      <c r="E117" s="7">
        <f t="shared" si="40"/>
        <v>0</v>
      </c>
      <c r="F117" s="61"/>
      <c r="G117" s="7">
        <f t="shared" si="41"/>
        <v>0</v>
      </c>
      <c r="H117" s="60">
        <f>SUMIF('Elec Labor'!A:A,A117,'Elec Labor'!E:E)</f>
        <v>0</v>
      </c>
      <c r="I117" s="7">
        <f t="shared" si="42"/>
        <v>0</v>
      </c>
      <c r="J117" s="61"/>
      <c r="K117" s="7">
        <f t="shared" si="43"/>
        <v>0</v>
      </c>
      <c r="L117" s="8"/>
      <c r="M117" s="7">
        <f>ROUND(G117/(G$127-G$119)*G$119,2)</f>
        <v>0</v>
      </c>
      <c r="N117" s="7">
        <f t="shared" si="44"/>
        <v>0</v>
      </c>
      <c r="O117" s="8"/>
      <c r="P117" s="7">
        <f>ROUND(K117/(K$127-K$119)*K$119,2)</f>
        <v>0</v>
      </c>
      <c r="Q117" s="7">
        <f t="shared" si="45"/>
        <v>0</v>
      </c>
    </row>
    <row r="118" spans="1:17" ht="12.75">
      <c r="A118" s="2">
        <v>925</v>
      </c>
      <c r="B118" s="60">
        <f>SUMIF('Elec Labor'!A:A,A118,'Elec Labor'!G:G)</f>
        <v>184331.3</v>
      </c>
      <c r="C118" s="60">
        <f>SUMIF('Elec Labor'!A:A,A118,'Elec Labor'!C:C)+SUMIF('Elec Labor'!A:A,A118,'Elec Labor'!D:D)</f>
        <v>183446.73</v>
      </c>
      <c r="D118" s="60">
        <f>SUMIF('Elec Labor'!A:A,A118,'Elec Labor'!F:F)</f>
        <v>884.57</v>
      </c>
      <c r="E118" s="7">
        <f t="shared" si="40"/>
        <v>119418.32</v>
      </c>
      <c r="F118" s="61"/>
      <c r="G118" s="7">
        <f t="shared" si="41"/>
        <v>120302.89</v>
      </c>
      <c r="H118" s="60">
        <f>SUMIF('Elec Labor'!A:A,A118,'Elec Labor'!E:E)</f>
        <v>0</v>
      </c>
      <c r="I118" s="7">
        <f t="shared" si="42"/>
        <v>64028.41</v>
      </c>
      <c r="J118" s="61"/>
      <c r="K118" s="7">
        <f t="shared" si="43"/>
        <v>64028.41</v>
      </c>
      <c r="L118" s="8"/>
      <c r="M118" s="7">
        <f>ROUND(G118/(G$127-G$119)*G$119,2)</f>
        <v>517.62</v>
      </c>
      <c r="N118" s="7">
        <f t="shared" si="44"/>
        <v>120820.51</v>
      </c>
      <c r="O118" s="8"/>
      <c r="P118" s="7">
        <f>ROUND(K118/(K$127-K$119)*K$119,2)</f>
        <v>287.33</v>
      </c>
      <c r="Q118" s="7">
        <f t="shared" si="45"/>
        <v>64315.74</v>
      </c>
    </row>
    <row r="119" spans="1:17" ht="12.75">
      <c r="A119" s="2">
        <v>926</v>
      </c>
      <c r="B119" s="60">
        <f>SUMIF('Elec Labor'!A:A,A119,'Elec Labor'!G:G)</f>
        <v>214056.81</v>
      </c>
      <c r="C119" s="60">
        <f>SUMIF('Elec Labor'!A:A,A119,'Elec Labor'!C:C)+SUMIF('Elec Labor'!A:A,A119,'Elec Labor'!D:D)</f>
        <v>213804.95</v>
      </c>
      <c r="D119" s="60">
        <f>SUMIF('Elec Labor'!A:A,A119,'Elec Labor'!F:F)</f>
        <v>251.86</v>
      </c>
      <c r="E119" s="7">
        <f t="shared" si="40"/>
        <v>139180.61</v>
      </c>
      <c r="F119" s="61"/>
      <c r="G119" s="7">
        <f t="shared" si="41"/>
        <v>139432.47</v>
      </c>
      <c r="H119" s="60">
        <f>SUMIF('Elec Labor'!A:A,A119,'Elec Labor'!E:E)</f>
        <v>0</v>
      </c>
      <c r="I119" s="7">
        <f t="shared" si="42"/>
        <v>74624.34</v>
      </c>
      <c r="J119" s="61"/>
      <c r="K119" s="7">
        <f t="shared" si="43"/>
        <v>74624.34</v>
      </c>
      <c r="L119" s="8"/>
      <c r="M119" s="7">
        <f>-G119</f>
        <v>-139432.47</v>
      </c>
      <c r="N119" s="7">
        <f t="shared" si="44"/>
        <v>0</v>
      </c>
      <c r="O119" s="8"/>
      <c r="P119" s="7">
        <f>-K119</f>
        <v>-74624.34</v>
      </c>
      <c r="Q119" s="7">
        <f t="shared" si="45"/>
        <v>0</v>
      </c>
    </row>
    <row r="120" spans="1:17" ht="12.75">
      <c r="A120" s="2">
        <v>927</v>
      </c>
      <c r="B120" s="60">
        <f>SUMIF('Elec Labor'!A:A,A120,'Elec Labor'!G:G)</f>
        <v>0</v>
      </c>
      <c r="C120" s="60">
        <f>SUMIF('Elec Labor'!A:A,A120,'Elec Labor'!C:C)+SUMIF('Elec Labor'!A:A,A120,'Elec Labor'!D:D)</f>
        <v>0</v>
      </c>
      <c r="D120" s="60">
        <f>SUMIF('Elec Labor'!A:A,A120,'Elec Labor'!F:F)</f>
        <v>0</v>
      </c>
      <c r="E120" s="7">
        <f t="shared" si="40"/>
        <v>0</v>
      </c>
      <c r="F120" s="61"/>
      <c r="G120" s="7">
        <f t="shared" si="41"/>
        <v>0</v>
      </c>
      <c r="H120" s="60">
        <f>SUMIF('Elec Labor'!A:A,A120,'Elec Labor'!E:E)</f>
        <v>0</v>
      </c>
      <c r="I120" s="7">
        <f t="shared" si="42"/>
        <v>0</v>
      </c>
      <c r="J120" s="61"/>
      <c r="K120" s="7">
        <f t="shared" si="43"/>
        <v>0</v>
      </c>
      <c r="L120" s="8"/>
      <c r="M120" s="7">
        <f>ROUND(G120/(G$127-G$119)*G$119,2)</f>
        <v>0</v>
      </c>
      <c r="N120" s="7">
        <f t="shared" si="44"/>
        <v>0</v>
      </c>
      <c r="O120" s="8"/>
      <c r="P120" s="7">
        <f>ROUND(K120/(K$127-K$119)*K$119,2)</f>
        <v>0</v>
      </c>
      <c r="Q120" s="7">
        <f t="shared" si="45"/>
        <v>0</v>
      </c>
    </row>
    <row r="121" spans="1:17" ht="12.75">
      <c r="A121" s="2">
        <v>928</v>
      </c>
      <c r="B121" s="60">
        <f>SUMIF('Elec Labor'!A:A,A121,'Elec Labor'!G:G)</f>
        <v>808082.14</v>
      </c>
      <c r="C121" s="60">
        <f>SUMIF('Elec Labor'!A:A,A121,'Elec Labor'!C:C)+SUMIF('Elec Labor'!A:A,A121,'Elec Labor'!D:D)</f>
        <v>506026.64</v>
      </c>
      <c r="D121" s="60">
        <f>SUMIF('Elec Labor'!A:A,A121,'Elec Labor'!F:F)</f>
        <v>177908.95</v>
      </c>
      <c r="E121" s="7">
        <f>C121*$U$9</f>
        <v>326842.61</v>
      </c>
      <c r="F121" s="61"/>
      <c r="G121" s="7">
        <f t="shared" si="41"/>
        <v>504751.56</v>
      </c>
      <c r="H121" s="60">
        <f>SUMIF('Elec Labor'!A:A,A121,'Elec Labor'!E:E)</f>
        <v>124146.55</v>
      </c>
      <c r="I121" s="7">
        <f>C121*$V$9</f>
        <v>179184.03</v>
      </c>
      <c r="J121" s="61"/>
      <c r="K121" s="7">
        <f t="shared" si="43"/>
        <v>303330.58</v>
      </c>
      <c r="L121" s="8"/>
      <c r="M121" s="7">
        <f>ROUND(G121/(G$127-G$119)*G$119,2)</f>
        <v>2171.76</v>
      </c>
      <c r="N121" s="7">
        <f t="shared" si="44"/>
        <v>506923.32</v>
      </c>
      <c r="O121" s="8"/>
      <c r="P121" s="7">
        <f>ROUND(K121/(K$127-K$119)*K$119,2)</f>
        <v>1361.23</v>
      </c>
      <c r="Q121" s="7">
        <f t="shared" si="45"/>
        <v>304691.81</v>
      </c>
    </row>
    <row r="122" spans="1:17" ht="12.75">
      <c r="A122" s="2">
        <v>930</v>
      </c>
      <c r="B122" s="60">
        <f>SUMIF('Elec Labor'!A:A,A122,'Elec Labor'!G:G)</f>
        <v>391910.46</v>
      </c>
      <c r="C122" s="60">
        <f>SUMIF('Elec Labor'!A:A,A122,'Elec Labor'!C:C)+SUMIF('Elec Labor'!A:A,A122,'Elec Labor'!D:D)</f>
        <v>309771.61</v>
      </c>
      <c r="D122" s="60">
        <f>SUMIF('Elec Labor'!A:A,A122,'Elec Labor'!F:F)</f>
        <v>69201.87</v>
      </c>
      <c r="E122" s="7">
        <f>C122*$U$12</f>
        <v>201652.02</v>
      </c>
      <c r="F122" s="61"/>
      <c r="G122" s="7">
        <f t="shared" si="41"/>
        <v>270853.89</v>
      </c>
      <c r="H122" s="60">
        <f>SUMIF('Elec Labor'!A:A,A122,'Elec Labor'!E:E)</f>
        <v>12936.98</v>
      </c>
      <c r="I122" s="7">
        <f>C122*$V$12</f>
        <v>108119.59</v>
      </c>
      <c r="J122" s="61"/>
      <c r="K122" s="7">
        <f t="shared" si="43"/>
        <v>121056.57</v>
      </c>
      <c r="L122" s="8"/>
      <c r="M122" s="7">
        <f>ROUND(G122/(G$127-G$119)*G$119,2)</f>
        <v>1165.38</v>
      </c>
      <c r="N122" s="7">
        <f t="shared" si="44"/>
        <v>272019.27</v>
      </c>
      <c r="O122" s="8"/>
      <c r="P122" s="7">
        <f>ROUND(K122/(K$127-K$119)*K$119,2)</f>
        <v>543.25</v>
      </c>
      <c r="Q122" s="7">
        <f t="shared" si="45"/>
        <v>121599.82</v>
      </c>
    </row>
    <row r="123" spans="1:17" ht="12.75">
      <c r="A123" s="2">
        <v>931</v>
      </c>
      <c r="B123" s="60">
        <f>SUMIF('Elec Labor'!A:A,A123,'Elec Labor'!G:G)</f>
        <v>0</v>
      </c>
      <c r="C123" s="60">
        <f>SUMIF('Elec Labor'!A:A,A123,'Elec Labor'!C:C)+SUMIF('Elec Labor'!A:A,A123,'Elec Labor'!D:D)</f>
        <v>0</v>
      </c>
      <c r="D123" s="60">
        <f>SUMIF('Elec Labor'!A:A,A123,'Elec Labor'!F:F)</f>
        <v>0</v>
      </c>
      <c r="E123" s="7">
        <f>C123*$U$12</f>
        <v>0</v>
      </c>
      <c r="F123" s="61"/>
      <c r="G123" s="7">
        <f t="shared" si="41"/>
        <v>0</v>
      </c>
      <c r="H123" s="60">
        <f>SUMIF('Elec Labor'!A:A,A123,'Elec Labor'!E:E)</f>
        <v>0</v>
      </c>
      <c r="I123" s="7">
        <f>C123*$V$12</f>
        <v>0</v>
      </c>
      <c r="J123" s="61"/>
      <c r="K123" s="7">
        <f t="shared" si="43"/>
        <v>0</v>
      </c>
      <c r="L123" s="8"/>
      <c r="M123" s="7">
        <f>ROUND(G123/(G$127-G$119)*G$119,2)</f>
        <v>0</v>
      </c>
      <c r="N123" s="7">
        <f t="shared" si="44"/>
        <v>0</v>
      </c>
      <c r="O123" s="8"/>
      <c r="P123" s="7">
        <f>ROUND(K123/(K$127-K$119)*K$119,2)</f>
        <v>0</v>
      </c>
      <c r="Q123" s="7">
        <f t="shared" si="45"/>
        <v>0</v>
      </c>
    </row>
    <row r="124" spans="1:17" ht="12.75">
      <c r="A124" s="2">
        <v>935</v>
      </c>
      <c r="B124" s="60">
        <f>SUMIF('Elec Labor'!A:A,A124,'Elec Labor'!G:G)</f>
        <v>1289734.71</v>
      </c>
      <c r="C124" s="60">
        <f>SUMIF('Elec Labor'!A:A,A124,'Elec Labor'!C:C)+SUMIF('Elec Labor'!A:A,A124,'Elec Labor'!D:D)</f>
        <v>1158558.01</v>
      </c>
      <c r="D124" s="60">
        <f>SUMIF('Elec Labor'!A:A,A124,'Elec Labor'!F:F)</f>
        <v>29413.72</v>
      </c>
      <c r="E124" s="7">
        <f>C124*$U$12</f>
        <v>754186.51</v>
      </c>
      <c r="F124" s="61"/>
      <c r="G124" s="7">
        <f t="shared" si="41"/>
        <v>783600.23</v>
      </c>
      <c r="H124" s="60">
        <f>SUMIF('Elec Labor'!A:A,A124,'Elec Labor'!E:E)</f>
        <v>101762.98</v>
      </c>
      <c r="I124" s="7">
        <f>C124*$V$12</f>
        <v>404371.5</v>
      </c>
      <c r="J124" s="61"/>
      <c r="K124" s="7">
        <f t="shared" si="43"/>
        <v>506134.48</v>
      </c>
      <c r="L124" s="8"/>
      <c r="M124" s="7">
        <f>ROUND(G124/(G$127-G$119)*G$119,2)</f>
        <v>3371.54</v>
      </c>
      <c r="N124" s="7">
        <f t="shared" si="44"/>
        <v>786971.77</v>
      </c>
      <c r="O124" s="8"/>
      <c r="P124" s="7">
        <f>ROUND(K124/(K$127-K$119)*K$119,2)</f>
        <v>2271.33</v>
      </c>
      <c r="Q124" s="7">
        <f t="shared" si="45"/>
        <v>508405.81</v>
      </c>
    </row>
    <row r="125" spans="1:17" ht="12.75">
      <c r="A125" s="3" t="s">
        <v>128</v>
      </c>
      <c r="B125" s="63">
        <f>SUM(B114:B124)</f>
        <v>13895774.79</v>
      </c>
      <c r="C125" s="163">
        <f>SUM(C114:C124)</f>
        <v>13212856.96</v>
      </c>
      <c r="D125" s="63">
        <f>SUM(D114:D124)</f>
        <v>392832.34</v>
      </c>
      <c r="E125" s="63">
        <f>SUM(E114:E124)</f>
        <v>8598607.94</v>
      </c>
      <c r="F125" s="64"/>
      <c r="G125" s="63">
        <f>SUM(G114:G124)</f>
        <v>8991440.28</v>
      </c>
      <c r="H125" s="63">
        <f>SUM(H114:H124)</f>
        <v>290085.49</v>
      </c>
      <c r="I125" s="63">
        <f>SUM(I114:I124)</f>
        <v>4614249.02</v>
      </c>
      <c r="J125" s="64"/>
      <c r="K125" s="63">
        <f>SUM(K114:K124)</f>
        <v>4904334.51</v>
      </c>
      <c r="L125" s="8"/>
      <c r="M125" s="63">
        <f>SUM(M114:M124)</f>
        <v>-101345.58</v>
      </c>
      <c r="N125" s="63">
        <f>SUM(N114:N124)</f>
        <v>8890094.7</v>
      </c>
      <c r="O125" s="8"/>
      <c r="P125" s="63">
        <f>SUM(P114:P124)</f>
        <v>-52950.45</v>
      </c>
      <c r="Q125" s="63">
        <f>SUM(Q114:Q124)</f>
        <v>4851384.06</v>
      </c>
    </row>
    <row r="126" spans="2:17" ht="12.75">
      <c r="B126" s="7"/>
      <c r="C126" s="7"/>
      <c r="D126" s="7"/>
      <c r="E126" s="7"/>
      <c r="F126" s="61"/>
      <c r="G126" s="7"/>
      <c r="H126" s="7"/>
      <c r="I126" s="7"/>
      <c r="J126" s="61"/>
      <c r="K126" s="7"/>
      <c r="L126" s="8"/>
      <c r="M126" s="7"/>
      <c r="N126" s="7"/>
      <c r="O126" s="8"/>
      <c r="P126" s="7"/>
      <c r="Q126" s="7"/>
    </row>
    <row r="127" spans="1:17" ht="12.75">
      <c r="A127" s="3" t="s">
        <v>117</v>
      </c>
      <c r="B127" s="162">
        <f>B52+B68+B90+B97+B104+B111+B125</f>
        <v>49249420.68</v>
      </c>
      <c r="C127" s="168">
        <f>C52+C68+C90+C97+C104+C111+C125</f>
        <v>36326220.82</v>
      </c>
      <c r="D127" s="162">
        <f>D52+D68+D90+D97+D104+D111+D125</f>
        <v>8910749.25</v>
      </c>
      <c r="E127" s="63">
        <f>E52+E68+E90+E97+E104+E111+E125</f>
        <v>23635058.61</v>
      </c>
      <c r="F127" s="64"/>
      <c r="G127" s="168">
        <f>G52+G68+G90+G97+G104+G111+G125</f>
        <v>32545807.86</v>
      </c>
      <c r="H127" s="162">
        <f>H52+H68+H90+H97+H104+H111+H125</f>
        <v>4012450.61</v>
      </c>
      <c r="I127" s="63">
        <f>I52+I68+I90+I97+I104+I111+I125</f>
        <v>12691162.21</v>
      </c>
      <c r="J127" s="64"/>
      <c r="K127" s="63">
        <f>K52+K68+K90+K97+K104+K111+K125</f>
        <v>16703612.82</v>
      </c>
      <c r="L127" s="8"/>
      <c r="M127" s="63">
        <f>M52+M68+M90+M97+M104+M111+M125</f>
        <v>0</v>
      </c>
      <c r="N127" s="163">
        <f>N52+N68+N90+N97+N104+N111+N125</f>
        <v>32545807.86</v>
      </c>
      <c r="O127" s="8"/>
      <c r="P127" s="63">
        <f>P52+P68+P90+P97+P104+P111+P125</f>
        <v>0.04</v>
      </c>
      <c r="Q127" s="284">
        <f>Q52+Q68+Q90+Q97+Q104+Q111+Q125</f>
        <v>16703612.86</v>
      </c>
    </row>
    <row r="129" spans="1:4" ht="12.75">
      <c r="A129" s="3" t="s">
        <v>25</v>
      </c>
      <c r="C129" s="7">
        <f>E127+I127+M127</f>
        <v>36326220.82</v>
      </c>
      <c r="D129" s="7"/>
    </row>
    <row r="130" ht="12.75">
      <c r="H130"/>
    </row>
    <row r="131" spans="1:17" ht="12.75">
      <c r="A131" s="3" t="s">
        <v>26</v>
      </c>
      <c r="B131" s="7">
        <f>G127+K127</f>
        <v>49249420.68</v>
      </c>
      <c r="G131" s="199">
        <f>G90+K90+G68+K68+G52+K52</f>
        <v>29587718.04</v>
      </c>
      <c r="M131" s="7"/>
      <c r="Q131" s="7"/>
    </row>
    <row r="132" ht="12.75">
      <c r="B132" s="7">
        <f>N127+Q127</f>
        <v>49249420.72</v>
      </c>
    </row>
  </sheetData>
  <printOptions horizontalCentered="1"/>
  <pageMargins left="0.38" right="0.28" top="0.68" bottom="0.42" header="0.5" footer="0.25"/>
  <pageSetup horizontalDpi="300" verticalDpi="300" orientation="landscape" scale="70" r:id="rId3"/>
  <headerFooter alignWithMargins="0">
    <oddFooter xml:space="preserve">&amp;CPage &amp;P&amp;Rtm &amp;A &amp;F </oddFooter>
  </headerFooter>
  <rowBreaks count="2" manualBreakCount="2">
    <brk id="53" max="255" man="1"/>
    <brk id="91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1"/>
  <sheetViews>
    <sheetView workbookViewId="0" topLeftCell="B55">
      <selection activeCell="O78" sqref="O78"/>
    </sheetView>
  </sheetViews>
  <sheetFormatPr defaultColWidth="9.33203125" defaultRowHeight="12.75"/>
  <cols>
    <col min="1" max="1" width="24.16015625" style="21" customWidth="1"/>
    <col min="2" max="3" width="13.33203125" style="21" customWidth="1"/>
    <col min="4" max="4" width="12.66015625" style="21" customWidth="1"/>
    <col min="5" max="6" width="13.33203125" style="21" customWidth="1"/>
    <col min="7" max="7" width="12.66015625" style="21" customWidth="1"/>
    <col min="8" max="8" width="12.83203125" style="21" customWidth="1"/>
    <col min="9" max="9" width="13.66015625" style="21" customWidth="1"/>
    <col min="10" max="10" width="1.83203125" style="18" customWidth="1"/>
    <col min="11" max="11" width="11.16015625" style="3" customWidth="1"/>
    <col min="12" max="12" width="13.66015625" style="3" customWidth="1"/>
    <col min="13" max="13" width="1.83203125" style="18" customWidth="1"/>
    <col min="14" max="14" width="10.5" style="3" customWidth="1"/>
    <col min="15" max="15" width="13.66015625" style="3" customWidth="1"/>
    <col min="16" max="16" width="6.5" style="21" customWidth="1"/>
    <col min="17" max="17" width="23.66015625" style="21" customWidth="1"/>
    <col min="18" max="18" width="6.33203125" style="21" customWidth="1"/>
    <col min="19" max="21" width="9.5" style="21" bestFit="1" customWidth="1"/>
    <col min="22" max="16384" width="13.33203125" style="21" customWidth="1"/>
  </cols>
  <sheetData>
    <row r="1" ht="12.75">
      <c r="A1" s="20" t="str">
        <f>'ElLabor$'!A1</f>
        <v>AVISTA UTILITIES</v>
      </c>
    </row>
    <row r="2" ht="12.75">
      <c r="A2" s="22" t="s">
        <v>137</v>
      </c>
    </row>
    <row r="3" ht="12.75">
      <c r="A3" s="22" t="s">
        <v>31</v>
      </c>
    </row>
    <row r="4" ht="12.75">
      <c r="A4" s="22" t="str">
        <f>'ElLabor$'!A4</f>
        <v>Twelve Months Ended September 30, 2008</v>
      </c>
    </row>
    <row r="5" ht="12.75"/>
    <row r="6" ht="12.75"/>
    <row r="7" spans="1:22" ht="12.75">
      <c r="A7" s="23"/>
      <c r="B7" s="23"/>
      <c r="C7" s="23"/>
      <c r="D7" s="23" t="s">
        <v>17</v>
      </c>
      <c r="E7" s="23" t="s">
        <v>18</v>
      </c>
      <c r="F7" s="23" t="s">
        <v>0</v>
      </c>
      <c r="G7" s="23" t="s">
        <v>17</v>
      </c>
      <c r="H7" s="23" t="s">
        <v>18</v>
      </c>
      <c r="I7" s="23" t="s">
        <v>0</v>
      </c>
      <c r="J7" s="19"/>
      <c r="K7" s="16" t="s">
        <v>132</v>
      </c>
      <c r="L7" s="16" t="s">
        <v>1</v>
      </c>
      <c r="M7" s="19"/>
      <c r="N7" s="16" t="s">
        <v>122</v>
      </c>
      <c r="O7" s="16" t="s">
        <v>1</v>
      </c>
      <c r="P7" s="23"/>
      <c r="Q7" s="23"/>
      <c r="R7" s="23"/>
      <c r="S7" s="23"/>
      <c r="T7" s="23"/>
      <c r="U7" s="23"/>
      <c r="V7" s="23"/>
    </row>
    <row r="8" spans="1:21" ht="12.75">
      <c r="A8" s="23"/>
      <c r="B8" s="67" t="s">
        <v>0</v>
      </c>
      <c r="C8" s="67" t="s">
        <v>19</v>
      </c>
      <c r="D8" s="67" t="s">
        <v>123</v>
      </c>
      <c r="E8" s="67" t="s">
        <v>123</v>
      </c>
      <c r="F8" s="67" t="s">
        <v>123</v>
      </c>
      <c r="G8" s="67" t="s">
        <v>124</v>
      </c>
      <c r="H8" s="67" t="s">
        <v>124</v>
      </c>
      <c r="I8" s="67" t="s">
        <v>124</v>
      </c>
      <c r="J8" s="19"/>
      <c r="K8" s="17" t="s">
        <v>20</v>
      </c>
      <c r="L8" s="17" t="s">
        <v>47</v>
      </c>
      <c r="M8" s="19"/>
      <c r="N8" s="17" t="s">
        <v>20</v>
      </c>
      <c r="O8" s="17" t="s">
        <v>119</v>
      </c>
      <c r="P8" s="23"/>
      <c r="Q8" s="23"/>
      <c r="R8" s="296" t="s">
        <v>18</v>
      </c>
      <c r="S8" s="296" t="s">
        <v>125</v>
      </c>
      <c r="T8" s="296" t="s">
        <v>126</v>
      </c>
      <c r="U8" s="296" t="s">
        <v>21</v>
      </c>
    </row>
    <row r="9" spans="1:21" ht="12.75">
      <c r="A9" s="21" t="s">
        <v>48</v>
      </c>
      <c r="Q9" s="21" t="s">
        <v>22</v>
      </c>
      <c r="R9" s="21">
        <v>2</v>
      </c>
      <c r="S9" s="298">
        <v>0.66672</v>
      </c>
      <c r="T9" s="298">
        <v>0.33328</v>
      </c>
      <c r="U9" s="68">
        <f aca="true" t="shared" si="0" ref="U9:U14">S9+T9</f>
        <v>1</v>
      </c>
    </row>
    <row r="10" spans="1:21" ht="12.75">
      <c r="A10" s="22">
        <v>807</v>
      </c>
      <c r="B10" s="156">
        <f>SUMIF('Gas Labor'!A:A,A10,'Gas Labor'!G:G)</f>
        <v>0</v>
      </c>
      <c r="C10" s="60">
        <f>SUMIF('Gas Labor'!A:A,A10,'Gas Labor'!D:D)+SUMIF('Gas Labor'!A:A,A10,'Gas Labor'!C:C)</f>
        <v>0</v>
      </c>
      <c r="D10" s="60">
        <f>SUMIF('Gas Labor'!A:A,A10,'Gas Labor'!F:F)</f>
        <v>0</v>
      </c>
      <c r="E10" s="69">
        <f>C10*$S$13</f>
        <v>0</v>
      </c>
      <c r="F10" s="69">
        <f>D10+E10</f>
        <v>0</v>
      </c>
      <c r="G10" s="60">
        <f>SUMIF('Gas Labor'!A:A,A10,'Gas Labor'!E:E)</f>
        <v>0</v>
      </c>
      <c r="H10" s="69">
        <f>$C10*$T$13</f>
        <v>0</v>
      </c>
      <c r="I10" s="69">
        <f>G10+H10</f>
        <v>0</v>
      </c>
      <c r="K10" s="7">
        <f>ROUND(F10/(F$78-F$71)*F$71,2)</f>
        <v>0</v>
      </c>
      <c r="L10" s="7">
        <f>F10+K10</f>
        <v>0</v>
      </c>
      <c r="M10" s="8"/>
      <c r="N10" s="7">
        <f>ROUND(I10/(I$78-I$71)*I$71,2)</f>
        <v>0</v>
      </c>
      <c r="O10" s="7">
        <f>I10+N10</f>
        <v>0</v>
      </c>
      <c r="Q10" s="21" t="s">
        <v>23</v>
      </c>
      <c r="R10" s="21">
        <v>3</v>
      </c>
      <c r="S10" s="298">
        <v>0.62019</v>
      </c>
      <c r="T10" s="298">
        <v>0.37981</v>
      </c>
      <c r="U10" s="68">
        <f t="shared" si="0"/>
        <v>1</v>
      </c>
    </row>
    <row r="11" spans="1:21" ht="12.75">
      <c r="A11" s="157" t="s">
        <v>281</v>
      </c>
      <c r="B11" s="156">
        <f>SUMIF('Gas Labor'!A:A,A11,'Gas Labor'!G:G)</f>
        <v>0</v>
      </c>
      <c r="C11" s="60">
        <f>SUMIF('Gas Labor'!A:A,A11,'Gas Labor'!D:D)+SUMIF('Gas Labor'!A:A,A11,'Gas Labor'!C:C)</f>
        <v>0</v>
      </c>
      <c r="D11" s="60">
        <f>SUMIF('Gas Labor'!A:A,A11,'Gas Labor'!F:F)</f>
        <v>0</v>
      </c>
      <c r="E11" s="69">
        <f>C11*$S$9</f>
        <v>0</v>
      </c>
      <c r="F11" s="69">
        <f>D11+E11</f>
        <v>0</v>
      </c>
      <c r="G11" s="60">
        <f>SUMIF('Gas Labor'!A:A,A11,'Gas Labor'!E:E)</f>
        <v>0</v>
      </c>
      <c r="H11" s="69">
        <f>$C11*$T$9</f>
        <v>0</v>
      </c>
      <c r="I11" s="69">
        <f>G11+H11</f>
        <v>0</v>
      </c>
      <c r="K11" s="7">
        <f>ROUND(F11/(F$78-F$71)*F$71,2)</f>
        <v>0</v>
      </c>
      <c r="L11" s="7">
        <f>F11+K11</f>
        <v>0</v>
      </c>
      <c r="M11" s="8"/>
      <c r="N11" s="7">
        <f>ROUND(I11/(I$78-I$71)*I$71,2)</f>
        <v>0</v>
      </c>
      <c r="O11" s="7">
        <f>I11+N11</f>
        <v>0</v>
      </c>
      <c r="Q11" s="21" t="s">
        <v>133</v>
      </c>
      <c r="R11" s="21">
        <v>4</v>
      </c>
      <c r="S11" s="298">
        <v>0.67505</v>
      </c>
      <c r="T11" s="298">
        <v>0.32495</v>
      </c>
      <c r="U11" s="68">
        <f t="shared" si="0"/>
        <v>1</v>
      </c>
    </row>
    <row r="12" spans="1:21" ht="12.75">
      <c r="A12" s="22">
        <v>813</v>
      </c>
      <c r="B12" s="156">
        <f>SUMIF('Gas Labor'!A:A,A12,'Gas Labor'!G:G)</f>
        <v>568252.14</v>
      </c>
      <c r="C12" s="60">
        <f>SUMIF('Gas Labor'!A:A,A12,'Gas Labor'!D:D)+SUMIF('Gas Labor'!A:A,A12,'Gas Labor'!C:C)</f>
        <v>568252.14</v>
      </c>
      <c r="D12" s="60">
        <f>SUMIF('Gas Labor'!A:A,A12,'Gas Labor'!F:F)</f>
        <v>0</v>
      </c>
      <c r="E12" s="69">
        <f>C12*$S$13</f>
        <v>383024.67</v>
      </c>
      <c r="F12" s="69">
        <f>D12+E12</f>
        <v>383024.67</v>
      </c>
      <c r="G12" s="60">
        <f>SUMIF('Gas Labor'!A:A,A12,'Gas Labor'!E:E)</f>
        <v>0</v>
      </c>
      <c r="H12" s="69">
        <f>$C12*$T$13</f>
        <v>185227.47</v>
      </c>
      <c r="I12" s="69">
        <f>G12+H12</f>
        <v>185227.47</v>
      </c>
      <c r="K12" s="7">
        <f>ROUND(F12/(F$78-F$71)*F$71,2)</f>
        <v>784.58</v>
      </c>
      <c r="L12" s="7">
        <f>F12+K12</f>
        <v>383809.25</v>
      </c>
      <c r="M12" s="8"/>
      <c r="N12" s="7">
        <f>ROUND(I12/(I$78-I$71)*I$71,2)</f>
        <v>364.53</v>
      </c>
      <c r="O12" s="7">
        <f>I12+N12</f>
        <v>185592</v>
      </c>
      <c r="Q12" s="21" t="s">
        <v>134</v>
      </c>
      <c r="R12" s="21">
        <v>6</v>
      </c>
      <c r="S12" s="298">
        <v>0.70212</v>
      </c>
      <c r="T12" s="298">
        <v>0.29788</v>
      </c>
      <c r="U12" s="68">
        <f t="shared" si="0"/>
        <v>1</v>
      </c>
    </row>
    <row r="13" spans="1:21" ht="12.75">
      <c r="A13" s="21" t="s">
        <v>39</v>
      </c>
      <c r="B13" s="70">
        <f aca="true" t="shared" si="1" ref="B13:I13">SUM(B9:B12)</f>
        <v>568252.14</v>
      </c>
      <c r="C13" s="187">
        <f>SUM(C9:C12)</f>
        <v>568252.14</v>
      </c>
      <c r="D13" s="70">
        <f>SUM(D9:D12)</f>
        <v>0</v>
      </c>
      <c r="E13" s="70">
        <f t="shared" si="1"/>
        <v>383024.67</v>
      </c>
      <c r="F13" s="70">
        <f t="shared" si="1"/>
        <v>383024.67</v>
      </c>
      <c r="G13" s="70">
        <f>SUM(G9:G12)</f>
        <v>0</v>
      </c>
      <c r="H13" s="70">
        <f t="shared" si="1"/>
        <v>185227.47</v>
      </c>
      <c r="I13" s="70">
        <f t="shared" si="1"/>
        <v>185227.47</v>
      </c>
      <c r="J13" s="8"/>
      <c r="K13" s="70">
        <f>SUM(K9:K12)</f>
        <v>784.58</v>
      </c>
      <c r="L13" s="70">
        <f>SUM(L9:L12)</f>
        <v>383809.25</v>
      </c>
      <c r="M13" s="8"/>
      <c r="N13" s="70">
        <f>SUM(N9:N12)</f>
        <v>364.53</v>
      </c>
      <c r="O13" s="70">
        <f>SUM(O9:O12)</f>
        <v>185592</v>
      </c>
      <c r="Q13" s="21" t="s">
        <v>32</v>
      </c>
      <c r="R13" s="21">
        <v>10</v>
      </c>
      <c r="S13" s="298">
        <v>0.67404</v>
      </c>
      <c r="T13" s="298">
        <v>0.32596</v>
      </c>
      <c r="U13" s="68">
        <f t="shared" si="0"/>
        <v>1</v>
      </c>
    </row>
    <row r="14" spans="2:21" ht="12.75">
      <c r="B14" s="69"/>
      <c r="C14" s="69"/>
      <c r="D14" s="69"/>
      <c r="E14" s="69"/>
      <c r="F14" s="69"/>
      <c r="G14" s="69"/>
      <c r="H14" s="69"/>
      <c r="I14" s="69"/>
      <c r="J14" s="8"/>
      <c r="K14" s="69"/>
      <c r="L14" s="69"/>
      <c r="M14" s="8"/>
      <c r="N14" s="69"/>
      <c r="O14" s="69"/>
      <c r="Q14" s="21" t="s">
        <v>135</v>
      </c>
      <c r="R14" s="21">
        <v>1</v>
      </c>
      <c r="S14" s="298">
        <v>0.7093</v>
      </c>
      <c r="T14" s="298">
        <v>0.2907</v>
      </c>
      <c r="U14" s="68">
        <f t="shared" si="0"/>
        <v>1</v>
      </c>
    </row>
    <row r="15" spans="1:21" ht="12.75">
      <c r="A15" s="21" t="s">
        <v>130</v>
      </c>
      <c r="B15" s="69"/>
      <c r="C15" s="69"/>
      <c r="D15" s="69"/>
      <c r="E15" s="69"/>
      <c r="F15" s="69"/>
      <c r="G15" s="69"/>
      <c r="H15" s="69"/>
      <c r="I15" s="69"/>
      <c r="J15" s="8"/>
      <c r="K15" s="69"/>
      <c r="L15" s="69"/>
      <c r="M15" s="8"/>
      <c r="N15" s="69"/>
      <c r="O15" s="69"/>
      <c r="S15" s="68"/>
      <c r="T15" s="68"/>
      <c r="U15" s="68"/>
    </row>
    <row r="16" spans="1:21" ht="12.75">
      <c r="A16" s="22">
        <v>814</v>
      </c>
      <c r="B16" s="156">
        <f>SUMIF('Gas Labor'!A:A,A16,'Gas Labor'!G:G)</f>
        <v>9582.86</v>
      </c>
      <c r="C16" s="60">
        <f>SUMIF('Gas Labor'!A:A,A16,'Gas Labor'!D:D)+SUMIF('Gas Labor'!A:A,A16,'Gas Labor'!C:C)</f>
        <v>9582.86</v>
      </c>
      <c r="D16" s="60">
        <f>SUMIF('Gas Labor'!A:A,A16,'Gas Labor'!F:F)</f>
        <v>0</v>
      </c>
      <c r="E16" s="69">
        <f>C16*$S$14</f>
        <v>6797.12</v>
      </c>
      <c r="F16" s="69">
        <f>D16+E16</f>
        <v>6797.12</v>
      </c>
      <c r="G16" s="60">
        <f>SUMIF('Gas Labor'!A:A,A16,'Gas Labor'!E:E)</f>
        <v>0</v>
      </c>
      <c r="H16" s="69">
        <f>$C16*$T$14</f>
        <v>2785.74</v>
      </c>
      <c r="I16" s="69">
        <f>G16+H16</f>
        <v>2785.74</v>
      </c>
      <c r="J16" s="8"/>
      <c r="K16" s="7">
        <f>ROUND(F16/(F$78-F$71)*F$71,2)</f>
        <v>13.92</v>
      </c>
      <c r="L16" s="7">
        <f>F16+K16</f>
        <v>6811.04</v>
      </c>
      <c r="M16" s="8"/>
      <c r="N16" s="7">
        <f>ROUND(I16/(I$78-I$71)*I$71,2)</f>
        <v>5.48</v>
      </c>
      <c r="O16" s="7">
        <f>I16+N16</f>
        <v>2791.22</v>
      </c>
      <c r="Q16" s="160" t="s">
        <v>182</v>
      </c>
      <c r="S16" s="68"/>
      <c r="T16" s="68"/>
      <c r="U16" s="68"/>
    </row>
    <row r="17" spans="1:21" ht="12.75">
      <c r="A17" s="22">
        <v>820</v>
      </c>
      <c r="B17" s="156">
        <f>SUMIF('Gas Labor'!A:A,A17,'Gas Labor'!G:G)</f>
        <v>0</v>
      </c>
      <c r="C17" s="60">
        <f>SUMIF('Gas Labor'!A:A,A17,'Gas Labor'!D:D)+SUMIF('Gas Labor'!A:A,A17,'Gas Labor'!C:C)</f>
        <v>0</v>
      </c>
      <c r="D17" s="60">
        <f>SUMIF('Gas Labor'!A:A,A17,'Gas Labor'!F:F)</f>
        <v>0</v>
      </c>
      <c r="E17" s="69">
        <f>C17*$S$14</f>
        <v>0</v>
      </c>
      <c r="F17" s="69">
        <f>D17+E17</f>
        <v>0</v>
      </c>
      <c r="G17" s="60">
        <f>SUMIF('Gas Labor'!A:A,A17,'Gas Labor'!E:E)</f>
        <v>0</v>
      </c>
      <c r="H17" s="69">
        <f>$C17*$T$14</f>
        <v>0</v>
      </c>
      <c r="I17" s="69">
        <f>G17+H17</f>
        <v>0</v>
      </c>
      <c r="J17" s="8"/>
      <c r="K17" s="7">
        <f>ROUND(F17/(F$78-F$71)*F$71,2)</f>
        <v>0</v>
      </c>
      <c r="L17" s="7">
        <f>F17+K17</f>
        <v>0</v>
      </c>
      <c r="M17" s="8"/>
      <c r="N17" s="7">
        <f>ROUND(I17/(I$78-I$71)*I$71,2)</f>
        <v>0</v>
      </c>
      <c r="O17" s="7">
        <f>I17+N17</f>
        <v>0</v>
      </c>
      <c r="S17" s="68"/>
      <c r="T17" s="68"/>
      <c r="U17" s="68"/>
    </row>
    <row r="18" spans="1:21" ht="12.75">
      <c r="A18" s="223" t="s">
        <v>43</v>
      </c>
      <c r="B18" s="70">
        <f aca="true" t="shared" si="2" ref="B18:I18">SUM(B15:B17)</f>
        <v>9582.86</v>
      </c>
      <c r="C18" s="187">
        <f t="shared" si="2"/>
        <v>9582.86</v>
      </c>
      <c r="D18" s="70">
        <f t="shared" si="2"/>
        <v>0</v>
      </c>
      <c r="E18" s="70">
        <f t="shared" si="2"/>
        <v>6797.12</v>
      </c>
      <c r="F18" s="70">
        <f t="shared" si="2"/>
        <v>6797.12</v>
      </c>
      <c r="G18" s="70">
        <f t="shared" si="2"/>
        <v>0</v>
      </c>
      <c r="H18" s="70">
        <f t="shared" si="2"/>
        <v>2785.74</v>
      </c>
      <c r="I18" s="70">
        <f t="shared" si="2"/>
        <v>2785.74</v>
      </c>
      <c r="J18" s="8"/>
      <c r="K18" s="70">
        <f>SUM(K15:K17)</f>
        <v>13.92</v>
      </c>
      <c r="L18" s="70">
        <f>SUM(L15:L17)</f>
        <v>6811.04</v>
      </c>
      <c r="M18" s="8"/>
      <c r="N18" s="70">
        <f>SUM(N15:N17)</f>
        <v>5.48</v>
      </c>
      <c r="O18" s="70">
        <f>SUM(O15:O17)</f>
        <v>2791.22</v>
      </c>
      <c r="S18" s="68"/>
      <c r="T18" s="68"/>
      <c r="U18" s="68"/>
    </row>
    <row r="19" spans="2:15" ht="12.75">
      <c r="B19" s="69"/>
      <c r="C19" s="69"/>
      <c r="D19" s="69"/>
      <c r="E19" s="69"/>
      <c r="F19" s="69"/>
      <c r="G19" s="69"/>
      <c r="H19" s="69"/>
      <c r="I19" s="69"/>
      <c r="J19" s="8"/>
      <c r="K19" s="69"/>
      <c r="L19" s="69"/>
      <c r="M19" s="8"/>
      <c r="N19" s="69"/>
      <c r="O19" s="69"/>
    </row>
    <row r="20" spans="1:15" ht="12.75">
      <c r="A20" s="21" t="s">
        <v>7</v>
      </c>
      <c r="B20" s="69"/>
      <c r="C20" s="69"/>
      <c r="D20" s="69"/>
      <c r="E20" s="69"/>
      <c r="F20" s="69"/>
      <c r="G20" s="69"/>
      <c r="H20" s="69"/>
      <c r="I20" s="69"/>
      <c r="J20" s="8"/>
      <c r="K20" s="69"/>
      <c r="L20" s="69"/>
      <c r="M20" s="8"/>
      <c r="N20" s="69"/>
      <c r="O20" s="69"/>
    </row>
    <row r="21" spans="1:15" ht="12.75">
      <c r="A21" s="22">
        <v>870</v>
      </c>
      <c r="B21" s="156">
        <f>SUMIF('Gas Labor'!A:A,A21,'Gas Labor'!G:G)</f>
        <v>399804.35</v>
      </c>
      <c r="C21" s="60">
        <f>SUMIF('Gas Labor'!A:A,A21,'Gas Labor'!D:D)+SUMIF('Gas Labor'!A:A,A21,'Gas Labor'!C:C)</f>
        <v>257700.67</v>
      </c>
      <c r="D21" s="60">
        <f>SUMIF('Gas Labor'!A:A,A21,'Gas Labor'!F:F)</f>
        <v>95923.8</v>
      </c>
      <c r="E21" s="69">
        <f>C21*$S$11</f>
        <v>173960.84</v>
      </c>
      <c r="F21" s="69">
        <f aca="true" t="shared" si="3" ref="F21:F41">D21+E21</f>
        <v>269884.64</v>
      </c>
      <c r="G21" s="60">
        <f>SUMIF('Gas Labor'!A:A,A21,'Gas Labor'!E:E)</f>
        <v>46179.88</v>
      </c>
      <c r="H21" s="69">
        <f>ROUND(C21*$T$11,2)</f>
        <v>83739.83</v>
      </c>
      <c r="I21" s="69">
        <f aca="true" t="shared" si="4" ref="I21:I41">G21+H21</f>
        <v>129919.71</v>
      </c>
      <c r="J21" s="8"/>
      <c r="K21" s="7">
        <f aca="true" t="shared" si="5" ref="K21:K41">ROUND(F21/(F$78-F$71)*F$71,2)</f>
        <v>552.83</v>
      </c>
      <c r="L21" s="7">
        <f aca="true" t="shared" si="6" ref="L21:L41">F21+K21</f>
        <v>270437.47</v>
      </c>
      <c r="M21" s="8"/>
      <c r="N21" s="7">
        <f aca="true" t="shared" si="7" ref="N21:N41">ROUND(I21/(I$78-I$71)*I$71,2)</f>
        <v>255.68</v>
      </c>
      <c r="O21" s="7">
        <f aca="true" t="shared" si="8" ref="O21:O41">I21+N21</f>
        <v>130175.39</v>
      </c>
    </row>
    <row r="22" spans="1:15" ht="12.75">
      <c r="A22" s="22">
        <v>871</v>
      </c>
      <c r="B22" s="156">
        <f>SUMIF('Gas Labor'!A:A,A22,'Gas Labor'!G:G)</f>
        <v>0</v>
      </c>
      <c r="C22" s="60">
        <f>SUMIF('Gas Labor'!A:A,A22,'Gas Labor'!D:D)+SUMIF('Gas Labor'!A:A,A22,'Gas Labor'!C:C)</f>
        <v>0</v>
      </c>
      <c r="D22" s="60">
        <f>SUMIF('Gas Labor'!A:A,A22,'Gas Labor'!F:F)</f>
        <v>0</v>
      </c>
      <c r="E22" s="69">
        <f aca="true" t="shared" si="9" ref="E22:E41">C22*$S$10</f>
        <v>0</v>
      </c>
      <c r="F22" s="69">
        <f t="shared" si="3"/>
        <v>0</v>
      </c>
      <c r="G22" s="60">
        <f>SUMIF('Gas Labor'!A:A,A22,'Gas Labor'!E:E)</f>
        <v>0</v>
      </c>
      <c r="H22" s="69">
        <f aca="true" t="shared" si="10" ref="H22:H41">ROUND(C22*$T$10,2)</f>
        <v>0</v>
      </c>
      <c r="I22" s="69">
        <f t="shared" si="4"/>
        <v>0</v>
      </c>
      <c r="J22" s="8"/>
      <c r="K22" s="7">
        <f t="shared" si="5"/>
        <v>0</v>
      </c>
      <c r="L22" s="7">
        <f t="shared" si="6"/>
        <v>0</v>
      </c>
      <c r="M22" s="8"/>
      <c r="N22" s="7">
        <f t="shared" si="7"/>
        <v>0</v>
      </c>
      <c r="O22" s="7">
        <f t="shared" si="8"/>
        <v>0</v>
      </c>
    </row>
    <row r="23" spans="1:15" ht="12.75">
      <c r="A23" s="22">
        <v>872</v>
      </c>
      <c r="B23" s="156">
        <f>SUMIF('Gas Labor'!A:A,A23,'Gas Labor'!G:G)</f>
        <v>0</v>
      </c>
      <c r="C23" s="60">
        <f>SUMIF('Gas Labor'!A:A,A23,'Gas Labor'!D:D)+SUMIF('Gas Labor'!A:A,A23,'Gas Labor'!C:C)</f>
        <v>0</v>
      </c>
      <c r="D23" s="60">
        <f>SUMIF('Gas Labor'!A:A,A23,'Gas Labor'!F:F)</f>
        <v>0</v>
      </c>
      <c r="E23" s="69">
        <f t="shared" si="9"/>
        <v>0</v>
      </c>
      <c r="F23" s="69">
        <f t="shared" si="3"/>
        <v>0</v>
      </c>
      <c r="G23" s="60">
        <f>SUMIF('Gas Labor'!A:A,A23,'Gas Labor'!E:E)</f>
        <v>0</v>
      </c>
      <c r="H23" s="69">
        <f t="shared" si="10"/>
        <v>0</v>
      </c>
      <c r="I23" s="69">
        <f t="shared" si="4"/>
        <v>0</v>
      </c>
      <c r="J23" s="8"/>
      <c r="K23" s="7">
        <f t="shared" si="5"/>
        <v>0</v>
      </c>
      <c r="L23" s="7">
        <f t="shared" si="6"/>
        <v>0</v>
      </c>
      <c r="M23" s="8"/>
      <c r="N23" s="7">
        <f t="shared" si="7"/>
        <v>0</v>
      </c>
      <c r="O23" s="7">
        <f t="shared" si="8"/>
        <v>0</v>
      </c>
    </row>
    <row r="24" spans="1:15" ht="12.75">
      <c r="A24" s="22">
        <v>874</v>
      </c>
      <c r="B24" s="156">
        <f>SUMIF('Gas Labor'!A:A,A24,'Gas Labor'!G:G)</f>
        <v>823167.38</v>
      </c>
      <c r="C24" s="60">
        <f>SUMIF('Gas Labor'!A:A,A24,'Gas Labor'!D:D)+SUMIF('Gas Labor'!A:A,A24,'Gas Labor'!C:C)</f>
        <v>103364.69</v>
      </c>
      <c r="D24" s="60">
        <f>SUMIF('Gas Labor'!A:A,A24,'Gas Labor'!F:F)</f>
        <v>498116.53</v>
      </c>
      <c r="E24" s="69">
        <f t="shared" si="9"/>
        <v>64105.75</v>
      </c>
      <c r="F24" s="69">
        <f t="shared" si="3"/>
        <v>562222.28</v>
      </c>
      <c r="G24" s="60">
        <f>SUMIF('Gas Labor'!A:A,A24,'Gas Labor'!E:E)</f>
        <v>221686.16</v>
      </c>
      <c r="H24" s="69">
        <f t="shared" si="10"/>
        <v>39258.94</v>
      </c>
      <c r="I24" s="69">
        <f t="shared" si="4"/>
        <v>260945.1</v>
      </c>
      <c r="J24" s="8"/>
      <c r="K24" s="7">
        <f t="shared" si="5"/>
        <v>1151.65</v>
      </c>
      <c r="L24" s="7">
        <f t="shared" si="6"/>
        <v>563373.93</v>
      </c>
      <c r="M24" s="8"/>
      <c r="N24" s="7">
        <f t="shared" si="7"/>
        <v>513.54</v>
      </c>
      <c r="O24" s="7">
        <f t="shared" si="8"/>
        <v>261458.64</v>
      </c>
    </row>
    <row r="25" spans="1:15" ht="12.75">
      <c r="A25" s="22">
        <v>875</v>
      </c>
      <c r="B25" s="156">
        <f>SUMIF('Gas Labor'!A:A,A25,'Gas Labor'!G:G)</f>
        <v>70728.26</v>
      </c>
      <c r="C25" s="60">
        <f>SUMIF('Gas Labor'!A:A,A25,'Gas Labor'!D:D)+SUMIF('Gas Labor'!A:A,A25,'Gas Labor'!C:C)</f>
        <v>0</v>
      </c>
      <c r="D25" s="60">
        <f>SUMIF('Gas Labor'!A:A,A25,'Gas Labor'!F:F)</f>
        <v>32583.43</v>
      </c>
      <c r="E25" s="69">
        <f t="shared" si="9"/>
        <v>0</v>
      </c>
      <c r="F25" s="69">
        <f t="shared" si="3"/>
        <v>32583.43</v>
      </c>
      <c r="G25" s="60">
        <f>SUMIF('Gas Labor'!A:A,A25,'Gas Labor'!E:E)</f>
        <v>38144.83</v>
      </c>
      <c r="H25" s="69">
        <f t="shared" si="10"/>
        <v>0</v>
      </c>
      <c r="I25" s="69">
        <f t="shared" si="4"/>
        <v>38144.83</v>
      </c>
      <c r="J25" s="8"/>
      <c r="K25" s="7">
        <f t="shared" si="5"/>
        <v>66.74</v>
      </c>
      <c r="L25" s="7">
        <f t="shared" si="6"/>
        <v>32650.17</v>
      </c>
      <c r="M25" s="8"/>
      <c r="N25" s="7">
        <f t="shared" si="7"/>
        <v>75.07</v>
      </c>
      <c r="O25" s="7">
        <f t="shared" si="8"/>
        <v>38219.9</v>
      </c>
    </row>
    <row r="26" spans="1:15" ht="12.75">
      <c r="A26" s="22">
        <v>876</v>
      </c>
      <c r="B26" s="156">
        <f>SUMIF('Gas Labor'!A:A,A26,'Gas Labor'!G:G)</f>
        <v>4506.94</v>
      </c>
      <c r="C26" s="60">
        <f>SUMIF('Gas Labor'!A:A,A26,'Gas Labor'!D:D)+SUMIF('Gas Labor'!A:A,A26,'Gas Labor'!C:C)</f>
        <v>0</v>
      </c>
      <c r="D26" s="60">
        <f>SUMIF('Gas Labor'!A:A,A26,'Gas Labor'!F:F)</f>
        <v>3246.21</v>
      </c>
      <c r="E26" s="69">
        <f t="shared" si="9"/>
        <v>0</v>
      </c>
      <c r="F26" s="69">
        <f t="shared" si="3"/>
        <v>3246.21</v>
      </c>
      <c r="G26" s="60">
        <f>SUMIF('Gas Labor'!A:A,A26,'Gas Labor'!E:E)</f>
        <v>1260.73</v>
      </c>
      <c r="H26" s="69">
        <f t="shared" si="10"/>
        <v>0</v>
      </c>
      <c r="I26" s="69">
        <f t="shared" si="4"/>
        <v>1260.73</v>
      </c>
      <c r="J26" s="8"/>
      <c r="K26" s="7">
        <f t="shared" si="5"/>
        <v>6.65</v>
      </c>
      <c r="L26" s="7">
        <f t="shared" si="6"/>
        <v>3252.86</v>
      </c>
      <c r="M26" s="8"/>
      <c r="N26" s="7">
        <f t="shared" si="7"/>
        <v>2.48</v>
      </c>
      <c r="O26" s="7">
        <f t="shared" si="8"/>
        <v>1263.21</v>
      </c>
    </row>
    <row r="27" spans="1:15" ht="12.75">
      <c r="A27" s="22">
        <v>877</v>
      </c>
      <c r="B27" s="156">
        <f>SUMIF('Gas Labor'!A:A,A27,'Gas Labor'!G:G)</f>
        <v>62120.19</v>
      </c>
      <c r="C27" s="60">
        <f>SUMIF('Gas Labor'!A:A,A27,'Gas Labor'!D:D)+SUMIF('Gas Labor'!A:A,A27,'Gas Labor'!C:C)</f>
        <v>0</v>
      </c>
      <c r="D27" s="60">
        <f>SUMIF('Gas Labor'!A:A,A27,'Gas Labor'!F:F)</f>
        <v>33117.74</v>
      </c>
      <c r="E27" s="69">
        <f t="shared" si="9"/>
        <v>0</v>
      </c>
      <c r="F27" s="69">
        <f t="shared" si="3"/>
        <v>33117.74</v>
      </c>
      <c r="G27" s="60">
        <f>SUMIF('Gas Labor'!A:A,A27,'Gas Labor'!E:E)</f>
        <v>29002.45</v>
      </c>
      <c r="H27" s="69">
        <f t="shared" si="10"/>
        <v>0</v>
      </c>
      <c r="I27" s="69">
        <f t="shared" si="4"/>
        <v>29002.45</v>
      </c>
      <c r="J27" s="8"/>
      <c r="K27" s="7">
        <f t="shared" si="5"/>
        <v>67.84</v>
      </c>
      <c r="L27" s="7">
        <f t="shared" si="6"/>
        <v>33185.58</v>
      </c>
      <c r="M27" s="8"/>
      <c r="N27" s="7">
        <f t="shared" si="7"/>
        <v>57.08</v>
      </c>
      <c r="O27" s="7">
        <f t="shared" si="8"/>
        <v>29059.53</v>
      </c>
    </row>
    <row r="28" spans="1:15" ht="12.75">
      <c r="A28" s="22">
        <v>878</v>
      </c>
      <c r="B28" s="156">
        <f>SUMIF('Gas Labor'!A:A,A28,'Gas Labor'!G:G)</f>
        <v>594645.45</v>
      </c>
      <c r="C28" s="60">
        <f>SUMIF('Gas Labor'!A:A,A28,'Gas Labor'!D:D)+SUMIF('Gas Labor'!A:A,A28,'Gas Labor'!C:C)</f>
        <v>1626.9</v>
      </c>
      <c r="D28" s="60">
        <f>SUMIF('Gas Labor'!A:A,A28,'Gas Labor'!F:F)</f>
        <v>329868.93</v>
      </c>
      <c r="E28" s="69">
        <f t="shared" si="9"/>
        <v>1008.99</v>
      </c>
      <c r="F28" s="69">
        <f t="shared" si="3"/>
        <v>330877.92</v>
      </c>
      <c r="G28" s="60">
        <f>SUMIF('Gas Labor'!A:A,A28,'Gas Labor'!E:E)</f>
        <v>263149.62</v>
      </c>
      <c r="H28" s="69">
        <f t="shared" si="10"/>
        <v>617.91</v>
      </c>
      <c r="I28" s="69">
        <f t="shared" si="4"/>
        <v>263767.53</v>
      </c>
      <c r="J28" s="8"/>
      <c r="K28" s="7">
        <f t="shared" si="5"/>
        <v>677.77</v>
      </c>
      <c r="L28" s="7">
        <f t="shared" si="6"/>
        <v>331555.69</v>
      </c>
      <c r="M28" s="8"/>
      <c r="N28" s="7">
        <f t="shared" si="7"/>
        <v>519.09</v>
      </c>
      <c r="O28" s="7">
        <f t="shared" si="8"/>
        <v>264286.62</v>
      </c>
    </row>
    <row r="29" spans="1:15" ht="12.75">
      <c r="A29" s="22">
        <v>879</v>
      </c>
      <c r="B29" s="156">
        <f>SUMIF('Gas Labor'!A:A,A29,'Gas Labor'!G:G)</f>
        <v>766793.89</v>
      </c>
      <c r="C29" s="60">
        <f>SUMIF('Gas Labor'!A:A,A29,'Gas Labor'!D:D)+SUMIF('Gas Labor'!A:A,A29,'Gas Labor'!C:C)</f>
        <v>0</v>
      </c>
      <c r="D29" s="60">
        <f>SUMIF('Gas Labor'!A:A,A29,'Gas Labor'!F:F)</f>
        <v>415635.8</v>
      </c>
      <c r="E29" s="69">
        <f t="shared" si="9"/>
        <v>0</v>
      </c>
      <c r="F29" s="69">
        <f t="shared" si="3"/>
        <v>415635.8</v>
      </c>
      <c r="G29" s="60">
        <f>SUMIF('Gas Labor'!A:A,A29,'Gas Labor'!E:E)</f>
        <v>351158.09</v>
      </c>
      <c r="H29" s="69">
        <f t="shared" si="10"/>
        <v>0</v>
      </c>
      <c r="I29" s="69">
        <f t="shared" si="4"/>
        <v>351158.09</v>
      </c>
      <c r="J29" s="8"/>
      <c r="K29" s="7">
        <f t="shared" si="5"/>
        <v>851.38</v>
      </c>
      <c r="L29" s="7">
        <f t="shared" si="6"/>
        <v>416487.18</v>
      </c>
      <c r="M29" s="8"/>
      <c r="N29" s="7">
        <f t="shared" si="7"/>
        <v>691.07</v>
      </c>
      <c r="O29" s="7">
        <f t="shared" si="8"/>
        <v>351849.16</v>
      </c>
    </row>
    <row r="30" spans="1:15" ht="12.75">
      <c r="A30" s="22">
        <v>880</v>
      </c>
      <c r="B30" s="156">
        <f>SUMIF('Gas Labor'!A:A,A30,'Gas Labor'!G:G)</f>
        <v>884907.27</v>
      </c>
      <c r="C30" s="60">
        <f>SUMIF('Gas Labor'!A:A,A30,'Gas Labor'!D:D)+SUMIF('Gas Labor'!A:A,A30,'Gas Labor'!C:C)</f>
        <v>209203.14</v>
      </c>
      <c r="D30" s="60">
        <f>SUMIF('Gas Labor'!A:A,A30,'Gas Labor'!F:F)</f>
        <v>437890.42</v>
      </c>
      <c r="E30" s="69">
        <f t="shared" si="9"/>
        <v>129745.7</v>
      </c>
      <c r="F30" s="69">
        <f t="shared" si="3"/>
        <v>567636.12</v>
      </c>
      <c r="G30" s="60">
        <f>SUMIF('Gas Labor'!A:A,A30,'Gas Labor'!E:E)</f>
        <v>237813.71</v>
      </c>
      <c r="H30" s="69">
        <f t="shared" si="10"/>
        <v>79457.44</v>
      </c>
      <c r="I30" s="69">
        <f t="shared" si="4"/>
        <v>317271.15</v>
      </c>
      <c r="J30" s="8"/>
      <c r="K30" s="7">
        <f t="shared" si="5"/>
        <v>1162.74</v>
      </c>
      <c r="L30" s="7">
        <f t="shared" si="6"/>
        <v>568798.86</v>
      </c>
      <c r="M30" s="8"/>
      <c r="N30" s="7">
        <f t="shared" si="7"/>
        <v>624.39</v>
      </c>
      <c r="O30" s="7">
        <f t="shared" si="8"/>
        <v>317895.54</v>
      </c>
    </row>
    <row r="31" spans="1:15" ht="12.75">
      <c r="A31" s="22">
        <v>881</v>
      </c>
      <c r="B31" s="156">
        <f>SUMIF('Gas Labor'!A:A,A31,'Gas Labor'!G:G)</f>
        <v>0</v>
      </c>
      <c r="C31" s="60">
        <f>SUMIF('Gas Labor'!A:A,A31,'Gas Labor'!D:D)+SUMIF('Gas Labor'!A:A,A31,'Gas Labor'!C:C)</f>
        <v>0</v>
      </c>
      <c r="D31" s="60">
        <f>SUMIF('Gas Labor'!A:A,A31,'Gas Labor'!F:F)</f>
        <v>0</v>
      </c>
      <c r="E31" s="69">
        <f t="shared" si="9"/>
        <v>0</v>
      </c>
      <c r="F31" s="69">
        <f t="shared" si="3"/>
        <v>0</v>
      </c>
      <c r="G31" s="60">
        <f>SUMIF('Gas Labor'!A:A,A31,'Gas Labor'!E:E)</f>
        <v>0</v>
      </c>
      <c r="H31" s="69">
        <f t="shared" si="10"/>
        <v>0</v>
      </c>
      <c r="I31" s="69">
        <f t="shared" si="4"/>
        <v>0</v>
      </c>
      <c r="J31" s="8"/>
      <c r="K31" s="7">
        <f t="shared" si="5"/>
        <v>0</v>
      </c>
      <c r="L31" s="7">
        <f t="shared" si="6"/>
        <v>0</v>
      </c>
      <c r="M31" s="8"/>
      <c r="N31" s="7">
        <f t="shared" si="7"/>
        <v>0</v>
      </c>
      <c r="O31" s="7">
        <f t="shared" si="8"/>
        <v>0</v>
      </c>
    </row>
    <row r="32" spans="1:15" ht="12.75">
      <c r="A32" s="22">
        <v>885</v>
      </c>
      <c r="B32" s="156">
        <f>SUMIF('Gas Labor'!A:A,A32,'Gas Labor'!G:G)</f>
        <v>67667.82</v>
      </c>
      <c r="C32" s="60">
        <f>SUMIF('Gas Labor'!A:A,A32,'Gas Labor'!D:D)+SUMIF('Gas Labor'!A:A,A32,'Gas Labor'!C:C)</f>
        <v>0</v>
      </c>
      <c r="D32" s="60">
        <f>SUMIF('Gas Labor'!A:A,A32,'Gas Labor'!F:F)</f>
        <v>59971.59</v>
      </c>
      <c r="E32" s="69">
        <f t="shared" si="9"/>
        <v>0</v>
      </c>
      <c r="F32" s="69">
        <f t="shared" si="3"/>
        <v>59971.59</v>
      </c>
      <c r="G32" s="60">
        <f>SUMIF('Gas Labor'!A:A,A32,'Gas Labor'!E:E)</f>
        <v>7696.23</v>
      </c>
      <c r="H32" s="69">
        <f t="shared" si="10"/>
        <v>0</v>
      </c>
      <c r="I32" s="69">
        <f t="shared" si="4"/>
        <v>7696.23</v>
      </c>
      <c r="J32" s="8"/>
      <c r="K32" s="7">
        <f t="shared" si="5"/>
        <v>122.85</v>
      </c>
      <c r="L32" s="7">
        <f t="shared" si="6"/>
        <v>60094.44</v>
      </c>
      <c r="M32" s="8"/>
      <c r="N32" s="7">
        <f t="shared" si="7"/>
        <v>15.15</v>
      </c>
      <c r="O32" s="7">
        <f t="shared" si="8"/>
        <v>7711.38</v>
      </c>
    </row>
    <row r="33" spans="1:15" ht="12.75">
      <c r="A33" s="22">
        <v>886</v>
      </c>
      <c r="B33" s="156">
        <f>SUMIF('Gas Labor'!A:A,A33,'Gas Labor'!G:G)</f>
        <v>0</v>
      </c>
      <c r="C33" s="60">
        <f>SUMIF('Gas Labor'!A:A,A33,'Gas Labor'!D:D)+SUMIF('Gas Labor'!A:A,A33,'Gas Labor'!C:C)</f>
        <v>0</v>
      </c>
      <c r="D33" s="60">
        <f>SUMIF('Gas Labor'!A:A,A33,'Gas Labor'!F:F)</f>
        <v>0</v>
      </c>
      <c r="E33" s="69">
        <f t="shared" si="9"/>
        <v>0</v>
      </c>
      <c r="F33" s="69">
        <f t="shared" si="3"/>
        <v>0</v>
      </c>
      <c r="G33" s="60">
        <f>SUMIF('Gas Labor'!A:A,A33,'Gas Labor'!E:E)</f>
        <v>0</v>
      </c>
      <c r="H33" s="69">
        <f t="shared" si="10"/>
        <v>0</v>
      </c>
      <c r="I33" s="69">
        <f t="shared" si="4"/>
        <v>0</v>
      </c>
      <c r="J33" s="8"/>
      <c r="K33" s="7">
        <f t="shared" si="5"/>
        <v>0</v>
      </c>
      <c r="L33" s="7">
        <f t="shared" si="6"/>
        <v>0</v>
      </c>
      <c r="M33" s="8"/>
      <c r="N33" s="7">
        <f t="shared" si="7"/>
        <v>0</v>
      </c>
      <c r="O33" s="7">
        <f t="shared" si="8"/>
        <v>0</v>
      </c>
    </row>
    <row r="34" spans="1:15" ht="12.75">
      <c r="A34" s="22">
        <v>887</v>
      </c>
      <c r="B34" s="156">
        <f>SUMIF('Gas Labor'!A:A,A34,'Gas Labor'!G:G)</f>
        <v>700527.1</v>
      </c>
      <c r="C34" s="60">
        <f>SUMIF('Gas Labor'!A:A,A34,'Gas Labor'!D:D)+SUMIF('Gas Labor'!A:A,A34,'Gas Labor'!C:C)</f>
        <v>102551.79</v>
      </c>
      <c r="D34" s="60">
        <f>SUMIF('Gas Labor'!A:A,A34,'Gas Labor'!F:F)</f>
        <v>384972.68</v>
      </c>
      <c r="E34" s="69">
        <f t="shared" si="9"/>
        <v>63601.59</v>
      </c>
      <c r="F34" s="69">
        <f t="shared" si="3"/>
        <v>448574.27</v>
      </c>
      <c r="G34" s="60">
        <f>SUMIF('Gas Labor'!A:A,A34,'Gas Labor'!E:E)</f>
        <v>213002.63</v>
      </c>
      <c r="H34" s="69">
        <f t="shared" si="10"/>
        <v>38950.2</v>
      </c>
      <c r="I34" s="69">
        <f t="shared" si="4"/>
        <v>251952.83</v>
      </c>
      <c r="J34" s="8"/>
      <c r="K34" s="7">
        <f t="shared" si="5"/>
        <v>918.86</v>
      </c>
      <c r="L34" s="7">
        <f t="shared" si="6"/>
        <v>449493.13</v>
      </c>
      <c r="M34" s="8"/>
      <c r="N34" s="7">
        <f t="shared" si="7"/>
        <v>495.84</v>
      </c>
      <c r="O34" s="7">
        <f t="shared" si="8"/>
        <v>252448.67</v>
      </c>
    </row>
    <row r="35" spans="1:15" ht="12.75">
      <c r="A35" s="22">
        <v>888</v>
      </c>
      <c r="B35" s="156">
        <f>SUMIF('Gas Labor'!A:A,A35,'Gas Labor'!G:G)</f>
        <v>0</v>
      </c>
      <c r="C35" s="60">
        <f>SUMIF('Gas Labor'!A:A,A35,'Gas Labor'!D:D)+SUMIF('Gas Labor'!A:A,A35,'Gas Labor'!C:C)</f>
        <v>0</v>
      </c>
      <c r="D35" s="60">
        <f>SUMIF('Gas Labor'!A:A,A35,'Gas Labor'!F:F)</f>
        <v>0</v>
      </c>
      <c r="E35" s="69">
        <f t="shared" si="9"/>
        <v>0</v>
      </c>
      <c r="F35" s="69">
        <f t="shared" si="3"/>
        <v>0</v>
      </c>
      <c r="G35" s="60">
        <f>SUMIF('Gas Labor'!A:A,A35,'Gas Labor'!E:E)</f>
        <v>0</v>
      </c>
      <c r="H35" s="69">
        <f t="shared" si="10"/>
        <v>0</v>
      </c>
      <c r="I35" s="69">
        <f t="shared" si="4"/>
        <v>0</v>
      </c>
      <c r="J35" s="8"/>
      <c r="K35" s="7">
        <f t="shared" si="5"/>
        <v>0</v>
      </c>
      <c r="L35" s="7">
        <f t="shared" si="6"/>
        <v>0</v>
      </c>
      <c r="M35" s="8"/>
      <c r="N35" s="7">
        <f t="shared" si="7"/>
        <v>0</v>
      </c>
      <c r="O35" s="7">
        <f t="shared" si="8"/>
        <v>0</v>
      </c>
    </row>
    <row r="36" spans="1:15" ht="12.75">
      <c r="A36" s="22">
        <v>889</v>
      </c>
      <c r="B36" s="156">
        <f>SUMIF('Gas Labor'!A:A,A36,'Gas Labor'!G:G)</f>
        <v>75842.32</v>
      </c>
      <c r="C36" s="60">
        <f>SUMIF('Gas Labor'!A:A,A36,'Gas Labor'!D:D)+SUMIF('Gas Labor'!A:A,A36,'Gas Labor'!C:C)</f>
        <v>1583.5</v>
      </c>
      <c r="D36" s="60">
        <f>SUMIF('Gas Labor'!A:A,A36,'Gas Labor'!F:F)</f>
        <v>43353.81</v>
      </c>
      <c r="E36" s="69">
        <f t="shared" si="9"/>
        <v>982.07</v>
      </c>
      <c r="F36" s="69">
        <f t="shared" si="3"/>
        <v>44335.88</v>
      </c>
      <c r="G36" s="60">
        <f>SUMIF('Gas Labor'!A:A,A36,'Gas Labor'!E:E)</f>
        <v>30905.01</v>
      </c>
      <c r="H36" s="69">
        <f t="shared" si="10"/>
        <v>601.43</v>
      </c>
      <c r="I36" s="69">
        <f t="shared" si="4"/>
        <v>31506.44</v>
      </c>
      <c r="J36" s="8"/>
      <c r="K36" s="7">
        <f t="shared" si="5"/>
        <v>90.82</v>
      </c>
      <c r="L36" s="7">
        <f t="shared" si="6"/>
        <v>44426.7</v>
      </c>
      <c r="M36" s="8"/>
      <c r="N36" s="7">
        <f t="shared" si="7"/>
        <v>62</v>
      </c>
      <c r="O36" s="7">
        <f t="shared" si="8"/>
        <v>31568.44</v>
      </c>
    </row>
    <row r="37" spans="1:15" ht="12.75">
      <c r="A37" s="22">
        <v>890</v>
      </c>
      <c r="B37" s="156">
        <f>SUMIF('Gas Labor'!A:A,A37,'Gas Labor'!G:G)</f>
        <v>126010.77</v>
      </c>
      <c r="C37" s="60">
        <f>SUMIF('Gas Labor'!A:A,A37,'Gas Labor'!D:D)+SUMIF('Gas Labor'!A:A,A37,'Gas Labor'!C:C)</f>
        <v>59883.91</v>
      </c>
      <c r="D37" s="60">
        <f>SUMIF('Gas Labor'!A:A,A37,'Gas Labor'!F:F)</f>
        <v>34840.59</v>
      </c>
      <c r="E37" s="69">
        <f t="shared" si="9"/>
        <v>37139.4</v>
      </c>
      <c r="F37" s="69">
        <f t="shared" si="3"/>
        <v>71979.99</v>
      </c>
      <c r="G37" s="60">
        <f>SUMIF('Gas Labor'!A:A,A37,'Gas Labor'!E:E)</f>
        <v>31286.27</v>
      </c>
      <c r="H37" s="69">
        <f t="shared" si="10"/>
        <v>22744.51</v>
      </c>
      <c r="I37" s="69">
        <f t="shared" si="4"/>
        <v>54030.78</v>
      </c>
      <c r="J37" s="8"/>
      <c r="K37" s="7">
        <f t="shared" si="5"/>
        <v>147.44</v>
      </c>
      <c r="L37" s="7">
        <f t="shared" si="6"/>
        <v>72127.43</v>
      </c>
      <c r="M37" s="8"/>
      <c r="N37" s="7">
        <f t="shared" si="7"/>
        <v>106.33</v>
      </c>
      <c r="O37" s="7">
        <f t="shared" si="8"/>
        <v>54137.11</v>
      </c>
    </row>
    <row r="38" spans="1:15" ht="12.75">
      <c r="A38" s="22">
        <v>891</v>
      </c>
      <c r="B38" s="156">
        <f>SUMIF('Gas Labor'!A:A,A38,'Gas Labor'!G:G)</f>
        <v>21487.49</v>
      </c>
      <c r="C38" s="60">
        <f>SUMIF('Gas Labor'!A:A,A38,'Gas Labor'!D:D)+SUMIF('Gas Labor'!A:A,A38,'Gas Labor'!C:C)</f>
        <v>0</v>
      </c>
      <c r="D38" s="60">
        <f>SUMIF('Gas Labor'!A:A,A38,'Gas Labor'!F:F)</f>
        <v>10316.9</v>
      </c>
      <c r="E38" s="69">
        <f t="shared" si="9"/>
        <v>0</v>
      </c>
      <c r="F38" s="69">
        <f t="shared" si="3"/>
        <v>10316.9</v>
      </c>
      <c r="G38" s="60">
        <f>SUMIF('Gas Labor'!A:A,A38,'Gas Labor'!E:E)</f>
        <v>11170.59</v>
      </c>
      <c r="H38" s="69">
        <f t="shared" si="10"/>
        <v>0</v>
      </c>
      <c r="I38" s="69">
        <f t="shared" si="4"/>
        <v>11170.59</v>
      </c>
      <c r="J38" s="8"/>
      <c r="K38" s="7">
        <f t="shared" si="5"/>
        <v>21.13</v>
      </c>
      <c r="L38" s="7">
        <f t="shared" si="6"/>
        <v>10338.03</v>
      </c>
      <c r="M38" s="8"/>
      <c r="N38" s="7">
        <f t="shared" si="7"/>
        <v>21.98</v>
      </c>
      <c r="O38" s="7">
        <f t="shared" si="8"/>
        <v>11192.57</v>
      </c>
    </row>
    <row r="39" spans="1:15" ht="12.75">
      <c r="A39" s="22">
        <v>892</v>
      </c>
      <c r="B39" s="156">
        <f>SUMIF('Gas Labor'!A:A,A39,'Gas Labor'!G:G)</f>
        <v>413173.1</v>
      </c>
      <c r="C39" s="60">
        <f>SUMIF('Gas Labor'!A:A,A39,'Gas Labor'!D:D)+SUMIF('Gas Labor'!A:A,A39,'Gas Labor'!C:C)</f>
        <v>158570.26</v>
      </c>
      <c r="D39" s="60">
        <f>SUMIF('Gas Labor'!A:A,A39,'Gas Labor'!F:F)</f>
        <v>147171.66</v>
      </c>
      <c r="E39" s="69">
        <f t="shared" si="9"/>
        <v>98343.69</v>
      </c>
      <c r="F39" s="69">
        <f t="shared" si="3"/>
        <v>245515.35</v>
      </c>
      <c r="G39" s="60">
        <f>SUMIF('Gas Labor'!A:A,A39,'Gas Labor'!E:E)</f>
        <v>107431.18</v>
      </c>
      <c r="H39" s="69">
        <f t="shared" si="10"/>
        <v>60226.57</v>
      </c>
      <c r="I39" s="69">
        <f t="shared" si="4"/>
        <v>167657.75</v>
      </c>
      <c r="J39" s="8"/>
      <c r="K39" s="7">
        <f t="shared" si="5"/>
        <v>502.91</v>
      </c>
      <c r="L39" s="7">
        <f t="shared" si="6"/>
        <v>246018.26</v>
      </c>
      <c r="M39" s="8"/>
      <c r="N39" s="7">
        <f t="shared" si="7"/>
        <v>329.95</v>
      </c>
      <c r="O39" s="7">
        <f t="shared" si="8"/>
        <v>167987.7</v>
      </c>
    </row>
    <row r="40" spans="1:15" ht="12.75">
      <c r="A40" s="22">
        <v>893</v>
      </c>
      <c r="B40" s="156">
        <f>SUMIF('Gas Labor'!A:A,A40,'Gas Labor'!G:G)</f>
        <v>375609.73</v>
      </c>
      <c r="C40" s="60">
        <f>SUMIF('Gas Labor'!A:A,A40,'Gas Labor'!D:D)+SUMIF('Gas Labor'!A:A,A40,'Gas Labor'!C:C)</f>
        <v>187737.67</v>
      </c>
      <c r="D40" s="60">
        <f>SUMIF('Gas Labor'!A:A,A40,'Gas Labor'!F:F)</f>
        <v>146963.18</v>
      </c>
      <c r="E40" s="69">
        <f t="shared" si="9"/>
        <v>116433.03</v>
      </c>
      <c r="F40" s="69">
        <f t="shared" si="3"/>
        <v>263396.21</v>
      </c>
      <c r="G40" s="60">
        <f>SUMIF('Gas Labor'!A:A,A40,'Gas Labor'!E:E)</f>
        <v>40908.88</v>
      </c>
      <c r="H40" s="69">
        <f t="shared" si="10"/>
        <v>71304.64</v>
      </c>
      <c r="I40" s="69">
        <f t="shared" si="4"/>
        <v>112213.52</v>
      </c>
      <c r="J40" s="8"/>
      <c r="K40" s="7">
        <f t="shared" si="5"/>
        <v>539.54</v>
      </c>
      <c r="L40" s="7">
        <f t="shared" si="6"/>
        <v>263935.75</v>
      </c>
      <c r="M40" s="8"/>
      <c r="N40" s="7">
        <f t="shared" si="7"/>
        <v>220.83</v>
      </c>
      <c r="O40" s="7">
        <f t="shared" si="8"/>
        <v>112434.35</v>
      </c>
    </row>
    <row r="41" spans="1:15" ht="12.75">
      <c r="A41" s="22">
        <v>894</v>
      </c>
      <c r="B41" s="156">
        <f>SUMIF('Gas Labor'!A:A,A41,'Gas Labor'!G:G)</f>
        <v>9610.84</v>
      </c>
      <c r="C41" s="60">
        <f>SUMIF('Gas Labor'!A:A,A41,'Gas Labor'!D:D)+SUMIF('Gas Labor'!A:A,A41,'Gas Labor'!C:C)</f>
        <v>9797.2</v>
      </c>
      <c r="D41" s="60">
        <f>SUMIF('Gas Labor'!A:A,A41,'Gas Labor'!F:F)</f>
        <v>0</v>
      </c>
      <c r="E41" s="69">
        <f t="shared" si="9"/>
        <v>6076.13</v>
      </c>
      <c r="F41" s="69">
        <f t="shared" si="3"/>
        <v>6076.13</v>
      </c>
      <c r="G41" s="60">
        <f>SUMIF('Gas Labor'!A:A,A41,'Gas Labor'!E:E)</f>
        <v>-186.36</v>
      </c>
      <c r="H41" s="69">
        <f t="shared" si="10"/>
        <v>3721.07</v>
      </c>
      <c r="I41" s="69">
        <f t="shared" si="4"/>
        <v>3534.71</v>
      </c>
      <c r="J41" s="8"/>
      <c r="K41" s="7">
        <f t="shared" si="5"/>
        <v>12.45</v>
      </c>
      <c r="L41" s="7">
        <f t="shared" si="6"/>
        <v>6088.58</v>
      </c>
      <c r="M41" s="8"/>
      <c r="N41" s="7">
        <f t="shared" si="7"/>
        <v>6.96</v>
      </c>
      <c r="O41" s="7">
        <f t="shared" si="8"/>
        <v>3541.67</v>
      </c>
    </row>
    <row r="42" spans="1:15" ht="12.75">
      <c r="A42" s="21" t="s">
        <v>8</v>
      </c>
      <c r="B42" s="70">
        <f aca="true" t="shared" si="11" ref="B42:I42">SUM(B21:B41)</f>
        <v>5396602.9</v>
      </c>
      <c r="C42" s="187">
        <f t="shared" si="11"/>
        <v>1092019.73</v>
      </c>
      <c r="D42" s="70">
        <f t="shared" si="11"/>
        <v>2673973.27</v>
      </c>
      <c r="E42" s="70">
        <f t="shared" si="11"/>
        <v>691397.19</v>
      </c>
      <c r="F42" s="70">
        <f t="shared" si="11"/>
        <v>3365370.46</v>
      </c>
      <c r="G42" s="70">
        <f t="shared" si="11"/>
        <v>1630609.9</v>
      </c>
      <c r="H42" s="70">
        <f t="shared" si="11"/>
        <v>400622.54</v>
      </c>
      <c r="I42" s="70">
        <f t="shared" si="11"/>
        <v>2031232.44</v>
      </c>
      <c r="J42" s="8"/>
      <c r="K42" s="70">
        <f>SUM(K21:K41)</f>
        <v>6893.6</v>
      </c>
      <c r="L42" s="70">
        <f>SUM(L21:L41)</f>
        <v>3372264.06</v>
      </c>
      <c r="M42" s="8"/>
      <c r="N42" s="70">
        <f>SUM(N21:N41)</f>
        <v>3997.44</v>
      </c>
      <c r="O42" s="70">
        <f>SUM(O21:O41)</f>
        <v>2035229.88</v>
      </c>
    </row>
    <row r="43" spans="2:15" ht="12.75">
      <c r="B43" s="69"/>
      <c r="C43" s="69"/>
      <c r="D43" s="69"/>
      <c r="E43" s="69"/>
      <c r="F43" s="69"/>
      <c r="G43" s="69"/>
      <c r="H43" s="69"/>
      <c r="I43" s="69"/>
      <c r="J43" s="8"/>
      <c r="K43" s="69"/>
      <c r="L43" s="69"/>
      <c r="M43" s="8"/>
      <c r="N43" s="69"/>
      <c r="O43" s="69"/>
    </row>
    <row r="44" spans="1:15" ht="12.75">
      <c r="A44" s="21" t="s">
        <v>9</v>
      </c>
      <c r="B44" s="69"/>
      <c r="C44" s="69"/>
      <c r="D44" s="69"/>
      <c r="E44" s="69"/>
      <c r="F44" s="69"/>
      <c r="G44" s="69"/>
      <c r="H44" s="69"/>
      <c r="I44" s="69"/>
      <c r="J44" s="8"/>
      <c r="K44" s="69"/>
      <c r="L44" s="69"/>
      <c r="M44" s="8"/>
      <c r="N44" s="69"/>
      <c r="O44" s="69"/>
    </row>
    <row r="45" spans="1:15" ht="12.75">
      <c r="A45" s="22">
        <v>901</v>
      </c>
      <c r="B45" s="156">
        <f>SUMIF('Gas Labor'!A:A,A45,'Gas Labor'!G:G)</f>
        <v>204786.42</v>
      </c>
      <c r="C45" s="60">
        <f>SUMIF('Gas Labor'!A:A,A45,'Gas Labor'!D:D)+SUMIF('Gas Labor'!A:A,A45,'Gas Labor'!C:C)</f>
        <v>204786.42</v>
      </c>
      <c r="D45" s="60">
        <f>SUMIF('Gas Labor'!A:A,A45,'Gas Labor'!F:F)</f>
        <v>0</v>
      </c>
      <c r="E45" s="69">
        <f>C45*$S$9</f>
        <v>136535.2</v>
      </c>
      <c r="F45" s="69">
        <f>D45+E45</f>
        <v>136535.2</v>
      </c>
      <c r="G45" s="60">
        <f>SUMIF('Gas Labor'!A:A,A45,'Gas Labor'!E:E)</f>
        <v>0</v>
      </c>
      <c r="H45" s="69">
        <f>C45*$T$9</f>
        <v>68251.22</v>
      </c>
      <c r="I45" s="69">
        <f>G45+H45</f>
        <v>68251.22</v>
      </c>
      <c r="J45" s="8"/>
      <c r="K45" s="7">
        <f>ROUND(F45/(F$78-F$71)*F$71,2)</f>
        <v>279.68</v>
      </c>
      <c r="L45" s="7">
        <f>F45+K45</f>
        <v>136814.88</v>
      </c>
      <c r="M45" s="8"/>
      <c r="N45" s="7">
        <f>ROUND(I45/(I$78-I$71)*I$71,2)</f>
        <v>134.32</v>
      </c>
      <c r="O45" s="7">
        <f>I45+N45</f>
        <v>68385.54</v>
      </c>
    </row>
    <row r="46" spans="1:15" ht="12.75">
      <c r="A46" s="22">
        <v>902</v>
      </c>
      <c r="B46" s="156">
        <f>SUMIF('Gas Labor'!A:A,A46,'Gas Labor'!G:G)</f>
        <v>827452.81</v>
      </c>
      <c r="C46" s="60">
        <f>SUMIF('Gas Labor'!A:A,A46,'Gas Labor'!D:D)+SUMIF('Gas Labor'!A:A,A46,'Gas Labor'!C:C)</f>
        <v>0</v>
      </c>
      <c r="D46" s="60">
        <f>SUMIF('Gas Labor'!A:A,A46,'Gas Labor'!F:F)</f>
        <v>740898.76</v>
      </c>
      <c r="E46" s="69">
        <f>C46*$S$9</f>
        <v>0</v>
      </c>
      <c r="F46" s="69">
        <f>D46+E46</f>
        <v>740898.76</v>
      </c>
      <c r="G46" s="60">
        <f>SUMIF('Gas Labor'!A:A,A46,'Gas Labor'!E:E)</f>
        <v>86554.05</v>
      </c>
      <c r="H46" s="69">
        <f>C46*$T$9</f>
        <v>0</v>
      </c>
      <c r="I46" s="69">
        <f>G46+H46</f>
        <v>86554.05</v>
      </c>
      <c r="J46" s="8"/>
      <c r="K46" s="7">
        <f>ROUND(F46/(F$78-F$71)*F$71,2)</f>
        <v>1517.65</v>
      </c>
      <c r="L46" s="7">
        <f>F46+K46</f>
        <v>742416.41</v>
      </c>
      <c r="M46" s="8"/>
      <c r="N46" s="7">
        <f>ROUND(I46/(I$78-I$71)*I$71,2)</f>
        <v>170.34</v>
      </c>
      <c r="O46" s="7">
        <f>I46+N46</f>
        <v>86724.39</v>
      </c>
    </row>
    <row r="47" spans="1:15" ht="12.75">
      <c r="A47" s="22">
        <v>903</v>
      </c>
      <c r="B47" s="156">
        <f>SUMIF('Gas Labor'!A:A,A47,'Gas Labor'!G:G)</f>
        <v>1823607.97</v>
      </c>
      <c r="C47" s="60">
        <f>SUMIF('Gas Labor'!A:A,A47,'Gas Labor'!D:D)+SUMIF('Gas Labor'!A:A,A47,'Gas Labor'!C:C)</f>
        <v>1447851.56</v>
      </c>
      <c r="D47" s="60">
        <f>SUMIF('Gas Labor'!A:A,A47,'Gas Labor'!F:F)</f>
        <v>267245.17</v>
      </c>
      <c r="E47" s="69">
        <f>C47*$S$9</f>
        <v>965311.59</v>
      </c>
      <c r="F47" s="69">
        <f>D47+E47</f>
        <v>1232556.76</v>
      </c>
      <c r="G47" s="60">
        <f>SUMIF('Gas Labor'!A:A,A47,'Gas Labor'!E:E)</f>
        <v>108511.24</v>
      </c>
      <c r="H47" s="69">
        <f>C47*$T$9</f>
        <v>482539.97</v>
      </c>
      <c r="I47" s="69">
        <f>G47+H47</f>
        <v>591051.21</v>
      </c>
      <c r="J47" s="8"/>
      <c r="K47" s="7">
        <f>ROUND(F47/(F$78-F$71)*F$71,2)</f>
        <v>2524.76</v>
      </c>
      <c r="L47" s="7">
        <f>F47+K47</f>
        <v>1235081.52</v>
      </c>
      <c r="M47" s="8"/>
      <c r="N47" s="7">
        <f>ROUND(I47/(I$78-I$71)*I$71,2)</f>
        <v>1163.18</v>
      </c>
      <c r="O47" s="7">
        <f>I47+N47</f>
        <v>592214.39</v>
      </c>
    </row>
    <row r="48" spans="1:15" ht="12.75">
      <c r="A48" s="22">
        <v>905</v>
      </c>
      <c r="B48" s="156">
        <f>SUMIF('Gas Labor'!A:A,A48,'Gas Labor'!G:G)</f>
        <v>54816.21</v>
      </c>
      <c r="C48" s="60">
        <f>SUMIF('Gas Labor'!A:A,A48,'Gas Labor'!D:D)+SUMIF('Gas Labor'!A:A,A48,'Gas Labor'!C:C)</f>
        <v>54816.21</v>
      </c>
      <c r="D48" s="60">
        <f>SUMIF('Gas Labor'!A:A,A48,'Gas Labor'!F:F)</f>
        <v>0</v>
      </c>
      <c r="E48" s="69">
        <f>C48*$S$9</f>
        <v>36547.06</v>
      </c>
      <c r="F48" s="69">
        <f>D48+E48</f>
        <v>36547.06</v>
      </c>
      <c r="G48" s="60">
        <f>SUMIF('Gas Labor'!A:A,A48,'Gas Labor'!E:E)</f>
        <v>0</v>
      </c>
      <c r="H48" s="69">
        <f>C48*$T$9</f>
        <v>18269.15</v>
      </c>
      <c r="I48" s="69">
        <f>G48+H48</f>
        <v>18269.15</v>
      </c>
      <c r="J48" s="8"/>
      <c r="K48" s="7">
        <f>ROUND(F48/(F$78-F$71)*F$71,2)</f>
        <v>74.86</v>
      </c>
      <c r="L48" s="7">
        <f>F48+K48</f>
        <v>36621.92</v>
      </c>
      <c r="M48" s="8"/>
      <c r="N48" s="7">
        <f>ROUND(I48/(I$78-I$71)*I$71,2)</f>
        <v>35.95</v>
      </c>
      <c r="O48" s="7">
        <f>I48+N48</f>
        <v>18305.1</v>
      </c>
    </row>
    <row r="49" spans="1:15" ht="12.75">
      <c r="A49" s="21" t="s">
        <v>10</v>
      </c>
      <c r="B49" s="70">
        <f aca="true" t="shared" si="12" ref="B49:I49">SUM(B45:B48)</f>
        <v>2910663.41</v>
      </c>
      <c r="C49" s="187">
        <f t="shared" si="12"/>
        <v>1707454.19</v>
      </c>
      <c r="D49" s="70">
        <f t="shared" si="12"/>
        <v>1008143.93</v>
      </c>
      <c r="E49" s="70">
        <f t="shared" si="12"/>
        <v>1138393.85</v>
      </c>
      <c r="F49" s="70">
        <f t="shared" si="12"/>
        <v>2146537.78</v>
      </c>
      <c r="G49" s="70">
        <f t="shared" si="12"/>
        <v>195065.29</v>
      </c>
      <c r="H49" s="70">
        <f t="shared" si="12"/>
        <v>569060.34</v>
      </c>
      <c r="I49" s="70">
        <f t="shared" si="12"/>
        <v>764125.63</v>
      </c>
      <c r="J49" s="8"/>
      <c r="K49" s="70">
        <f>SUM(K45:K48)</f>
        <v>4396.95</v>
      </c>
      <c r="L49" s="70">
        <f>SUM(L45:L48)</f>
        <v>2150934.73</v>
      </c>
      <c r="M49" s="8"/>
      <c r="N49" s="70">
        <f>SUM(N45:N48)</f>
        <v>1503.79</v>
      </c>
      <c r="O49" s="70">
        <f>SUM(O45:O48)</f>
        <v>765629.42</v>
      </c>
    </row>
    <row r="50" spans="2:15" ht="12.75">
      <c r="B50" s="69"/>
      <c r="C50" s="69"/>
      <c r="D50" s="69"/>
      <c r="E50" s="69"/>
      <c r="F50" s="69"/>
      <c r="G50" s="69"/>
      <c r="H50" s="69"/>
      <c r="I50" s="69"/>
      <c r="J50" s="8"/>
      <c r="K50" s="69"/>
      <c r="L50" s="69"/>
      <c r="M50" s="8"/>
      <c r="N50" s="69"/>
      <c r="O50" s="69"/>
    </row>
    <row r="51" spans="1:15" ht="12.75">
      <c r="A51" s="21" t="s">
        <v>11</v>
      </c>
      <c r="B51" s="69"/>
      <c r="C51" s="69"/>
      <c r="D51" s="69"/>
      <c r="E51" s="69"/>
      <c r="F51" s="69"/>
      <c r="G51" s="69"/>
      <c r="H51" s="69"/>
      <c r="I51" s="69"/>
      <c r="J51" s="8"/>
      <c r="K51" s="69"/>
      <c r="L51" s="69"/>
      <c r="M51" s="8"/>
      <c r="N51" s="69"/>
      <c r="O51" s="69"/>
    </row>
    <row r="52" spans="1:15" ht="12.75">
      <c r="A52" s="22">
        <v>907</v>
      </c>
      <c r="B52" s="156">
        <f>SUMIF('Gas Labor'!A:A,A52,'Gas Labor'!G:G)</f>
        <v>0</v>
      </c>
      <c r="C52" s="60">
        <f>SUMIF('Gas Labor'!A:A,A52,'Gas Labor'!D:D)+SUMIF('Gas Labor'!A:A,A52,'Gas Labor'!C:C)</f>
        <v>0</v>
      </c>
      <c r="D52" s="60">
        <f>SUMIF('Gas Labor'!A:A,A52,'Gas Labor'!F:F)</f>
        <v>0</v>
      </c>
      <c r="E52" s="69">
        <f>C52*$S$9</f>
        <v>0</v>
      </c>
      <c r="F52" s="69">
        <f>D52+E52</f>
        <v>0</v>
      </c>
      <c r="G52" s="60">
        <f>SUMIF('Gas Labor'!A:A,A52,'Gas Labor'!E:E)</f>
        <v>0</v>
      </c>
      <c r="H52" s="69">
        <f>C52*$T$9</f>
        <v>0</v>
      </c>
      <c r="I52" s="69">
        <f>G52+H52</f>
        <v>0</v>
      </c>
      <c r="J52" s="8"/>
      <c r="K52" s="7">
        <f>ROUND(F52/(F$78-F$71)*F$71,2)</f>
        <v>0</v>
      </c>
      <c r="L52" s="7">
        <f>F52+K52</f>
        <v>0</v>
      </c>
      <c r="M52" s="8"/>
      <c r="N52" s="7">
        <f>ROUND(I52/(I$78-I$71)*I$71,2)</f>
        <v>0</v>
      </c>
      <c r="O52" s="7">
        <f>I52+N52</f>
        <v>0</v>
      </c>
    </row>
    <row r="53" spans="1:15" ht="12.75">
      <c r="A53" s="22">
        <v>908</v>
      </c>
      <c r="B53" s="156">
        <f>SUMIF('Gas Labor'!A:A,A53,'Gas Labor'!G:G)</f>
        <v>184156.19</v>
      </c>
      <c r="C53" s="60">
        <f>SUMIF('Gas Labor'!A:A,A53,'Gas Labor'!D:D)+SUMIF('Gas Labor'!A:A,A53,'Gas Labor'!C:C)</f>
        <v>184156.19</v>
      </c>
      <c r="D53" s="60">
        <f>SUMIF('Gas Labor'!A:A,A53,'Gas Labor'!F:F)</f>
        <v>0</v>
      </c>
      <c r="E53" s="69">
        <f>C53*$S$9</f>
        <v>122780.61</v>
      </c>
      <c r="F53" s="69">
        <f>D53+E53</f>
        <v>122780.61</v>
      </c>
      <c r="G53" s="60">
        <f>SUMIF('Gas Labor'!A:A,A53,'Gas Labor'!E:E)</f>
        <v>0</v>
      </c>
      <c r="H53" s="69">
        <f>C53*$T$9</f>
        <v>61375.58</v>
      </c>
      <c r="I53" s="69">
        <f>G53+H53</f>
        <v>61375.58</v>
      </c>
      <c r="J53" s="8"/>
      <c r="K53" s="7">
        <f>ROUND(F53/(F$78-F$71)*F$71,2)</f>
        <v>251.5</v>
      </c>
      <c r="L53" s="7">
        <f>F53+K53</f>
        <v>123032.11</v>
      </c>
      <c r="M53" s="8"/>
      <c r="N53" s="7">
        <f>ROUND(I53/(I$78-I$71)*I$71,2)</f>
        <v>120.79</v>
      </c>
      <c r="O53" s="7">
        <f>I53+N53</f>
        <v>61496.37</v>
      </c>
    </row>
    <row r="54" spans="1:15" ht="12.75">
      <c r="A54" s="22">
        <v>909</v>
      </c>
      <c r="B54" s="156">
        <f>SUMIF('Gas Labor'!A:A,A54,'Gas Labor'!G:G)</f>
        <v>9846.18</v>
      </c>
      <c r="C54" s="60">
        <f>SUMIF('Gas Labor'!A:A,A54,'Gas Labor'!D:D)+SUMIF('Gas Labor'!A:A,A54,'Gas Labor'!C:C)</f>
        <v>9846.18</v>
      </c>
      <c r="D54" s="60">
        <f>SUMIF('Gas Labor'!A:A,A54,'Gas Labor'!F:F)</f>
        <v>0</v>
      </c>
      <c r="E54" s="69">
        <f>C54*$S$9</f>
        <v>6564.65</v>
      </c>
      <c r="F54" s="69">
        <f>D54+E54</f>
        <v>6564.65</v>
      </c>
      <c r="G54" s="60">
        <f>SUMIF('Gas Labor'!A:A,A54,'Gas Labor'!E:E)</f>
        <v>0</v>
      </c>
      <c r="H54" s="69">
        <f>C54*$T$9</f>
        <v>3281.53</v>
      </c>
      <c r="I54" s="69">
        <f>G54+H54</f>
        <v>3281.53</v>
      </c>
      <c r="J54" s="8"/>
      <c r="K54" s="7">
        <f>ROUND(F54/(F$78-F$71)*F$71,2)</f>
        <v>13.45</v>
      </c>
      <c r="L54" s="7">
        <f>F54+K54</f>
        <v>6578.1</v>
      </c>
      <c r="M54" s="8"/>
      <c r="N54" s="7">
        <f>ROUND(I54/(I$78-I$71)*I$71,2)</f>
        <v>6.46</v>
      </c>
      <c r="O54" s="7">
        <f>I54+N54</f>
        <v>3287.99</v>
      </c>
    </row>
    <row r="55" spans="1:15" ht="12.75">
      <c r="A55" s="22">
        <v>910</v>
      </c>
      <c r="B55" s="156">
        <f>SUMIF('Gas Labor'!A:A,A55,'Gas Labor'!G:G)</f>
        <v>80.32</v>
      </c>
      <c r="C55" s="60">
        <f>SUMIF('Gas Labor'!A:A,A55,'Gas Labor'!D:D)+SUMIF('Gas Labor'!A:A,A55,'Gas Labor'!C:C)</f>
        <v>80.32</v>
      </c>
      <c r="D55" s="60">
        <f>SUMIF('Gas Labor'!A:A,A55,'Gas Labor'!F:F)</f>
        <v>0</v>
      </c>
      <c r="E55" s="69">
        <f>C55*$S$9</f>
        <v>53.55</v>
      </c>
      <c r="F55" s="69">
        <f>D55+E55</f>
        <v>53.55</v>
      </c>
      <c r="G55" s="60">
        <f>SUMIF('Gas Labor'!A:A,A55,'Gas Labor'!E:E)</f>
        <v>0</v>
      </c>
      <c r="H55" s="69">
        <f>C55*$T$9</f>
        <v>26.77</v>
      </c>
      <c r="I55" s="69">
        <f>G55+H55</f>
        <v>26.77</v>
      </c>
      <c r="J55" s="8"/>
      <c r="K55" s="7">
        <f>ROUND(F55/(F$78-F$71)*F$71,2)</f>
        <v>0.11</v>
      </c>
      <c r="L55" s="7">
        <f>F55+K55</f>
        <v>53.66</v>
      </c>
      <c r="M55" s="8"/>
      <c r="N55" s="7">
        <f>ROUND(I55/(I$78-I$71)*I$71,2)</f>
        <v>0.05</v>
      </c>
      <c r="O55" s="7">
        <f>I55+N55</f>
        <v>26.82</v>
      </c>
    </row>
    <row r="56" spans="1:15" ht="12.75">
      <c r="A56" s="21" t="s">
        <v>12</v>
      </c>
      <c r="B56" s="70">
        <f aca="true" t="shared" si="13" ref="B56:I56">SUM(B52:B55)</f>
        <v>194082.69</v>
      </c>
      <c r="C56" s="187">
        <f t="shared" si="13"/>
        <v>194082.69</v>
      </c>
      <c r="D56" s="70">
        <f t="shared" si="13"/>
        <v>0</v>
      </c>
      <c r="E56" s="70">
        <f t="shared" si="13"/>
        <v>129398.81</v>
      </c>
      <c r="F56" s="70">
        <f t="shared" si="13"/>
        <v>129398.81</v>
      </c>
      <c r="G56" s="70">
        <f t="shared" si="13"/>
        <v>0</v>
      </c>
      <c r="H56" s="70">
        <f t="shared" si="13"/>
        <v>64683.88</v>
      </c>
      <c r="I56" s="70">
        <f t="shared" si="13"/>
        <v>64683.88</v>
      </c>
      <c r="J56" s="8"/>
      <c r="K56" s="70">
        <f>SUM(K52:K55)</f>
        <v>265.06</v>
      </c>
      <c r="L56" s="70">
        <f>SUM(L52:L55)</f>
        <v>129663.87</v>
      </c>
      <c r="M56" s="8"/>
      <c r="N56" s="70">
        <f>SUM(N52:N55)</f>
        <v>127.3</v>
      </c>
      <c r="O56" s="70">
        <f>SUM(O52:O55)</f>
        <v>64811.18</v>
      </c>
    </row>
    <row r="57" spans="2:15" ht="12.75">
      <c r="B57" s="69"/>
      <c r="C57" s="69"/>
      <c r="D57" s="69"/>
      <c r="E57" s="69"/>
      <c r="F57" s="69"/>
      <c r="G57" s="69"/>
      <c r="H57" s="69"/>
      <c r="I57" s="69"/>
      <c r="J57" s="8"/>
      <c r="K57" s="69"/>
      <c r="L57" s="69"/>
      <c r="M57" s="8"/>
      <c r="N57" s="69"/>
      <c r="O57" s="69"/>
    </row>
    <row r="58" spans="1:15" ht="12.75">
      <c r="A58" s="21" t="s">
        <v>13</v>
      </c>
      <c r="B58" s="69"/>
      <c r="C58" s="69"/>
      <c r="D58" s="69"/>
      <c r="E58" s="69"/>
      <c r="F58" s="69"/>
      <c r="G58" s="69"/>
      <c r="H58" s="69"/>
      <c r="I58" s="69"/>
      <c r="J58" s="8"/>
      <c r="K58" s="69"/>
      <c r="L58" s="69"/>
      <c r="M58" s="8"/>
      <c r="N58" s="69"/>
      <c r="O58" s="69"/>
    </row>
    <row r="59" spans="1:15" ht="12.75">
      <c r="A59" s="22">
        <v>911</v>
      </c>
      <c r="B59" s="156">
        <f>SUMIF('Gas Labor'!A:A,A59,'Gas Labor'!G:G)</f>
        <v>0</v>
      </c>
      <c r="C59" s="60">
        <f>SUMIF('Gas Labor'!A:A,A59,'Gas Labor'!D:D)+SUMIF('Gas Labor'!A:A,A59,'Gas Labor'!C:C)</f>
        <v>0</v>
      </c>
      <c r="D59" s="60">
        <f>SUMIF('Gas Labor'!A:A,A59,'Gas Labor'!F:F)</f>
        <v>0</v>
      </c>
      <c r="E59" s="69">
        <f>C59*$S$9</f>
        <v>0</v>
      </c>
      <c r="F59" s="69">
        <f>D59+E59</f>
        <v>0</v>
      </c>
      <c r="G59" s="60">
        <f>SUMIF('Gas Labor'!A:A,A59,'Gas Labor'!E:E)</f>
        <v>0</v>
      </c>
      <c r="H59" s="69">
        <f>C59*$T$9</f>
        <v>0</v>
      </c>
      <c r="I59" s="69">
        <f>G59+H59</f>
        <v>0</v>
      </c>
      <c r="J59" s="8"/>
      <c r="K59" s="7">
        <f>ROUND(F59/(F$78-F$71)*F$71,2)</f>
        <v>0</v>
      </c>
      <c r="L59" s="7">
        <f>F59+K59</f>
        <v>0</v>
      </c>
      <c r="M59" s="8"/>
      <c r="N59" s="7">
        <f>ROUND(I59/(I$78-I$71)*I$71,2)</f>
        <v>0</v>
      </c>
      <c r="O59" s="7">
        <f>I59+N59</f>
        <v>0</v>
      </c>
    </row>
    <row r="60" spans="1:15" ht="12.75">
      <c r="A60" s="22">
        <v>912</v>
      </c>
      <c r="B60" s="156">
        <f>SUMIF('Gas Labor'!A:A,A60,'Gas Labor'!G:G)</f>
        <v>172883.87</v>
      </c>
      <c r="C60" s="60">
        <f>SUMIF('Gas Labor'!A:A,A60,'Gas Labor'!D:D)+SUMIF('Gas Labor'!A:A,A60,'Gas Labor'!C:C)</f>
        <v>166746.67</v>
      </c>
      <c r="D60" s="60">
        <f>SUMIF('Gas Labor'!A:A,A60,'Gas Labor'!F:F)</f>
        <v>0</v>
      </c>
      <c r="E60" s="69">
        <f>C60*$S$9</f>
        <v>111173.34</v>
      </c>
      <c r="F60" s="69">
        <f>D60+E60</f>
        <v>111173.34</v>
      </c>
      <c r="G60" s="60">
        <f>SUMIF('Gas Labor'!A:A,A60,'Gas Labor'!E:E)</f>
        <v>6137.2</v>
      </c>
      <c r="H60" s="69">
        <f>C60*$T$9</f>
        <v>55573.33</v>
      </c>
      <c r="I60" s="69">
        <f>G60+H60</f>
        <v>61710.53</v>
      </c>
      <c r="J60" s="8"/>
      <c r="K60" s="7">
        <f>ROUND(F60/(F$78-F$71)*F$71,2)</f>
        <v>227.73</v>
      </c>
      <c r="L60" s="7">
        <f>F60+K60</f>
        <v>111401.07</v>
      </c>
      <c r="M60" s="8"/>
      <c r="N60" s="7">
        <f>ROUND(I60/(I$78-I$71)*I$71,2)</f>
        <v>121.45</v>
      </c>
      <c r="O60" s="7">
        <f>I60+N60</f>
        <v>61831.98</v>
      </c>
    </row>
    <row r="61" spans="1:15" ht="12.75">
      <c r="A61" s="22">
        <v>913</v>
      </c>
      <c r="B61" s="156">
        <f>SUMIF('Gas Labor'!A:A,A61,'Gas Labor'!G:G)</f>
        <v>0</v>
      </c>
      <c r="C61" s="60">
        <f>SUMIF('Gas Labor'!A:A,A61,'Gas Labor'!D:D)+SUMIF('Gas Labor'!A:A,A61,'Gas Labor'!C:C)</f>
        <v>0</v>
      </c>
      <c r="D61" s="60">
        <f>SUMIF('Gas Labor'!A:A,A61,'Gas Labor'!F:F)</f>
        <v>0</v>
      </c>
      <c r="E61" s="69">
        <f>C61*$S$9</f>
        <v>0</v>
      </c>
      <c r="F61" s="69">
        <f>D61+E61</f>
        <v>0</v>
      </c>
      <c r="G61" s="60">
        <f>SUMIF('Gas Labor'!A:A,A61,'Gas Labor'!E:E)</f>
        <v>0</v>
      </c>
      <c r="H61" s="69">
        <f>C61*$T$9</f>
        <v>0</v>
      </c>
      <c r="I61" s="69">
        <f>G61+H61</f>
        <v>0</v>
      </c>
      <c r="J61" s="8"/>
      <c r="K61" s="7">
        <f>ROUND(F61/(F$78-F$71)*F$71,2)</f>
        <v>0</v>
      </c>
      <c r="L61" s="7">
        <f>F61+K61</f>
        <v>0</v>
      </c>
      <c r="M61" s="8"/>
      <c r="N61" s="7">
        <f>ROUND(I61/(I$78-I$71)*I$71,2)</f>
        <v>0</v>
      </c>
      <c r="O61" s="7">
        <f>I61+N61</f>
        <v>0</v>
      </c>
    </row>
    <row r="62" spans="1:15" ht="12.75">
      <c r="A62" s="22">
        <v>916</v>
      </c>
      <c r="B62" s="156">
        <f>SUMIF('Gas Labor'!A:A,A62,'Gas Labor'!G:G)</f>
        <v>89231.1</v>
      </c>
      <c r="C62" s="60">
        <f>SUMIF('Gas Labor'!A:A,A62,'Gas Labor'!D:D)+SUMIF('Gas Labor'!A:A,A62,'Gas Labor'!C:C)</f>
        <v>0</v>
      </c>
      <c r="D62" s="60">
        <f>SUMIF('Gas Labor'!A:A,A62,'Gas Labor'!F:F)</f>
        <v>89231.1</v>
      </c>
      <c r="E62" s="69">
        <f>C62*$S$9</f>
        <v>0</v>
      </c>
      <c r="F62" s="69">
        <f>D62+E62</f>
        <v>89231.1</v>
      </c>
      <c r="G62" s="60">
        <f>SUMIF('Gas Labor'!A:A,A62,'Gas Labor'!E:E)</f>
        <v>0</v>
      </c>
      <c r="H62" s="69">
        <f>C62*$T$9</f>
        <v>0</v>
      </c>
      <c r="I62" s="69">
        <f>G62+H62</f>
        <v>0</v>
      </c>
      <c r="J62" s="8"/>
      <c r="K62" s="7">
        <f>ROUND(F62/(F$78-F$71)*F$71,2)</f>
        <v>182.78</v>
      </c>
      <c r="L62" s="7">
        <f>F62+K62</f>
        <v>89413.88</v>
      </c>
      <c r="M62" s="8"/>
      <c r="N62" s="7">
        <f>ROUND(I62/(I$78-I$71)*I$71,2)</f>
        <v>0</v>
      </c>
      <c r="O62" s="7">
        <f>I62+N62</f>
        <v>0</v>
      </c>
    </row>
    <row r="63" spans="1:15" ht="12.75">
      <c r="A63" s="21" t="s">
        <v>14</v>
      </c>
      <c r="B63" s="70">
        <f>SUM(B59:B62)</f>
        <v>262114.97</v>
      </c>
      <c r="C63" s="187">
        <f aca="true" t="shared" si="14" ref="C63:O63">SUM(C59:C62)</f>
        <v>166746.67</v>
      </c>
      <c r="D63" s="70">
        <f t="shared" si="14"/>
        <v>89231.1</v>
      </c>
      <c r="E63" s="70">
        <f t="shared" si="14"/>
        <v>111173.34</v>
      </c>
      <c r="F63" s="70">
        <f t="shared" si="14"/>
        <v>200404.44</v>
      </c>
      <c r="G63" s="70">
        <f t="shared" si="14"/>
        <v>6137.2</v>
      </c>
      <c r="H63" s="70">
        <f t="shared" si="14"/>
        <v>55573.33</v>
      </c>
      <c r="I63" s="70">
        <f t="shared" si="14"/>
        <v>61710.53</v>
      </c>
      <c r="J63" s="70"/>
      <c r="K63" s="70">
        <f t="shared" si="14"/>
        <v>410.51</v>
      </c>
      <c r="L63" s="70">
        <f t="shared" si="14"/>
        <v>200814.95</v>
      </c>
      <c r="M63" s="70"/>
      <c r="N63" s="70">
        <f t="shared" si="14"/>
        <v>121.45</v>
      </c>
      <c r="O63" s="70">
        <f t="shared" si="14"/>
        <v>61831.98</v>
      </c>
    </row>
    <row r="64" spans="2:15" ht="12.75">
      <c r="B64" s="69"/>
      <c r="C64" s="69"/>
      <c r="D64" s="69"/>
      <c r="E64" s="69"/>
      <c r="F64" s="69"/>
      <c r="G64" s="69"/>
      <c r="H64" s="69"/>
      <c r="I64" s="69"/>
      <c r="J64" s="8"/>
      <c r="K64" s="69"/>
      <c r="L64" s="69"/>
      <c r="M64" s="8"/>
      <c r="N64" s="69"/>
      <c r="O64" s="69"/>
    </row>
    <row r="65" spans="1:15" ht="12.75">
      <c r="A65" s="21" t="s">
        <v>15</v>
      </c>
      <c r="B65" s="69"/>
      <c r="C65" s="69"/>
      <c r="D65" s="69"/>
      <c r="E65" s="69"/>
      <c r="F65" s="69"/>
      <c r="G65" s="69"/>
      <c r="H65" s="69"/>
      <c r="I65" s="69"/>
      <c r="J65" s="8"/>
      <c r="K65" s="69"/>
      <c r="L65" s="69"/>
      <c r="M65" s="8"/>
      <c r="N65" s="69"/>
      <c r="O65" s="69"/>
    </row>
    <row r="66" spans="1:15" ht="12.75">
      <c r="A66" s="22">
        <v>920</v>
      </c>
      <c r="B66" s="156">
        <f>SUMIF('Gas Labor'!A:A,A66,'Gas Labor'!G:G)</f>
        <v>2828222.15</v>
      </c>
      <c r="C66" s="60">
        <f>SUMIF('Gas Labor'!A:A,A66,'Gas Labor'!D:D)+SUMIF('Gas Labor'!A:A,A66,'Gas Labor'!C:C)</f>
        <v>2812510.01</v>
      </c>
      <c r="D66" s="60">
        <f>SUMIF('Gas Labor'!A:A,A66,'Gas Labor'!F:F)</f>
        <v>2447.09</v>
      </c>
      <c r="E66" s="69">
        <f aca="true" t="shared" si="15" ref="E66:E75">C66*$S$11</f>
        <v>1898584.88</v>
      </c>
      <c r="F66" s="69">
        <f aca="true" t="shared" si="16" ref="F66:F75">D66+E66</f>
        <v>1901031.97</v>
      </c>
      <c r="G66" s="60">
        <f>SUMIF('Gas Labor'!A:A,A66,'Gas Labor'!E:E)</f>
        <v>13265.05</v>
      </c>
      <c r="H66" s="69">
        <f aca="true" t="shared" si="17" ref="H66:H75">ROUND(C66*$T$11,2)</f>
        <v>913925.13</v>
      </c>
      <c r="I66" s="69">
        <f aca="true" t="shared" si="18" ref="I66:I75">G66+H66</f>
        <v>927190.18</v>
      </c>
      <c r="J66" s="8"/>
      <c r="K66" s="7">
        <f>ROUND(F66/(F$78-F$71)*F$71,2)+0.02</f>
        <v>3894.08</v>
      </c>
      <c r="L66" s="7">
        <f aca="true" t="shared" si="19" ref="L66:L75">F66+K66</f>
        <v>1904926.05</v>
      </c>
      <c r="M66" s="8"/>
      <c r="N66" s="7">
        <f>ROUND(I66/(I$78-I$71)*I$71,2)-0.03</f>
        <v>1824.67</v>
      </c>
      <c r="O66" s="7">
        <f aca="true" t="shared" si="20" ref="O66:O75">I66+N66</f>
        <v>929014.85</v>
      </c>
    </row>
    <row r="67" spans="1:15" ht="12.75">
      <c r="A67" s="22">
        <v>921</v>
      </c>
      <c r="B67" s="156">
        <f>SUMIF('Gas Labor'!A:A,A67,'Gas Labor'!G:G)</f>
        <v>4938</v>
      </c>
      <c r="C67" s="60">
        <f>SUMIF('Gas Labor'!A:A,A67,'Gas Labor'!D:D)+SUMIF('Gas Labor'!A:A,A67,'Gas Labor'!C:C)</f>
        <v>4938</v>
      </c>
      <c r="D67" s="60">
        <f>SUMIF('Gas Labor'!A:A,A67,'Gas Labor'!F:F)</f>
        <v>0</v>
      </c>
      <c r="E67" s="69">
        <f t="shared" si="15"/>
        <v>3333.4</v>
      </c>
      <c r="F67" s="69">
        <f t="shared" si="16"/>
        <v>3333.4</v>
      </c>
      <c r="G67" s="60">
        <f>SUMIF('Gas Labor'!A:A,A67,'Gas Labor'!E:E)</f>
        <v>0</v>
      </c>
      <c r="H67" s="69">
        <f t="shared" si="17"/>
        <v>1604.6</v>
      </c>
      <c r="I67" s="69">
        <f t="shared" si="18"/>
        <v>1604.6</v>
      </c>
      <c r="J67" s="8"/>
      <c r="K67" s="7">
        <f>ROUND(F67/(F$78-F$71)*F$71,2)</f>
        <v>6.83</v>
      </c>
      <c r="L67" s="7">
        <f t="shared" si="19"/>
        <v>3340.23</v>
      </c>
      <c r="M67" s="8"/>
      <c r="N67" s="7">
        <f>ROUND(I67/(I$78-I$71)*I$71,2)</f>
        <v>3.16</v>
      </c>
      <c r="O67" s="7">
        <f t="shared" si="20"/>
        <v>1607.76</v>
      </c>
    </row>
    <row r="68" spans="1:15" ht="12.75">
      <c r="A68" s="22">
        <v>923</v>
      </c>
      <c r="B68" s="156">
        <f>SUMIF('Gas Labor'!A:A,A68,'Gas Labor'!G:G)</f>
        <v>543.92</v>
      </c>
      <c r="C68" s="60">
        <f>SUMIF('Gas Labor'!A:A,A68,'Gas Labor'!D:D)+SUMIF('Gas Labor'!A:A,A68,'Gas Labor'!C:C)</f>
        <v>543.92</v>
      </c>
      <c r="D68" s="60">
        <f>SUMIF('Gas Labor'!A:A,A68,'Gas Labor'!F:F)</f>
        <v>0</v>
      </c>
      <c r="E68" s="69">
        <f t="shared" si="15"/>
        <v>367.17</v>
      </c>
      <c r="F68" s="69">
        <f t="shared" si="16"/>
        <v>367.17</v>
      </c>
      <c r="G68" s="60">
        <f>SUMIF('Gas Labor'!A:A,A68,'Gas Labor'!E:E)</f>
        <v>0</v>
      </c>
      <c r="H68" s="69">
        <f t="shared" si="17"/>
        <v>176.75</v>
      </c>
      <c r="I68" s="69">
        <f t="shared" si="18"/>
        <v>176.75</v>
      </c>
      <c r="J68" s="8"/>
      <c r="K68" s="7">
        <f>ROUND(F68/(F$78-F$71)*F$71,2)</f>
        <v>0.75</v>
      </c>
      <c r="L68" s="7">
        <f t="shared" si="19"/>
        <v>367.92</v>
      </c>
      <c r="M68" s="8"/>
      <c r="N68" s="7">
        <f>ROUND(I68/(I$78-I$71)*I$71,2)</f>
        <v>0.35</v>
      </c>
      <c r="O68" s="7">
        <f t="shared" si="20"/>
        <v>177.1</v>
      </c>
    </row>
    <row r="69" spans="1:15" ht="12.75">
      <c r="A69" s="22">
        <v>924</v>
      </c>
      <c r="B69" s="156">
        <f>SUMIF('Gas Labor'!A:A,A69,'Gas Labor'!G:G)</f>
        <v>0</v>
      </c>
      <c r="C69" s="60">
        <f>SUMIF('Gas Labor'!A:A,A69,'Gas Labor'!D:D)+SUMIF('Gas Labor'!A:A,A69,'Gas Labor'!C:C)</f>
        <v>0</v>
      </c>
      <c r="D69" s="60">
        <f>SUMIF('Gas Labor'!A:A,A69,'Gas Labor'!F:F)</f>
        <v>0</v>
      </c>
      <c r="E69" s="69">
        <f t="shared" si="15"/>
        <v>0</v>
      </c>
      <c r="F69" s="69">
        <f t="shared" si="16"/>
        <v>0</v>
      </c>
      <c r="G69" s="60">
        <f>SUMIF('Gas Labor'!A:A,A69,'Gas Labor'!E:E)</f>
        <v>0</v>
      </c>
      <c r="H69" s="69">
        <f t="shared" si="17"/>
        <v>0</v>
      </c>
      <c r="I69" s="69">
        <f t="shared" si="18"/>
        <v>0</v>
      </c>
      <c r="J69" s="8"/>
      <c r="K69" s="7">
        <f>ROUND(F69/(F$78-F$71)*F$71,2)</f>
        <v>0</v>
      </c>
      <c r="L69" s="7">
        <f t="shared" si="19"/>
        <v>0</v>
      </c>
      <c r="M69" s="8"/>
      <c r="N69" s="7">
        <f>ROUND(I69/(I$78-I$71)*I$71,2)</f>
        <v>0</v>
      </c>
      <c r="O69" s="7">
        <f t="shared" si="20"/>
        <v>0</v>
      </c>
    </row>
    <row r="70" spans="1:15" ht="12.75">
      <c r="A70" s="22">
        <v>925</v>
      </c>
      <c r="B70" s="156">
        <f>SUMIF('Gas Labor'!A:A,A70,'Gas Labor'!G:G)</f>
        <v>47706.83</v>
      </c>
      <c r="C70" s="60">
        <f>SUMIF('Gas Labor'!A:A,A70,'Gas Labor'!D:D)+SUMIF('Gas Labor'!A:A,A70,'Gas Labor'!C:C)</f>
        <v>47706.83</v>
      </c>
      <c r="D70" s="60">
        <f>SUMIF('Gas Labor'!A:A,A70,'Gas Labor'!F:F)</f>
        <v>0</v>
      </c>
      <c r="E70" s="69">
        <f t="shared" si="15"/>
        <v>32204.5</v>
      </c>
      <c r="F70" s="69">
        <f t="shared" si="16"/>
        <v>32204.5</v>
      </c>
      <c r="G70" s="60">
        <f>SUMIF('Gas Labor'!A:A,A70,'Gas Labor'!E:E)</f>
        <v>0</v>
      </c>
      <c r="H70" s="69">
        <f t="shared" si="17"/>
        <v>15502.33</v>
      </c>
      <c r="I70" s="69">
        <f t="shared" si="18"/>
        <v>15502.33</v>
      </c>
      <c r="J70" s="8"/>
      <c r="K70" s="7">
        <f>ROUND(F70/(F$78-F$71)*F$71,2)</f>
        <v>65.97</v>
      </c>
      <c r="L70" s="7">
        <f t="shared" si="19"/>
        <v>32270.47</v>
      </c>
      <c r="M70" s="8"/>
      <c r="N70" s="7">
        <f>ROUND(I70/(I$78-I$71)*I$71,2)</f>
        <v>30.51</v>
      </c>
      <c r="O70" s="7">
        <f t="shared" si="20"/>
        <v>15532.84</v>
      </c>
    </row>
    <row r="71" spans="1:15" ht="12.75">
      <c r="A71" s="22">
        <v>926</v>
      </c>
      <c r="B71" s="156">
        <f>SUMIF('Gas Labor'!A:A,A71,'Gas Labor'!G:G)</f>
        <v>25999.94</v>
      </c>
      <c r="C71" s="60">
        <f>SUMIF('Gas Labor'!A:A,A71,'Gas Labor'!D:D)+SUMIF('Gas Labor'!A:A,A71,'Gas Labor'!C:C)</f>
        <v>25933.48</v>
      </c>
      <c r="D71" s="60">
        <f>SUMIF('Gas Labor'!A:A,A71,'Gas Labor'!F:F)</f>
        <v>66.46</v>
      </c>
      <c r="E71" s="69">
        <f t="shared" si="15"/>
        <v>17506.4</v>
      </c>
      <c r="F71" s="69">
        <f t="shared" si="16"/>
        <v>17572.86</v>
      </c>
      <c r="G71" s="60">
        <f>SUMIF('Gas Labor'!A:A,A71,'Gas Labor'!E:E)</f>
        <v>0</v>
      </c>
      <c r="H71" s="69">
        <f t="shared" si="17"/>
        <v>8427.08</v>
      </c>
      <c r="I71" s="69">
        <f t="shared" si="18"/>
        <v>8427.08</v>
      </c>
      <c r="J71" s="8"/>
      <c r="K71" s="7">
        <f>-F71</f>
        <v>-17572.86</v>
      </c>
      <c r="L71" s="7">
        <f t="shared" si="19"/>
        <v>0</v>
      </c>
      <c r="M71" s="8"/>
      <c r="N71" s="7">
        <f>-I71</f>
        <v>-8427.08</v>
      </c>
      <c r="O71" s="7">
        <f t="shared" si="20"/>
        <v>0</v>
      </c>
    </row>
    <row r="72" spans="1:15" ht="12.75">
      <c r="A72" s="22">
        <v>928</v>
      </c>
      <c r="B72" s="156">
        <f>SUMIF('Gas Labor'!A:A,A72,'Gas Labor'!G:G)</f>
        <v>285734.28</v>
      </c>
      <c r="C72" s="60">
        <f>SUMIF('Gas Labor'!A:A,A72,'Gas Labor'!D:D)+SUMIF('Gas Labor'!A:A,A72,'Gas Labor'!C:C)</f>
        <v>122515.46</v>
      </c>
      <c r="D72" s="60">
        <f>SUMIF('Gas Labor'!A:A,A72,'Gas Labor'!F:F)</f>
        <v>99103.38</v>
      </c>
      <c r="E72" s="69">
        <f t="shared" si="15"/>
        <v>82704.06</v>
      </c>
      <c r="F72" s="69">
        <f t="shared" si="16"/>
        <v>181807.44</v>
      </c>
      <c r="G72" s="60">
        <f>SUMIF('Gas Labor'!A:A,A72,'Gas Labor'!E:E)</f>
        <v>64115.44</v>
      </c>
      <c r="H72" s="69">
        <f t="shared" si="17"/>
        <v>39811.4</v>
      </c>
      <c r="I72" s="69">
        <f t="shared" si="18"/>
        <v>103926.84</v>
      </c>
      <c r="J72" s="8"/>
      <c r="K72" s="7">
        <f>ROUND(F72/(F$78-F$71)*F$71,2)</f>
        <v>372.41</v>
      </c>
      <c r="L72" s="7">
        <f t="shared" si="19"/>
        <v>182179.85</v>
      </c>
      <c r="M72" s="8"/>
      <c r="N72" s="7">
        <f>ROUND(I72/(I$78-I$71)*I$71,2)</f>
        <v>204.53</v>
      </c>
      <c r="O72" s="7">
        <f t="shared" si="20"/>
        <v>104131.37</v>
      </c>
    </row>
    <row r="73" spans="1:15" ht="12.75">
      <c r="A73" s="22">
        <v>930</v>
      </c>
      <c r="B73" s="156">
        <f>SUMIF('Gas Labor'!A:A,A73,'Gas Labor'!G:G)</f>
        <v>91540.07</v>
      </c>
      <c r="C73" s="60">
        <f>SUMIF('Gas Labor'!A:A,A73,'Gas Labor'!D:D)+SUMIF('Gas Labor'!A:A,A73,'Gas Labor'!C:C)</f>
        <v>70173.59</v>
      </c>
      <c r="D73" s="60">
        <f>SUMIF('Gas Labor'!A:A,A73,'Gas Labor'!F:F)</f>
        <v>18017.47</v>
      </c>
      <c r="E73" s="69">
        <f t="shared" si="15"/>
        <v>47370.68</v>
      </c>
      <c r="F73" s="69">
        <f t="shared" si="16"/>
        <v>65388.15</v>
      </c>
      <c r="G73" s="60">
        <f>SUMIF('Gas Labor'!A:A,A73,'Gas Labor'!E:E)</f>
        <v>3349.01</v>
      </c>
      <c r="H73" s="69">
        <f t="shared" si="17"/>
        <v>22802.91</v>
      </c>
      <c r="I73" s="69">
        <f t="shared" si="18"/>
        <v>26151.92</v>
      </c>
      <c r="J73" s="8"/>
      <c r="K73" s="7">
        <f>ROUND(F73/(F$78-F$71)*F$71,2)</f>
        <v>133.94</v>
      </c>
      <c r="L73" s="7">
        <f t="shared" si="19"/>
        <v>65522.09</v>
      </c>
      <c r="M73" s="8"/>
      <c r="N73" s="7">
        <f>ROUND(I73/(I$78-I$71)*I$71,2)</f>
        <v>51.47</v>
      </c>
      <c r="O73" s="7">
        <f t="shared" si="20"/>
        <v>26203.39</v>
      </c>
    </row>
    <row r="74" spans="1:15" ht="12.75">
      <c r="A74" s="22">
        <v>931</v>
      </c>
      <c r="B74" s="156">
        <f>SUMIF('Gas Labor'!A:A,A74,'Gas Labor'!G:G)</f>
        <v>0</v>
      </c>
      <c r="C74" s="60">
        <f>SUMIF('Gas Labor'!A:A,A74,'Gas Labor'!D:D)+SUMIF('Gas Labor'!A:A,A74,'Gas Labor'!C:C)</f>
        <v>0</v>
      </c>
      <c r="D74" s="60">
        <f>SUMIF('Gas Labor'!A:A,A74,'Gas Labor'!F:F)</f>
        <v>0</v>
      </c>
      <c r="E74" s="69">
        <f>C74*$S$11</f>
        <v>0</v>
      </c>
      <c r="F74" s="69">
        <f>D74+E74</f>
        <v>0</v>
      </c>
      <c r="G74" s="60">
        <f>SUMIF('Gas Labor'!A:A,A74,'Gas Labor'!E:E)</f>
        <v>0</v>
      </c>
      <c r="H74" s="69">
        <f>ROUND(C74*$T$11,2)</f>
        <v>0</v>
      </c>
      <c r="I74" s="69">
        <f>G74+H74</f>
        <v>0</v>
      </c>
      <c r="J74" s="8"/>
      <c r="K74" s="7">
        <f>ROUND(F74/(F$78-F$71)*F$71,2)</f>
        <v>0</v>
      </c>
      <c r="L74" s="7">
        <f>F74+K74</f>
        <v>0</v>
      </c>
      <c r="M74" s="8"/>
      <c r="N74" s="7">
        <f>ROUND(I74/(I$78-I$71)*I$71,2)</f>
        <v>0</v>
      </c>
      <c r="O74" s="7">
        <f>I74+N74</f>
        <v>0</v>
      </c>
    </row>
    <row r="75" spans="1:15" ht="12.75">
      <c r="A75" s="22">
        <v>935</v>
      </c>
      <c r="B75" s="156">
        <f>SUMIF('Gas Labor'!A:A,A75,'Gas Labor'!G:G)</f>
        <v>260955.56</v>
      </c>
      <c r="C75" s="60">
        <f>SUMIF('Gas Labor'!A:A,A75,'Gas Labor'!D:D)+SUMIF('Gas Labor'!A:A,A75,'Gas Labor'!C:C)</f>
        <v>225727.83</v>
      </c>
      <c r="D75" s="60">
        <f>SUMIF('Gas Labor'!A:A,A75,'Gas Labor'!F:F)</f>
        <v>10813.53</v>
      </c>
      <c r="E75" s="69">
        <f t="shared" si="15"/>
        <v>152377.57</v>
      </c>
      <c r="F75" s="69">
        <f t="shared" si="16"/>
        <v>163191.1</v>
      </c>
      <c r="G75" s="60">
        <f>SUMIF('Gas Labor'!A:A,A75,'Gas Labor'!E:E)</f>
        <v>24414.2</v>
      </c>
      <c r="H75" s="69">
        <f t="shared" si="17"/>
        <v>73350.26</v>
      </c>
      <c r="I75" s="69">
        <f t="shared" si="18"/>
        <v>97764.46</v>
      </c>
      <c r="J75" s="8"/>
      <c r="K75" s="7">
        <f>ROUND(F75/(F$78-F$71)*F$71,2)-0.02</f>
        <v>334.26</v>
      </c>
      <c r="L75" s="7">
        <f t="shared" si="19"/>
        <v>163525.36</v>
      </c>
      <c r="M75" s="8"/>
      <c r="N75" s="7">
        <f>ROUND(I75/(I$78-I$71)*I$71,2)</f>
        <v>192.4</v>
      </c>
      <c r="O75" s="7">
        <f t="shared" si="20"/>
        <v>97956.86</v>
      </c>
    </row>
    <row r="76" spans="1:15" ht="12.75">
      <c r="A76" s="21" t="s">
        <v>16</v>
      </c>
      <c r="B76" s="70">
        <f aca="true" t="shared" si="21" ref="B76:I76">SUM(B66:B75)</f>
        <v>3545640.75</v>
      </c>
      <c r="C76" s="187">
        <f t="shared" si="21"/>
        <v>3310049.12</v>
      </c>
      <c r="D76" s="70">
        <f t="shared" si="21"/>
        <v>130447.93</v>
      </c>
      <c r="E76" s="70">
        <f t="shared" si="21"/>
        <v>2234448.66</v>
      </c>
      <c r="F76" s="70">
        <f t="shared" si="21"/>
        <v>2364896.59</v>
      </c>
      <c r="G76" s="70">
        <f t="shared" si="21"/>
        <v>105143.7</v>
      </c>
      <c r="H76" s="70">
        <f t="shared" si="21"/>
        <v>1075600.46</v>
      </c>
      <c r="I76" s="70">
        <f t="shared" si="21"/>
        <v>1180744.16</v>
      </c>
      <c r="J76" s="8"/>
      <c r="K76" s="70">
        <f>SUM(K66:K75)</f>
        <v>-12764.62</v>
      </c>
      <c r="L76" s="70">
        <f>SUM(L66:L75)</f>
        <v>2352131.97</v>
      </c>
      <c r="M76" s="8"/>
      <c r="N76" s="70">
        <f>SUM(N66:N75)</f>
        <v>-6119.99</v>
      </c>
      <c r="O76" s="70">
        <f>SUM(O66:O75)</f>
        <v>1174624.17</v>
      </c>
    </row>
    <row r="77" spans="2:15" ht="12.75">
      <c r="B77" s="69"/>
      <c r="C77" s="69"/>
      <c r="D77" s="69"/>
      <c r="E77" s="69"/>
      <c r="F77" s="69"/>
      <c r="G77" s="69"/>
      <c r="H77" s="69"/>
      <c r="I77" s="69"/>
      <c r="J77" s="8"/>
      <c r="K77" s="69"/>
      <c r="L77" s="69"/>
      <c r="M77" s="8"/>
      <c r="N77" s="69"/>
      <c r="O77" s="69"/>
    </row>
    <row r="78" spans="1:15" ht="12.75">
      <c r="A78" s="21" t="s">
        <v>138</v>
      </c>
      <c r="B78" s="162">
        <f aca="true" t="shared" si="22" ref="B78:I78">B13+B18+B42+B49+B56+B63+B76</f>
        <v>12886939.72</v>
      </c>
      <c r="C78" s="164">
        <f t="shared" si="22"/>
        <v>7048187.4</v>
      </c>
      <c r="D78" s="162">
        <f t="shared" si="22"/>
        <v>3901796.23</v>
      </c>
      <c r="E78" s="70">
        <f t="shared" si="22"/>
        <v>4694633.64</v>
      </c>
      <c r="F78" s="70">
        <f t="shared" si="22"/>
        <v>8596429.87</v>
      </c>
      <c r="G78" s="164">
        <f t="shared" si="22"/>
        <v>1936956.09</v>
      </c>
      <c r="H78" s="70">
        <f t="shared" si="22"/>
        <v>2353553.76</v>
      </c>
      <c r="I78" s="70">
        <f t="shared" si="22"/>
        <v>4290509.85</v>
      </c>
      <c r="J78" s="8"/>
      <c r="K78" s="70">
        <f>K13+K18+K42+K49+K56+K63+K76</f>
        <v>0</v>
      </c>
      <c r="L78" s="164">
        <f>L13+L18+L42+L49+L56+L63+L76</f>
        <v>8596429.87</v>
      </c>
      <c r="M78" s="8"/>
      <c r="N78" s="70">
        <f>N13+N18+N42+N49+N56+N63+N76</f>
        <v>0</v>
      </c>
      <c r="O78" s="164">
        <f>O13+O18+O42+O49+O56+O63+O76</f>
        <v>4290509.85</v>
      </c>
    </row>
    <row r="79" spans="10:15" ht="12.75">
      <c r="J79" s="8"/>
      <c r="K79" s="21"/>
      <c r="L79" s="21"/>
      <c r="M79" s="8"/>
      <c r="N79" s="21"/>
      <c r="O79" s="21"/>
    </row>
    <row r="80" spans="1:15" ht="12.75">
      <c r="A80" s="21" t="s">
        <v>25</v>
      </c>
      <c r="C80" s="69">
        <f>E78+H78</f>
        <v>7048187.4</v>
      </c>
      <c r="J80" s="8"/>
      <c r="K80" s="8"/>
      <c r="L80" s="8"/>
      <c r="M80" s="8"/>
      <c r="N80" s="8"/>
      <c r="O80" s="8"/>
    </row>
    <row r="81" spans="10:15" ht="12.75">
      <c r="J81" s="8"/>
      <c r="K81" s="8"/>
      <c r="L81" s="8"/>
      <c r="M81" s="8"/>
      <c r="N81" s="8"/>
      <c r="O81" s="8"/>
    </row>
    <row r="82" spans="1:15" ht="12.75">
      <c r="A82" s="21" t="s">
        <v>26</v>
      </c>
      <c r="B82" s="69">
        <f>F78+I78</f>
        <v>12886939.72</v>
      </c>
      <c r="J82" s="8"/>
      <c r="K82" s="8"/>
      <c r="L82" s="8"/>
      <c r="M82" s="8"/>
      <c r="N82" s="8"/>
      <c r="O82" s="8"/>
    </row>
    <row r="83" spans="10:15" ht="12.75">
      <c r="J83" s="8"/>
      <c r="K83" s="8"/>
      <c r="L83" s="8"/>
      <c r="M83" s="8"/>
      <c r="N83" s="8"/>
      <c r="O83" s="8"/>
    </row>
    <row r="84" spans="10:15" ht="12.75">
      <c r="J84" s="8"/>
      <c r="K84" s="8"/>
      <c r="L84" s="8"/>
      <c r="M84" s="8"/>
      <c r="N84" s="8"/>
      <c r="O84" s="8"/>
    </row>
    <row r="85" spans="10:15" ht="12.75">
      <c r="J85" s="8"/>
      <c r="K85" s="8"/>
      <c r="L85" s="8"/>
      <c r="M85" s="8"/>
      <c r="N85" s="8"/>
      <c r="O85" s="8"/>
    </row>
    <row r="86" spans="10:15" ht="12.75">
      <c r="J86" s="8"/>
      <c r="K86" s="8"/>
      <c r="L86" s="8"/>
      <c r="M86" s="8"/>
      <c r="N86" s="8"/>
      <c r="O86" s="8"/>
    </row>
    <row r="87" spans="10:15" ht="12.75">
      <c r="J87" s="8"/>
      <c r="K87" s="8"/>
      <c r="L87" s="8"/>
      <c r="M87" s="8"/>
      <c r="N87" s="8"/>
      <c r="O87" s="8"/>
    </row>
    <row r="88" spans="10:15" ht="12.75">
      <c r="J88" s="8"/>
      <c r="K88" s="8"/>
      <c r="L88" s="8"/>
      <c r="M88" s="8"/>
      <c r="N88" s="8"/>
      <c r="O88" s="8"/>
    </row>
    <row r="89" spans="10:15" ht="12.75">
      <c r="J89" s="8"/>
      <c r="K89" s="8"/>
      <c r="L89" s="8"/>
      <c r="M89" s="8"/>
      <c r="N89" s="8"/>
      <c r="O89" s="8"/>
    </row>
    <row r="90" spans="10:15" ht="12.75">
      <c r="J90" s="8"/>
      <c r="K90" s="8"/>
      <c r="L90" s="8"/>
      <c r="M90" s="8"/>
      <c r="N90" s="8"/>
      <c r="O90" s="8"/>
    </row>
    <row r="91" spans="10:15" ht="12.75">
      <c r="J91" s="8"/>
      <c r="K91" s="8"/>
      <c r="L91" s="8"/>
      <c r="M91" s="8"/>
      <c r="N91" s="8"/>
      <c r="O91" s="8"/>
    </row>
    <row r="92" spans="10:15" ht="12.75">
      <c r="J92" s="8"/>
      <c r="K92" s="8"/>
      <c r="L92" s="8"/>
      <c r="M92" s="8"/>
      <c r="N92" s="8"/>
      <c r="O92" s="8"/>
    </row>
    <row r="93" spans="10:15" ht="12.75">
      <c r="J93" s="8"/>
      <c r="K93" s="8"/>
      <c r="L93" s="8"/>
      <c r="M93" s="8"/>
      <c r="N93" s="8"/>
      <c r="O93" s="8"/>
    </row>
    <row r="94" spans="10:15" ht="12.75">
      <c r="J94" s="8"/>
      <c r="K94" s="8"/>
      <c r="L94" s="8"/>
      <c r="M94" s="8"/>
      <c r="N94" s="8"/>
      <c r="O94" s="8"/>
    </row>
    <row r="95" spans="10:15" ht="12.75">
      <c r="J95" s="8"/>
      <c r="K95" s="8"/>
      <c r="L95" s="8"/>
      <c r="M95" s="8"/>
      <c r="N95" s="8"/>
      <c r="O95" s="8"/>
    </row>
    <row r="96" spans="10:15" ht="12.75">
      <c r="J96" s="8"/>
      <c r="K96" s="8"/>
      <c r="L96" s="8"/>
      <c r="M96" s="8"/>
      <c r="N96" s="8"/>
      <c r="O96" s="8"/>
    </row>
    <row r="97" spans="10:15" ht="12.75">
      <c r="J97" s="8"/>
      <c r="K97" s="8"/>
      <c r="L97" s="8"/>
      <c r="M97" s="8"/>
      <c r="N97" s="8"/>
      <c r="O97" s="8"/>
    </row>
    <row r="98" spans="10:15" ht="12.75">
      <c r="J98" s="8"/>
      <c r="K98" s="8"/>
      <c r="L98" s="8"/>
      <c r="M98" s="8"/>
      <c r="N98" s="8"/>
      <c r="O98" s="8"/>
    </row>
    <row r="99" spans="10:15" ht="12.75">
      <c r="J99" s="8"/>
      <c r="K99" s="8"/>
      <c r="L99" s="8"/>
      <c r="M99" s="8"/>
      <c r="N99" s="8"/>
      <c r="O99" s="8"/>
    </row>
    <row r="100" spans="10:15" ht="12.75">
      <c r="J100" s="8"/>
      <c r="K100" s="8"/>
      <c r="L100" s="8"/>
      <c r="M100" s="8"/>
      <c r="N100" s="8"/>
      <c r="O100" s="8"/>
    </row>
    <row r="101" spans="10:15" ht="12.75">
      <c r="J101" s="8"/>
      <c r="K101" s="8"/>
      <c r="L101" s="8"/>
      <c r="M101" s="8"/>
      <c r="N101" s="8"/>
      <c r="O101" s="8"/>
    </row>
    <row r="102" spans="10:15" ht="12.75">
      <c r="J102" s="8"/>
      <c r="K102" s="8"/>
      <c r="L102" s="8"/>
      <c r="M102" s="8"/>
      <c r="N102" s="8"/>
      <c r="O102" s="8"/>
    </row>
    <row r="103" spans="10:15" ht="12.75">
      <c r="J103" s="8"/>
      <c r="K103" s="8"/>
      <c r="L103" s="8"/>
      <c r="M103" s="8"/>
      <c r="N103" s="8"/>
      <c r="O103" s="8"/>
    </row>
    <row r="104" spans="10:15" ht="12.75">
      <c r="J104" s="8"/>
      <c r="K104" s="8"/>
      <c r="L104" s="8"/>
      <c r="M104" s="8"/>
      <c r="N104" s="8"/>
      <c r="O104" s="8"/>
    </row>
    <row r="105" spans="10:15" ht="12.75">
      <c r="J105" s="8"/>
      <c r="K105" s="8"/>
      <c r="L105" s="8"/>
      <c r="M105" s="8"/>
      <c r="N105" s="8"/>
      <c r="O105" s="8"/>
    </row>
    <row r="106" spans="10:15" ht="12.75">
      <c r="J106" s="8"/>
      <c r="K106" s="8"/>
      <c r="L106" s="8"/>
      <c r="M106" s="8"/>
      <c r="N106" s="8"/>
      <c r="O106" s="8"/>
    </row>
    <row r="107" spans="10:15" ht="12.75">
      <c r="J107" s="8"/>
      <c r="K107" s="8"/>
      <c r="L107" s="8"/>
      <c r="M107" s="8"/>
      <c r="N107" s="8"/>
      <c r="O107" s="8"/>
    </row>
    <row r="108" spans="10:15" ht="12.75">
      <c r="J108" s="8"/>
      <c r="K108" s="8"/>
      <c r="L108" s="8"/>
      <c r="M108" s="8"/>
      <c r="N108" s="8"/>
      <c r="O108" s="8"/>
    </row>
    <row r="109" spans="10:15" ht="12.75">
      <c r="J109" s="8"/>
      <c r="K109" s="8"/>
      <c r="L109" s="8"/>
      <c r="M109" s="8"/>
      <c r="N109" s="8"/>
      <c r="O109" s="8"/>
    </row>
    <row r="110" spans="10:15" ht="12.75">
      <c r="J110" s="8"/>
      <c r="K110" s="8"/>
      <c r="L110" s="8"/>
      <c r="M110" s="8"/>
      <c r="N110" s="8"/>
      <c r="O110" s="8"/>
    </row>
    <row r="111" spans="10:15" ht="12.75">
      <c r="J111" s="8"/>
      <c r="K111" s="8"/>
      <c r="L111" s="8"/>
      <c r="M111" s="8"/>
      <c r="N111" s="8"/>
      <c r="O111" s="8"/>
    </row>
    <row r="112" spans="10:15" ht="12.75">
      <c r="J112" s="8"/>
      <c r="K112" s="8"/>
      <c r="L112" s="8"/>
      <c r="M112" s="8"/>
      <c r="N112" s="8"/>
      <c r="O112" s="8"/>
    </row>
    <row r="113" spans="10:15" ht="12.75">
      <c r="J113" s="8"/>
      <c r="K113" s="8"/>
      <c r="L113" s="8"/>
      <c r="M113" s="8"/>
      <c r="N113" s="8"/>
      <c r="O113" s="8"/>
    </row>
    <row r="114" spans="10:15" ht="12.75">
      <c r="J114" s="8"/>
      <c r="K114" s="8"/>
      <c r="L114" s="8"/>
      <c r="M114" s="8"/>
      <c r="N114" s="8"/>
      <c r="O114" s="8"/>
    </row>
    <row r="115" spans="10:15" ht="12.75">
      <c r="J115" s="8"/>
      <c r="K115" s="8"/>
      <c r="L115" s="8"/>
      <c r="M115" s="8"/>
      <c r="N115" s="8"/>
      <c r="O115" s="8"/>
    </row>
    <row r="116" spans="10:15" ht="12.75">
      <c r="J116" s="8"/>
      <c r="K116" s="8"/>
      <c r="L116" s="8"/>
      <c r="M116" s="8"/>
      <c r="N116" s="8"/>
      <c r="O116" s="8"/>
    </row>
    <row r="117" spans="10:15" ht="12.75">
      <c r="J117" s="8"/>
      <c r="K117" s="8"/>
      <c r="L117" s="8"/>
      <c r="M117" s="8"/>
      <c r="N117" s="8"/>
      <c r="O117" s="8"/>
    </row>
    <row r="118" spans="10:15" ht="12.75">
      <c r="J118" s="8"/>
      <c r="K118" s="8"/>
      <c r="L118" s="8"/>
      <c r="M118" s="8"/>
      <c r="N118" s="8"/>
      <c r="O118" s="8"/>
    </row>
    <row r="119" spans="10:15" ht="12.75">
      <c r="J119" s="8"/>
      <c r="K119" s="8"/>
      <c r="L119" s="8"/>
      <c r="M119" s="8"/>
      <c r="N119" s="8"/>
      <c r="O119" s="8"/>
    </row>
    <row r="120" spans="10:15" ht="12.75">
      <c r="J120" s="8"/>
      <c r="K120" s="8"/>
      <c r="L120" s="8"/>
      <c r="M120" s="8"/>
      <c r="N120" s="8"/>
      <c r="O120" s="8"/>
    </row>
    <row r="121" spans="10:15" ht="12.75">
      <c r="J121" s="8"/>
      <c r="K121" s="8"/>
      <c r="L121" s="8"/>
      <c r="M121" s="8"/>
      <c r="N121" s="8"/>
      <c r="O121" s="8"/>
    </row>
    <row r="122" spans="10:15" ht="12.75">
      <c r="J122" s="8"/>
      <c r="K122" s="8"/>
      <c r="L122" s="8"/>
      <c r="M122" s="8"/>
      <c r="N122" s="8"/>
      <c r="O122" s="8"/>
    </row>
    <row r="123" spans="10:15" ht="12.75">
      <c r="J123" s="8"/>
      <c r="K123" s="8"/>
      <c r="L123" s="8"/>
      <c r="M123" s="8"/>
      <c r="N123" s="8"/>
      <c r="O123" s="8"/>
    </row>
    <row r="124" spans="10:15" ht="12.75">
      <c r="J124" s="8"/>
      <c r="K124" s="8"/>
      <c r="L124" s="8"/>
      <c r="M124" s="8"/>
      <c r="N124" s="8"/>
      <c r="O124" s="8"/>
    </row>
    <row r="125" spans="10:15" ht="12.75">
      <c r="J125" s="8"/>
      <c r="K125" s="8"/>
      <c r="L125" s="8"/>
      <c r="M125" s="8"/>
      <c r="N125" s="8"/>
      <c r="O125" s="8"/>
    </row>
    <row r="126" spans="10:15" ht="12.75">
      <c r="J126" s="8"/>
      <c r="K126" s="8"/>
      <c r="L126" s="8"/>
      <c r="M126" s="8"/>
      <c r="N126" s="8"/>
      <c r="O126" s="8"/>
    </row>
    <row r="127" spans="10:15" ht="12.75">
      <c r="J127" s="8"/>
      <c r="K127" s="8"/>
      <c r="L127" s="8"/>
      <c r="M127" s="8"/>
      <c r="N127" s="8"/>
      <c r="O127" s="8"/>
    </row>
    <row r="128" spans="11:15" ht="12.75">
      <c r="K128" s="18"/>
      <c r="L128" s="18"/>
      <c r="N128" s="18"/>
      <c r="O128" s="18"/>
    </row>
    <row r="129" spans="11:15" ht="12.75">
      <c r="K129" s="18"/>
      <c r="L129" s="18"/>
      <c r="N129" s="18"/>
      <c r="O129" s="18"/>
    </row>
    <row r="130" spans="11:15" ht="12.75">
      <c r="K130" s="18"/>
      <c r="L130" s="18"/>
      <c r="N130" s="18"/>
      <c r="O130" s="18"/>
    </row>
    <row r="131" spans="11:15" ht="12.75">
      <c r="K131" s="8"/>
      <c r="L131" s="18"/>
      <c r="N131" s="18"/>
      <c r="O131" s="8"/>
    </row>
  </sheetData>
  <printOptions horizontalCentered="1"/>
  <pageMargins left="0.37" right="0.55" top="1" bottom="0.76" header="0.5" footer="0.5"/>
  <pageSetup horizontalDpi="300" verticalDpi="300" orientation="landscape" scale="78" r:id="rId3"/>
  <headerFooter alignWithMargins="0">
    <oddFooter>&amp;CPage &amp;P&amp;Rtm &amp;A &amp;F</oddFooter>
  </headerFooter>
  <rowBreaks count="1" manualBreakCount="1">
    <brk id="4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 - 2008 Labor&amp;Benefit.xls</dc:title>
  <dc:subject/>
  <dc:creator>tm</dc:creator>
  <cp:keywords/>
  <dc:description/>
  <cp:lastModifiedBy>Patrick Ehrbar</cp:lastModifiedBy>
  <cp:lastPrinted>2009-01-13T20:40:37Z</cp:lastPrinted>
  <dcterms:created xsi:type="dcterms:W3CDTF">1998-07-15T16:25:24Z</dcterms:created>
  <dcterms:modified xsi:type="dcterms:W3CDTF">2009-04-30T21:56:53Z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