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7305" windowWidth="14310" windowHeight="7335" tabRatio="974"/>
  </bookViews>
  <sheets>
    <sheet name="ERF Revenues Lead Sheet" sheetId="5" r:id="rId1"/>
    <sheet name="Annualize  FPC" sheetId="25" r:id="rId2"/>
    <sheet name="Decoupling Accts 17GRC" sheetId="17" r:id="rId3"/>
    <sheet name="456.1" sheetId="20" r:id="rId4"/>
    <sheet name="Summary of A-1 &amp; Total Revenue" sheetId="23" r:id="rId5"/>
    <sheet name="Annualize VC rev component" sheetId="24" r:id="rId6"/>
    <sheet name="456 &amp; 447" sheetId="32" r:id="rId7"/>
    <sheet name="A-1 UE-180284" sheetId="33" r:id="rId8"/>
  </sheets>
  <externalReferences>
    <externalReference r:id="rId9"/>
    <externalReference r:id="rId10"/>
    <externalReference r:id="rId11"/>
  </externalReferences>
  <definedNames>
    <definedName name="_xlnm.Print_Area" localSheetId="2">'Decoupling Accts 17GRC'!$A$1:$G$130</definedName>
  </definedNames>
  <calcPr calcId="145621"/>
</workbook>
</file>

<file path=xl/calcChain.xml><?xml version="1.0" encoding="utf-8"?>
<calcChain xmlns="http://schemas.openxmlformats.org/spreadsheetml/2006/main">
  <c r="B14" i="32" l="1"/>
  <c r="B2" i="32"/>
  <c r="E36" i="23"/>
  <c r="E35" i="23"/>
  <c r="E34" i="23"/>
  <c r="C37" i="5"/>
  <c r="C29" i="5"/>
  <c r="S26" i="25"/>
  <c r="Q26" i="25"/>
  <c r="P26" i="25"/>
  <c r="O26" i="25"/>
  <c r="N26" i="25"/>
  <c r="M26" i="25"/>
  <c r="L26" i="25"/>
  <c r="K26" i="25"/>
  <c r="J26" i="25"/>
  <c r="I26" i="25"/>
  <c r="H26" i="25"/>
  <c r="G26" i="25"/>
  <c r="F26" i="25"/>
  <c r="S24" i="25"/>
  <c r="Q24" i="25"/>
  <c r="P24" i="25"/>
  <c r="O24" i="25"/>
  <c r="N24" i="25"/>
  <c r="M24" i="25"/>
  <c r="L24" i="25"/>
  <c r="K24" i="25"/>
  <c r="J24" i="25"/>
  <c r="I24" i="25"/>
  <c r="H24" i="25"/>
  <c r="G24" i="25"/>
  <c r="F24" i="25"/>
  <c r="S23" i="25"/>
  <c r="Q23" i="25"/>
  <c r="P23" i="25"/>
  <c r="O23" i="25"/>
  <c r="N23" i="25"/>
  <c r="M23" i="25"/>
  <c r="L23" i="25"/>
  <c r="K23" i="25"/>
  <c r="J23" i="25"/>
  <c r="I23" i="25"/>
  <c r="H23" i="25"/>
  <c r="G23" i="25"/>
  <c r="F23" i="25"/>
  <c r="S22" i="25"/>
  <c r="Q22" i="25"/>
  <c r="P22" i="25"/>
  <c r="O22" i="25"/>
  <c r="N22" i="25"/>
  <c r="M22" i="25"/>
  <c r="L22" i="25"/>
  <c r="K22" i="25"/>
  <c r="J22" i="25"/>
  <c r="I22" i="25"/>
  <c r="H22" i="25"/>
  <c r="G22" i="25"/>
  <c r="F22" i="25"/>
  <c r="S21" i="25"/>
  <c r="Q21" i="25"/>
  <c r="P21" i="25"/>
  <c r="O21" i="25"/>
  <c r="N21" i="25"/>
  <c r="M21" i="25"/>
  <c r="L21" i="25"/>
  <c r="K21" i="25"/>
  <c r="J21" i="25"/>
  <c r="I21" i="25"/>
  <c r="H21" i="25"/>
  <c r="G21" i="25"/>
  <c r="F21" i="25"/>
  <c r="S20" i="25"/>
  <c r="Q20" i="25"/>
  <c r="P20" i="25"/>
  <c r="O20" i="25"/>
  <c r="N20" i="25"/>
  <c r="M20" i="25"/>
  <c r="L20" i="25"/>
  <c r="K20" i="25"/>
  <c r="J20" i="25"/>
  <c r="I20" i="25"/>
  <c r="H20" i="25"/>
  <c r="G20" i="25"/>
  <c r="F20" i="25"/>
  <c r="S19" i="25"/>
  <c r="Q19" i="25"/>
  <c r="P19" i="25"/>
  <c r="O19" i="25"/>
  <c r="N19" i="25"/>
  <c r="M19" i="25"/>
  <c r="L19" i="25"/>
  <c r="K19" i="25"/>
  <c r="J19" i="25"/>
  <c r="I19" i="25"/>
  <c r="H19" i="25"/>
  <c r="G19" i="25"/>
  <c r="F19" i="25"/>
  <c r="B19" i="23"/>
  <c r="B17" i="23"/>
  <c r="D16" i="5"/>
  <c r="D15" i="5"/>
  <c r="G124" i="17" l="1"/>
  <c r="Q37" i="25" l="1"/>
  <c r="P37" i="25"/>
  <c r="O37" i="25"/>
  <c r="N37" i="25"/>
  <c r="M37" i="25"/>
  <c r="L37" i="25"/>
  <c r="K37" i="25"/>
  <c r="J37" i="25"/>
  <c r="I37" i="25"/>
  <c r="H37" i="25"/>
  <c r="G37" i="25"/>
  <c r="Q36" i="25"/>
  <c r="P36" i="25"/>
  <c r="O36" i="25"/>
  <c r="N36" i="25"/>
  <c r="M36" i="25"/>
  <c r="L36" i="25"/>
  <c r="K36" i="25"/>
  <c r="J36" i="25"/>
  <c r="I36" i="25"/>
  <c r="H36" i="25"/>
  <c r="G36" i="25"/>
  <c r="Q35" i="25"/>
  <c r="P35" i="25"/>
  <c r="O35" i="25"/>
  <c r="N35" i="25"/>
  <c r="M35" i="25"/>
  <c r="L35" i="25"/>
  <c r="K35" i="25"/>
  <c r="J35" i="25"/>
  <c r="I35" i="25"/>
  <c r="H35" i="25"/>
  <c r="G35" i="25"/>
  <c r="Q34" i="25"/>
  <c r="P34" i="25"/>
  <c r="N34" i="25"/>
  <c r="M34" i="25"/>
  <c r="L34" i="25"/>
  <c r="J34" i="25"/>
  <c r="I34" i="25"/>
  <c r="H34" i="25"/>
  <c r="Q33" i="25"/>
  <c r="P33" i="25"/>
  <c r="O33" i="25"/>
  <c r="N33" i="25"/>
  <c r="M33" i="25"/>
  <c r="L33" i="25"/>
  <c r="K33" i="25"/>
  <c r="J33" i="25"/>
  <c r="I33" i="25"/>
  <c r="H33" i="25"/>
  <c r="G33" i="25"/>
  <c r="Q32" i="25"/>
  <c r="O32" i="25"/>
  <c r="N32" i="25"/>
  <c r="M32" i="25"/>
  <c r="K32" i="25"/>
  <c r="J32" i="25"/>
  <c r="I32" i="25"/>
  <c r="G32" i="25"/>
  <c r="F32" i="25"/>
  <c r="F37" i="25"/>
  <c r="F36" i="25"/>
  <c r="F35" i="25"/>
  <c r="F34" i="25"/>
  <c r="F33" i="25"/>
  <c r="H25" i="25" l="1"/>
  <c r="L25" i="25"/>
  <c r="P25" i="25"/>
  <c r="J25" i="25"/>
  <c r="N25" i="25"/>
  <c r="I25" i="25"/>
  <c r="M25" i="25"/>
  <c r="Q25" i="25"/>
  <c r="G25" i="25"/>
  <c r="K25" i="25"/>
  <c r="O25" i="25"/>
  <c r="G34" i="25"/>
  <c r="H32" i="25"/>
  <c r="K34" i="25"/>
  <c r="L32" i="25"/>
  <c r="O34" i="25"/>
  <c r="P32" i="25"/>
  <c r="C26" i="23" l="1"/>
  <c r="F25" i="23"/>
  <c r="S14" i="24" l="1"/>
  <c r="S12" i="24"/>
  <c r="S11" i="24"/>
  <c r="S10" i="24"/>
  <c r="S9" i="24"/>
  <c r="S8" i="24"/>
  <c r="S7" i="24"/>
  <c r="Q14" i="24" l="1"/>
  <c r="P14" i="24"/>
  <c r="O14" i="24"/>
  <c r="N14" i="24"/>
  <c r="M14" i="24"/>
  <c r="L14" i="24"/>
  <c r="K14" i="24"/>
  <c r="J14" i="24"/>
  <c r="I14" i="24"/>
  <c r="H14" i="24"/>
  <c r="G14" i="24"/>
  <c r="F14" i="24"/>
  <c r="Q12" i="24"/>
  <c r="P12" i="24"/>
  <c r="O12" i="24"/>
  <c r="N12" i="24"/>
  <c r="M12" i="24"/>
  <c r="L12" i="24"/>
  <c r="K12" i="24"/>
  <c r="J12" i="24"/>
  <c r="I12" i="24"/>
  <c r="H12" i="24"/>
  <c r="G12" i="24"/>
  <c r="Q11" i="24"/>
  <c r="P11" i="24"/>
  <c r="O11" i="24"/>
  <c r="N11" i="24"/>
  <c r="M11" i="24"/>
  <c r="L11" i="24"/>
  <c r="K11" i="24"/>
  <c r="J11" i="24"/>
  <c r="I11" i="24"/>
  <c r="H11" i="24"/>
  <c r="G11" i="24"/>
  <c r="Q10" i="24"/>
  <c r="P10" i="24"/>
  <c r="O10" i="24"/>
  <c r="N10" i="24"/>
  <c r="M10" i="24"/>
  <c r="L10" i="24"/>
  <c r="K10" i="24"/>
  <c r="J10" i="24"/>
  <c r="I10" i="24"/>
  <c r="H10" i="24"/>
  <c r="G10" i="24"/>
  <c r="Q9" i="24"/>
  <c r="P9" i="24"/>
  <c r="O9" i="24"/>
  <c r="N9" i="24"/>
  <c r="M9" i="24"/>
  <c r="L9" i="24"/>
  <c r="K9" i="24"/>
  <c r="J9" i="24"/>
  <c r="I9" i="24"/>
  <c r="H9" i="24"/>
  <c r="G9" i="24"/>
  <c r="Q8" i="24"/>
  <c r="P8" i="24"/>
  <c r="O8" i="24"/>
  <c r="N8" i="24"/>
  <c r="M8" i="24"/>
  <c r="L8" i="24"/>
  <c r="K8" i="24"/>
  <c r="J8" i="24"/>
  <c r="I8" i="24"/>
  <c r="H8" i="24"/>
  <c r="G8" i="24"/>
  <c r="Q7" i="24"/>
  <c r="P7" i="24"/>
  <c r="O7" i="24"/>
  <c r="N7" i="24"/>
  <c r="M7" i="24"/>
  <c r="L7" i="24"/>
  <c r="K7" i="24"/>
  <c r="J7" i="24"/>
  <c r="I7" i="24"/>
  <c r="H7" i="24"/>
  <c r="G7" i="24"/>
  <c r="F12" i="24"/>
  <c r="F11" i="24"/>
  <c r="F10" i="24"/>
  <c r="F9" i="24"/>
  <c r="F8" i="24"/>
  <c r="F7" i="24"/>
  <c r="R22" i="25" l="1"/>
  <c r="R26" i="25"/>
  <c r="R20" i="25"/>
  <c r="R23" i="25"/>
  <c r="R24" i="25"/>
  <c r="R21" i="25" l="1"/>
  <c r="D57" i="33" l="1"/>
  <c r="F56" i="33"/>
  <c r="F55" i="33"/>
  <c r="F54" i="33"/>
  <c r="F53" i="33"/>
  <c r="F52" i="33"/>
  <c r="F51" i="33"/>
  <c r="F50" i="33"/>
  <c r="F49" i="33"/>
  <c r="F57" i="33" s="1"/>
  <c r="F37" i="33"/>
  <c r="G37" i="33" s="1"/>
  <c r="D37" i="33"/>
  <c r="A34" i="33"/>
  <c r="A35" i="33" s="1"/>
  <c r="A36" i="33" s="1"/>
  <c r="A37" i="33" s="1"/>
  <c r="A38" i="33" s="1"/>
  <c r="A39" i="33" s="1"/>
  <c r="A40" i="33" s="1"/>
  <c r="A41" i="33" s="1"/>
  <c r="A42" i="33" s="1"/>
  <c r="A43" i="33" s="1"/>
  <c r="A44" i="33" s="1"/>
  <c r="A45" i="33" s="1"/>
  <c r="F33" i="33"/>
  <c r="D33" i="33"/>
  <c r="F32" i="33"/>
  <c r="D32" i="33"/>
  <c r="F31" i="33"/>
  <c r="D31" i="33"/>
  <c r="G30" i="33"/>
  <c r="D30" i="33"/>
  <c r="G29" i="33"/>
  <c r="D29" i="33"/>
  <c r="F28" i="33"/>
  <c r="D28" i="33"/>
  <c r="F27" i="33"/>
  <c r="D27" i="33"/>
  <c r="G26" i="33"/>
  <c r="D26" i="33"/>
  <c r="G25" i="33"/>
  <c r="D25" i="33"/>
  <c r="G24" i="33"/>
  <c r="D24" i="33"/>
  <c r="F23" i="33"/>
  <c r="D23" i="33"/>
  <c r="G22" i="33"/>
  <c r="D22" i="33"/>
  <c r="F21" i="33"/>
  <c r="D21" i="33"/>
  <c r="F20" i="33"/>
  <c r="D20" i="33"/>
  <c r="F19" i="33"/>
  <c r="D19" i="33"/>
  <c r="G18" i="33"/>
  <c r="D18" i="33"/>
  <c r="G17" i="33"/>
  <c r="D17" i="33"/>
  <c r="C16" i="33"/>
  <c r="F16" i="33" s="1"/>
  <c r="C15" i="33"/>
  <c r="F15" i="33" s="1"/>
  <c r="G14" i="33"/>
  <c r="G36" i="33" s="1"/>
  <c r="D14" i="33"/>
  <c r="D13" i="33"/>
  <c r="C13" i="33"/>
  <c r="C8" i="33"/>
  <c r="B26" i="32"/>
  <c r="B22" i="32"/>
  <c r="E41" i="23" s="1"/>
  <c r="B11" i="32"/>
  <c r="E38" i="23" s="1"/>
  <c r="L45" i="25"/>
  <c r="O47" i="25"/>
  <c r="I46" i="25"/>
  <c r="Q43" i="25"/>
  <c r="K47" i="25"/>
  <c r="O45" i="25"/>
  <c r="K45" i="25"/>
  <c r="G45" i="25"/>
  <c r="M43" i="25"/>
  <c r="K54" i="25"/>
  <c r="K55" i="25" s="1"/>
  <c r="G47" i="25"/>
  <c r="Q46" i="25"/>
  <c r="O46" i="25"/>
  <c r="N46" i="25"/>
  <c r="K46" i="25"/>
  <c r="J46" i="25"/>
  <c r="P45" i="25"/>
  <c r="J45" i="25"/>
  <c r="P43" i="25"/>
  <c r="O43" i="25"/>
  <c r="H43" i="25"/>
  <c r="R15" i="25"/>
  <c r="R14" i="25"/>
  <c r="R13" i="25"/>
  <c r="R12" i="25"/>
  <c r="R11" i="25"/>
  <c r="R10" i="25"/>
  <c r="E37" i="23"/>
  <c r="E10" i="23" s="1"/>
  <c r="D17" i="23"/>
  <c r="D10" i="23"/>
  <c r="G10" i="23" l="1"/>
  <c r="G17" i="23"/>
  <c r="R16" i="25"/>
  <c r="H45" i="25"/>
  <c r="G43" i="25"/>
  <c r="L43" i="25"/>
  <c r="G38" i="33"/>
  <c r="G43" i="33" s="1"/>
  <c r="F4" i="24" s="1"/>
  <c r="G42" i="33"/>
  <c r="F58" i="33"/>
  <c r="C34" i="33"/>
  <c r="D16" i="33"/>
  <c r="F13" i="33"/>
  <c r="D15" i="33"/>
  <c r="G123" i="17"/>
  <c r="L13" i="24" l="1"/>
  <c r="L15" i="24" s="1"/>
  <c r="L18" i="24" s="1"/>
  <c r="H44" i="25"/>
  <c r="N44" i="25"/>
  <c r="P44" i="25"/>
  <c r="P13" i="24"/>
  <c r="P15" i="24" s="1"/>
  <c r="P18" i="24" s="1"/>
  <c r="N47" i="25"/>
  <c r="D34" i="33"/>
  <c r="D36" i="33" s="1"/>
  <c r="D38" i="33" s="1"/>
  <c r="F34" i="33"/>
  <c r="M46" i="25"/>
  <c r="H47" i="25"/>
  <c r="L46" i="25"/>
  <c r="I42" i="25"/>
  <c r="I47" i="25"/>
  <c r="P54" i="25"/>
  <c r="P55" i="25" s="1"/>
  <c r="H46" i="25"/>
  <c r="O44" i="25"/>
  <c r="R11" i="24"/>
  <c r="T11" i="24" s="1"/>
  <c r="K43" i="25"/>
  <c r="J43" i="25"/>
  <c r="J13" i="24"/>
  <c r="J15" i="24" s="1"/>
  <c r="J18" i="24" s="1"/>
  <c r="I43" i="25"/>
  <c r="I13" i="24"/>
  <c r="I15" i="24" s="1"/>
  <c r="I18" i="24" s="1"/>
  <c r="F36" i="33"/>
  <c r="P47" i="25"/>
  <c r="K44" i="25"/>
  <c r="Q13" i="24"/>
  <c r="Q15" i="24" s="1"/>
  <c r="Q18" i="24" s="1"/>
  <c r="Q44" i="25"/>
  <c r="M44" i="25"/>
  <c r="L44" i="25"/>
  <c r="N42" i="25"/>
  <c r="Q45" i="25"/>
  <c r="M47" i="25"/>
  <c r="J44" i="25"/>
  <c r="J47" i="25"/>
  <c r="N43" i="25"/>
  <c r="Q42" i="25"/>
  <c r="N13" i="24"/>
  <c r="N15" i="24" s="1"/>
  <c r="N18" i="24" s="1"/>
  <c r="N45" i="25"/>
  <c r="M13" i="24"/>
  <c r="M15" i="24" s="1"/>
  <c r="M18" i="24" s="1"/>
  <c r="M45" i="25"/>
  <c r="M54" i="25"/>
  <c r="M55" i="25" s="1"/>
  <c r="I45" i="25"/>
  <c r="Q47" i="25"/>
  <c r="L47" i="25"/>
  <c r="P46" i="25"/>
  <c r="I44" i="25"/>
  <c r="F46" i="25"/>
  <c r="J42" i="25"/>
  <c r="C36" i="33"/>
  <c r="C38" i="33" s="1"/>
  <c r="M42" i="25"/>
  <c r="G54" i="25" l="1"/>
  <c r="G55" i="25" s="1"/>
  <c r="O54" i="25"/>
  <c r="O55" i="25" s="1"/>
  <c r="O27" i="25"/>
  <c r="O42" i="25"/>
  <c r="O48" i="25" s="1"/>
  <c r="N48" i="25"/>
  <c r="F38" i="33"/>
  <c r="F43" i="33" s="1"/>
  <c r="F42" i="33"/>
  <c r="D42" i="33" s="1"/>
  <c r="H54" i="25"/>
  <c r="H55" i="25" s="1"/>
  <c r="H13" i="24"/>
  <c r="H15" i="24" s="1"/>
  <c r="H18" i="24" s="1"/>
  <c r="M27" i="25"/>
  <c r="F25" i="25"/>
  <c r="R19" i="25"/>
  <c r="T19" i="25" s="1"/>
  <c r="O13" i="24"/>
  <c r="O15" i="24" s="1"/>
  <c r="O18" i="24" s="1"/>
  <c r="R9" i="24"/>
  <c r="T9" i="24" s="1"/>
  <c r="G44" i="25"/>
  <c r="R14" i="24"/>
  <c r="I54" i="25"/>
  <c r="I55" i="25" s="1"/>
  <c r="N54" i="25"/>
  <c r="N55" i="25" s="1"/>
  <c r="Q48" i="25"/>
  <c r="K13" i="24"/>
  <c r="K15" i="24" s="1"/>
  <c r="K18" i="24" s="1"/>
  <c r="N27" i="25"/>
  <c r="I48" i="25"/>
  <c r="H42" i="25"/>
  <c r="H48" i="25" s="1"/>
  <c r="H27" i="25"/>
  <c r="P27" i="25"/>
  <c r="P42" i="25"/>
  <c r="P48" i="25" s="1"/>
  <c r="L27" i="25"/>
  <c r="L42" i="25"/>
  <c r="L48" i="25" s="1"/>
  <c r="T22" i="25"/>
  <c r="T20" i="25"/>
  <c r="J27" i="25"/>
  <c r="J54" i="25"/>
  <c r="J55" i="25" s="1"/>
  <c r="T24" i="25"/>
  <c r="G13" i="24"/>
  <c r="G15" i="24" s="1"/>
  <c r="G18" i="24" s="1"/>
  <c r="Q54" i="25"/>
  <c r="Q55" i="25" s="1"/>
  <c r="T21" i="25"/>
  <c r="R10" i="24"/>
  <c r="T10" i="24" s="1"/>
  <c r="Q27" i="25"/>
  <c r="K27" i="25"/>
  <c r="K42" i="25"/>
  <c r="K48" i="25" s="1"/>
  <c r="I27" i="25"/>
  <c r="M48" i="25"/>
  <c r="J48" i="25"/>
  <c r="F13" i="24"/>
  <c r="F15" i="24" s="1"/>
  <c r="F18" i="24" s="1"/>
  <c r="R7" i="24"/>
  <c r="T7" i="24" s="1"/>
  <c r="L54" i="25"/>
  <c r="L55" i="25" s="1"/>
  <c r="F54" i="25"/>
  <c r="F55" i="25" s="1"/>
  <c r="R8" i="24"/>
  <c r="T8" i="24" s="1"/>
  <c r="R12" i="24"/>
  <c r="T12" i="24" s="1"/>
  <c r="G27" i="25"/>
  <c r="G42" i="25"/>
  <c r="T23" i="25"/>
  <c r="F27" i="25" l="1"/>
  <c r="R25" i="25"/>
  <c r="G46" i="25"/>
  <c r="R46" i="25" s="1"/>
  <c r="R36" i="25"/>
  <c r="S46" i="25" s="1"/>
  <c r="R54" i="25"/>
  <c r="F44" i="25"/>
  <c r="R44" i="25" s="1"/>
  <c r="R34" i="25"/>
  <c r="S44" i="25" s="1"/>
  <c r="R35" i="25"/>
  <c r="S45" i="25" s="1"/>
  <c r="F45" i="25"/>
  <c r="R45" i="25" s="1"/>
  <c r="R13" i="24"/>
  <c r="R15" i="24" s="1"/>
  <c r="F47" i="25"/>
  <c r="R47" i="25" s="1"/>
  <c r="R37" i="25"/>
  <c r="S47" i="25" s="1"/>
  <c r="F43" i="25"/>
  <c r="R43" i="25" s="1"/>
  <c r="R33" i="25"/>
  <c r="S43" i="25" s="1"/>
  <c r="R18" i="24"/>
  <c r="B12" i="23" s="1"/>
  <c r="B26" i="23" s="1"/>
  <c r="F42" i="25"/>
  <c r="R32" i="25"/>
  <c r="D43" i="33"/>
  <c r="F53" i="25"/>
  <c r="R27" i="25"/>
  <c r="T26" i="25"/>
  <c r="T14" i="24"/>
  <c r="G48" i="25" l="1"/>
  <c r="D12" i="23"/>
  <c r="D26" i="23" s="1"/>
  <c r="S42" i="25"/>
  <c r="S48" i="25" s="1"/>
  <c r="R38" i="25"/>
  <c r="B8" i="23" s="1"/>
  <c r="F48" i="25"/>
  <c r="R42" i="25"/>
  <c r="R48" i="25" s="1"/>
  <c r="D17" i="5" s="1"/>
  <c r="E17" i="5" l="1"/>
  <c r="D18" i="5"/>
  <c r="G12" i="23"/>
  <c r="R55" i="25"/>
  <c r="B9" i="23" s="1"/>
  <c r="C8" i="23"/>
  <c r="C25" i="23" l="1"/>
  <c r="C27" i="23" s="1"/>
  <c r="D9" i="23"/>
  <c r="C13" i="23"/>
  <c r="B13" i="23"/>
  <c r="D8" i="23"/>
  <c r="C19" i="23" l="1"/>
  <c r="C28" i="23" s="1"/>
  <c r="G8" i="23"/>
  <c r="G9" i="23"/>
  <c r="B15" i="23"/>
  <c r="B25" i="23" s="1"/>
  <c r="B27" i="23" s="1"/>
  <c r="B28" i="23" s="1"/>
  <c r="D13" i="23"/>
  <c r="B42" i="20"/>
  <c r="E39" i="23" l="1"/>
  <c r="D15" i="23"/>
  <c r="D25" i="23" s="1"/>
  <c r="D27" i="23" s="1"/>
  <c r="C21" i="5"/>
  <c r="D19" i="23" l="1"/>
  <c r="D28" i="23" s="1"/>
  <c r="D24" i="5"/>
  <c r="D26" i="5" l="1"/>
  <c r="D13" i="5"/>
  <c r="E21" i="5"/>
  <c r="D14" i="5" l="1"/>
  <c r="E13" i="5"/>
  <c r="C23" i="5" l="1"/>
  <c r="E23" i="5" l="1"/>
  <c r="C22" i="5"/>
  <c r="C24" i="5" l="1"/>
  <c r="E22" i="5"/>
  <c r="E24" i="5" l="1"/>
  <c r="C28" i="5" l="1"/>
  <c r="C32" i="5" l="1"/>
  <c r="C15" i="5" l="1"/>
  <c r="E15" i="5" l="1"/>
  <c r="C14" i="5" l="1"/>
  <c r="C16" i="5" l="1"/>
  <c r="C18" i="5" s="1"/>
  <c r="C26" i="5" s="1"/>
  <c r="E14" i="5"/>
  <c r="D28" i="5" l="1"/>
  <c r="E16" i="5"/>
  <c r="E18" i="5" s="1"/>
  <c r="E26" i="5" s="1"/>
  <c r="D29" i="5"/>
  <c r="D32" i="5"/>
  <c r="E30" i="5" l="1"/>
  <c r="E34" i="5" s="1"/>
  <c r="E36" i="5" s="1"/>
  <c r="E37" i="5" s="1"/>
  <c r="E38" i="5" s="1"/>
  <c r="B27" i="32" l="1"/>
  <c r="B28" i="32" s="1"/>
  <c r="E40" i="23" s="1"/>
  <c r="E42" i="23" l="1"/>
  <c r="E11" i="23"/>
  <c r="E13" i="23" l="1"/>
  <c r="E26" i="23"/>
  <c r="E15" i="23"/>
  <c r="G15" i="23" l="1"/>
  <c r="G25" i="23" s="1"/>
  <c r="E25" i="23"/>
  <c r="E27" i="23" s="1"/>
  <c r="E19" i="23"/>
  <c r="E32" i="23" s="1"/>
  <c r="E44" i="23" s="1"/>
  <c r="E28" i="23" l="1"/>
  <c r="B33" i="32" l="1"/>
  <c r="B34" i="32" s="1"/>
  <c r="F11" i="23" s="1"/>
  <c r="F26" i="23" l="1"/>
  <c r="F27" i="23" s="1"/>
  <c r="F13" i="23"/>
  <c r="F19" i="23" s="1"/>
  <c r="G11" i="23"/>
  <c r="F28" i="23" l="1"/>
  <c r="G26" i="23"/>
  <c r="G13" i="23"/>
  <c r="G19" i="23" s="1"/>
  <c r="G27" i="23" l="1"/>
  <c r="G28" i="23" s="1"/>
  <c r="B23" i="23" l="1"/>
  <c r="G23" i="23" l="1"/>
  <c r="H26" i="23" l="1"/>
  <c r="H25" i="23" l="1"/>
</calcChain>
</file>

<file path=xl/sharedStrings.xml><?xml version="1.0" encoding="utf-8"?>
<sst xmlns="http://schemas.openxmlformats.org/spreadsheetml/2006/main" count="560" uniqueCount="462">
  <si>
    <t>OTHER OPERATING REVENUES</t>
  </si>
  <si>
    <t>NO.</t>
  </si>
  <si>
    <t>ADJUSTMENT</t>
  </si>
  <si>
    <t>LINE</t>
  </si>
  <si>
    <t>PUGET SOUND ENERGY-ELECTRIC</t>
  </si>
  <si>
    <t>Total</t>
  </si>
  <si>
    <t>DESCRIPTION</t>
  </si>
  <si>
    <t>UNCOLLECTIBLES @</t>
  </si>
  <si>
    <t>ANNUAL FILING FEE @</t>
  </si>
  <si>
    <t>INCREASE (DECREASE) EXPENSE</t>
  </si>
  <si>
    <t>STATE UTILITY TAX @</t>
  </si>
  <si>
    <t>INCREASE (DECREASE) TAXES OTHER</t>
  </si>
  <si>
    <t>INCREASE (DECREASE) OPERATING INCOME</t>
  </si>
  <si>
    <t>INCREASE (DECREASE) FIT @</t>
  </si>
  <si>
    <t>INCREASE (DECREASE) NOI</t>
  </si>
  <si>
    <t>REVENUE ADJUSTMENT</t>
  </si>
  <si>
    <t>EXPEDITED RATE FILING</t>
  </si>
  <si>
    <t>TOTAL INCREASE (DECREASE) IN REVENUES</t>
  </si>
  <si>
    <t>Gas</t>
  </si>
  <si>
    <t>Electric</t>
  </si>
  <si>
    <t>RECLASSIFY TRANSPORTATION REVENUE TO SALES TO CUSTOMERS</t>
  </si>
  <si>
    <t>Attachment V Page 3 to Decoupling Accounting Instructions</t>
  </si>
  <si>
    <t>JE's, Accounts &amp; Orders</t>
  </si>
  <si>
    <t>JE #</t>
  </si>
  <si>
    <t>JE605A</t>
  </si>
  <si>
    <t>Electric Decoupling</t>
  </si>
  <si>
    <t>JE607A</t>
  </si>
  <si>
    <t>Gas Decoupling</t>
  </si>
  <si>
    <t>G/L Account</t>
  </si>
  <si>
    <t>Electric Residential Decoupling Revenue Undercollected</t>
  </si>
  <si>
    <t>Gas Residential Decoupling Revenue Undercollected</t>
  </si>
  <si>
    <t>Electric Non-Residential Decoupling Revenue Undercollected</t>
  </si>
  <si>
    <t>Gas Non-Residential Decoupling Revenue Undercollected</t>
  </si>
  <si>
    <t>Electric Schedule 26 Decoupling Revenue Undercollected</t>
  </si>
  <si>
    <t>Gas Schedule 85&amp;87 Decoupling Revenue Undercollected</t>
  </si>
  <si>
    <t>Electric Schedule 31 Decoupling Revenue Undercollected</t>
  </si>
  <si>
    <t>G Decoup Rev Undercollect - Sch 31 &amp; 31T</t>
  </si>
  <si>
    <t>E Decoup Rev Undercollect - Sch 8 &amp; 24</t>
  </si>
  <si>
    <t xml:space="preserve">G Decoup Rev Undercoll - Sch 41, 41T, 86 &amp; 86T </t>
  </si>
  <si>
    <t xml:space="preserve">E Decoup Rev Undercoll - Sch 7A, 11, 25, 29, 35 &amp; 43 </t>
  </si>
  <si>
    <t>E Decoup Rev Undercollect - Sch 40</t>
  </si>
  <si>
    <t>E Decoup Rev Undercollect - Sch 46 &amp; 49</t>
  </si>
  <si>
    <t>Interest on Electric Residential Decoupling Revenue Undercollected</t>
  </si>
  <si>
    <t>Interest on Gas Residential Decoupling Revenue Undercollected</t>
  </si>
  <si>
    <t>Interest on Electric Non-Residential Decoupling Revenue Undercollected</t>
  </si>
  <si>
    <t>Interest on Gas Non-Residential Decoupling Revenue Undercollected</t>
  </si>
  <si>
    <t>Interest on Electric Schedule 26 Decoupling Revenue Undercollected</t>
  </si>
  <si>
    <t>IntG Decoup Rev Undercollect - Sch 31 &amp; 31T</t>
  </si>
  <si>
    <t>Interest on Electric Schedule 31 Decoupling Revenue Undercollected</t>
  </si>
  <si>
    <t xml:space="preserve">IntG Decoup Rev Undercoll - Sch 41, 41T, 86 &amp; 86T </t>
  </si>
  <si>
    <t xml:space="preserve">IntE Decoup Rev Undercollect - Sch 8 &amp; 24 </t>
  </si>
  <si>
    <t xml:space="preserve">IntE Decoup Rev Undercoll - Sch 7A, 11, 25, 29, 35 &amp; 43 </t>
  </si>
  <si>
    <t>IntE Decoup Rev Undercollect - Sch 40</t>
  </si>
  <si>
    <t>IntE Decoup Rev Undercollect - Sch 46 &amp; 49</t>
  </si>
  <si>
    <t>E FPC Decoup Rev Undercollect - Sch 7</t>
  </si>
  <si>
    <t>E FPC Decoup Rev Undercoll - Sch 7A, 11, 25, 29, 35 &amp; 43</t>
  </si>
  <si>
    <t>E FPC Decoup Rev Undercollect - Sch 8 &amp; 24</t>
  </si>
  <si>
    <t xml:space="preserve">E FPC Decoup Rev Undercollect - Sch 10 &amp; 31 </t>
  </si>
  <si>
    <t xml:space="preserve">E FPC Decoup Rev Undercollect - Sch 12 &amp; 26 </t>
  </si>
  <si>
    <t>E FPC Decoup Rev Undercollect - Sch 40</t>
  </si>
  <si>
    <t>E FPC Decoup Rev Undercollect - Sch 46 &amp; 49</t>
  </si>
  <si>
    <t>IntE FPC Decoup Rev Undercollect - Sch 7</t>
  </si>
  <si>
    <t>IntE FPC Decoup Rev Undercoll - Sch 7A, 11, 25, 29, 35 &amp; 43</t>
  </si>
  <si>
    <t>IntE FPC Decoup Rev Undercollect - Sch 8 &amp; 24</t>
  </si>
  <si>
    <t xml:space="preserve">IntE FPC Decoup Rev Undercollect - Sch 10 &amp; 31 </t>
  </si>
  <si>
    <t xml:space="preserve">IntE FPC Decoup Rev Undercollect - Sch 12 &amp; 26 </t>
  </si>
  <si>
    <t>IntE FPC Decoup Rev Undercollect - Sch 40</t>
  </si>
  <si>
    <t>IntE FPC Decoup Rev Undercollect - Sch 46 &amp; 49</t>
  </si>
  <si>
    <t>Electric Residential Decoupling Revenue Overcollected</t>
  </si>
  <si>
    <t>Gas Residential Decoupling Revenue Overcollected</t>
  </si>
  <si>
    <t>Electric Non-Residential Decoupling Revenue Overcollected</t>
  </si>
  <si>
    <t>Gas Non-Residential Decoupling Revenue Overcollected</t>
  </si>
  <si>
    <t>Electric Schedule 26 Decoupling Revenue Overcollected</t>
  </si>
  <si>
    <t xml:space="preserve">G Decoup Rev Overcollect -  Sch 31 &amp; 31T </t>
  </si>
  <si>
    <t>Electric Schedule 31 Decoupling Revenue Overcollected</t>
  </si>
  <si>
    <t>G Decoup Rev Overcoll - Sch 41, 41T, 86 &amp; 86T</t>
  </si>
  <si>
    <t>E Decoup Rev Overcollect - Sch 8 &amp; 24</t>
  </si>
  <si>
    <t>E Decoup Rev Overcoll - Sch 7A, 11, 25, 29, 35 &amp; 43</t>
  </si>
  <si>
    <t>E Decoup Rev Overcollect - Sch 40</t>
  </si>
  <si>
    <t>Interest on Electric Residential Decoupling Revenue Overcollected</t>
  </si>
  <si>
    <t>Interest on Gas Residential Decoupling Revenue Overcollected</t>
  </si>
  <si>
    <t>Interest on Electric Non-Residential Decoupling Revenue Overcollected</t>
  </si>
  <si>
    <t>Interest on Gas Non-Residential Decoupling Revenue Overcollected</t>
  </si>
  <si>
    <t>Interest on Electric Schedule 26 Decoupling Revenue Overcollected</t>
  </si>
  <si>
    <t xml:space="preserve">IntG Decoup Rev Overcollect -  Sch 31 &amp; 31T </t>
  </si>
  <si>
    <t>Interest on Electric Schedule 31 Decoupling Revenue Overcollected</t>
  </si>
  <si>
    <t>IntG Decoup Rev Overcoll - Sch 41, 41T, 86 &amp; 86T</t>
  </si>
  <si>
    <t>IntE Decoup Rev Overcollect - Sch 8 &amp; 24</t>
  </si>
  <si>
    <t>IntE Decoup Rev Overcoll - Sch 7A, 11, 25, 29, 35 &amp; 43</t>
  </si>
  <si>
    <t>IntE Decoup Rev Overcollect - Sch 40</t>
  </si>
  <si>
    <t>IntE Decoup Rev Overcollect - Sch 46 &amp; 49</t>
  </si>
  <si>
    <t>E FPC Decoup Rev Overcollect - Sch 7</t>
  </si>
  <si>
    <t xml:space="preserve">E FPC Decoup Rev Overcoll- Sch 7A, 11, 25, 29, 35 &amp; 43 </t>
  </si>
  <si>
    <t xml:space="preserve">E FPC Decoup Rev Overcollect - Sch 8 &amp; 24 </t>
  </si>
  <si>
    <t xml:space="preserve">E FPC Decoup Rev Overcollect -  Sch 10 &amp; 31  </t>
  </si>
  <si>
    <t xml:space="preserve">E FPC Decoup Rev Overcollect-  Sch 12 &amp; 26 </t>
  </si>
  <si>
    <t xml:space="preserve">E FPC Decoup Rev Overcollect - Sch 40 </t>
  </si>
  <si>
    <t>IntE FPC Decoup Rev Overcollect - Sch 7</t>
  </si>
  <si>
    <t>IntE FPC Decoup Rev Overcoll - Sch 7A, 11, 25, 29, 35 &amp; 43</t>
  </si>
  <si>
    <t xml:space="preserve">IntE FPC Decoup Rev Overcollect - Sch 8 &amp; 24 </t>
  </si>
  <si>
    <t xml:space="preserve">IntE FPC Decoup Rev Overcollect -  Sch 10 &amp; 31  </t>
  </si>
  <si>
    <t xml:space="preserve">IntE FPC Decoup Rev Overcollect-  Sch 12 &amp; 26 </t>
  </si>
  <si>
    <t xml:space="preserve">IntE FPC Decoup Rev Overcollect - Sch 40 </t>
  </si>
  <si>
    <t>Sch 142 Electric Residential to Recover from Customers</t>
  </si>
  <si>
    <t>Sch 142 Gas Residential to Recover from Customers</t>
  </si>
  <si>
    <t>Sch 142 Electric Non-Residential to Recover from Customers</t>
  </si>
  <si>
    <t>Sch 142 Gas Non-Residential to Recover from Customers</t>
  </si>
  <si>
    <t>Sch 142 Electric Schedule 26 to Recover from Customers</t>
  </si>
  <si>
    <t>G Decoup Rev Recover - Sch 31 &amp; 31T</t>
  </si>
  <si>
    <t>Sch 142 Electric Schedule 31 to Recover from Customers</t>
  </si>
  <si>
    <t>G Decoup Rev Recover - Sch 41, 41T, 86 &amp; 86T</t>
  </si>
  <si>
    <t>E Decoup Rev Recover - Sch 8 &amp; 24</t>
  </si>
  <si>
    <t>E Decoup Rev Recover - Sch 7A, 11, 25, 29, 35 &amp; 43</t>
  </si>
  <si>
    <t>E Decoup Rev Recover - Sch 40</t>
  </si>
  <si>
    <t>E Decoup Rev Recover - Sch 46 &amp; 49</t>
  </si>
  <si>
    <t>E FPC Decoup Rev Recover - Sch 7</t>
  </si>
  <si>
    <t>E FPC Decoup Rev Recover - Sch 7A, 11, 25, 29, 35 &amp; 43</t>
  </si>
  <si>
    <t>E FPC Decoup Rev Recover - Sch 8 &amp; 24</t>
  </si>
  <si>
    <t xml:space="preserve">E FPC Decoup Rev Recover - Sch 10 &amp; 31 </t>
  </si>
  <si>
    <t xml:space="preserve">E FPC Decoup Rev Recover - Sch 12 &amp; 26 </t>
  </si>
  <si>
    <t>E FPC Decoup Rev Recover - Sch 40</t>
  </si>
  <si>
    <t>E FPC Decoup Rev Recover - Sch 46 &amp; 49</t>
  </si>
  <si>
    <t>Sch 142 Electric Residential to Return to Customers</t>
  </si>
  <si>
    <t>Sch 142 Gas Residential to Return to Customers</t>
  </si>
  <si>
    <t>Sch 142 Electric Non-Residential to Return to Customers</t>
  </si>
  <si>
    <t>Sch 142 Gas Non-Residential to Return to Customers</t>
  </si>
  <si>
    <t>Sch 142 Electric Schedule 26 to Return to Customers</t>
  </si>
  <si>
    <t>G Decoup Rev Return - Sch 31 &amp; 31T</t>
  </si>
  <si>
    <t>Sch 142 Electric Schedule 31 to Return to Customers</t>
  </si>
  <si>
    <t>G Decoup Rev Return - Sch 41, 41T, 86 &amp; 86T</t>
  </si>
  <si>
    <t>E Decoup Rev Return - Sch 8 &amp; 24</t>
  </si>
  <si>
    <t>E Decoup Rev Return - Sch 7A, 11, 25, 29, 35 &amp; 43</t>
  </si>
  <si>
    <t>E Decoup Rev Return - Sch 40</t>
  </si>
  <si>
    <t>E Decoup Rev Return - Sch 46 &amp; 49</t>
  </si>
  <si>
    <t>E FPC Decoup Rev Return - Sch 7</t>
  </si>
  <si>
    <t>E FPC Decoup Rev Return - Sch 7A, 11, 25, 29, 35 &amp; 43</t>
  </si>
  <si>
    <t>E FPC Decoup Rev Return - Sch 8 &amp; 24</t>
  </si>
  <si>
    <t xml:space="preserve">E FPC Decoup Rev Return - Sch 10 &amp; 31 </t>
  </si>
  <si>
    <t xml:space="preserve">E FPC Decoup Rev Return - Sch 12 &amp; 26 </t>
  </si>
  <si>
    <t>E FPC Decoup Rev Return - Sch 40</t>
  </si>
  <si>
    <t>Orders</t>
  </si>
  <si>
    <t>Electric Residential Decoupling Revenue</t>
  </si>
  <si>
    <t>Gas Residential Decoupling Revenue</t>
  </si>
  <si>
    <t>Electric Non-Residential Decoupling Revenue</t>
  </si>
  <si>
    <t>Gas Non-Residential Decoupling Revenue</t>
  </si>
  <si>
    <t>Electric Schedule 26 Decoupling Revenue</t>
  </si>
  <si>
    <t>G Decoup Rev Schedule 31 &amp; 31T</t>
  </si>
  <si>
    <t>Electric Schedule 31 Decoupling Revenue</t>
  </si>
  <si>
    <t>G Decoup Rev Sch 41, 41T, 86 &amp; 86T</t>
  </si>
  <si>
    <t>E Decoup Rev Sch 8 &amp; 24</t>
  </si>
  <si>
    <t>E Decoup Rev Sch 7A, 11, 25, 29, 35 &amp; 43</t>
  </si>
  <si>
    <t>E Decoup Rev Sch 40</t>
  </si>
  <si>
    <t>E Decoup Rev Sch 7 FPC</t>
  </si>
  <si>
    <t>E Decoup Rev Sch 8 &amp; 24 FPC</t>
  </si>
  <si>
    <t>E Decoup Rev Sch 7A, 11, 25, 29, 35 &amp; 43 FPC</t>
  </si>
  <si>
    <t>E Decoup Rev Sch 40 FPC</t>
  </si>
  <si>
    <t>E Decoup Rev Sch 12 &amp; 26 FPC</t>
  </si>
  <si>
    <t>E Decoup Rev Sch 10 &amp; 31 FPC</t>
  </si>
  <si>
    <t>Interest on Electric Residential Undercollected</t>
  </si>
  <si>
    <t>Interest on Gas Residential Undercollected</t>
  </si>
  <si>
    <t>Interest on Electric Non-Residential Undercollected</t>
  </si>
  <si>
    <t>Interest on Gas Non-Residential Undercollected</t>
  </si>
  <si>
    <t>Interest on Electric Schedule 26 Undercollected</t>
  </si>
  <si>
    <t>Gint Dcp Rev Undclct-Sch 31 &amp; 31T</t>
  </si>
  <si>
    <t>Interest on Electric Schedule 31 Undercollected</t>
  </si>
  <si>
    <t>Gint Dcp Rev Undclct-Sc 41,41T,86,86T</t>
  </si>
  <si>
    <t>EInt Dcp Rev Underclct-Sch 8 &amp; 24</t>
  </si>
  <si>
    <t>EInt DcpRev UC-Sc 7A,11,25,29,35,43</t>
  </si>
  <si>
    <t>EInt Dcp Rev Undcolct-Sch 40</t>
  </si>
  <si>
    <t>Eint Decp Rev Undcolct-Sch 46&amp;49</t>
  </si>
  <si>
    <t>Eint Decp Rev Undclct - Sch 7 FPC</t>
  </si>
  <si>
    <t>Eint Decp Rev Undclct - Sch 8 &amp; 24 FPC</t>
  </si>
  <si>
    <t>Eint Decp Rev Undclct - Sch 7A,11,25,29,35,43 FPC</t>
  </si>
  <si>
    <t>Eint Decp Rev Undclct - Sch 40 FPC</t>
  </si>
  <si>
    <t>Eint Decp Rev Undclct - Sch 12&amp;26 FPC</t>
  </si>
  <si>
    <t>Eint Decp Rev Undclct - Sch 10&amp;31 FPC</t>
  </si>
  <si>
    <t>Eint Decp Rev Undclct - Sch 46&amp;49 FPC</t>
  </si>
  <si>
    <t>Interest on Electric Residential Overcollected</t>
  </si>
  <si>
    <t>Interest on Gas Residential Overcollected</t>
  </si>
  <si>
    <t>Interest on Electric Non-Residential Overcollected</t>
  </si>
  <si>
    <t>Interest on Gas Non-Residential Overcollected</t>
  </si>
  <si>
    <t>Interest on Electric Schedule 26 Overcollected</t>
  </si>
  <si>
    <t>G Int DecpRevOvercollect-Sch31&amp;31T</t>
  </si>
  <si>
    <t>Interest on Electric Schedule 31 Overcollected</t>
  </si>
  <si>
    <t>G Int DecpRevOvercollect-Sch41,41T,86,86T</t>
  </si>
  <si>
    <t>E Int DecoupRevOvercollect-Sch8&amp;24</t>
  </si>
  <si>
    <t>E Int DecpRevOverclt-Sch7A,11,25,29,35,43</t>
  </si>
  <si>
    <t>E Int DecpRevOverclt-Sch40</t>
  </si>
  <si>
    <t>E Int Decp Rev Overclt-Sch 46&amp;49</t>
  </si>
  <si>
    <t>E Int Decp Rev Overclt - Sch 7 FPC</t>
  </si>
  <si>
    <t>E Int Decp Rev Overclt - Sch8&amp;24 FPC</t>
  </si>
  <si>
    <t>E Int Decp Rev Overclt - Sch 7A,11,25,29,35,43 FPC</t>
  </si>
  <si>
    <t>E Int Decp Rev Overclt - Sch 40 FPC</t>
  </si>
  <si>
    <t>E Int Decp Rev Overclt - Sch 12&amp;26 FPC</t>
  </si>
  <si>
    <t>E Int Decp Rev Overclt - Sch 10&amp;31 FPC</t>
  </si>
  <si>
    <t>E Int Decp Rev Overclt - Sch 46&amp;49 FPC</t>
  </si>
  <si>
    <t>Amortization of Sch 142 Electric Residential in Rates</t>
  </si>
  <si>
    <t>Amortization of Sch 142 Gas Residential in Rates</t>
  </si>
  <si>
    <t>Amortization of Sch 142 Electric Non-Residential in Rates</t>
  </si>
  <si>
    <t>Amortization of Sch 142 Gas Non-Residential in Rates</t>
  </si>
  <si>
    <t>Amortization of Sch 142 Electric Schedule 26 in Rates</t>
  </si>
  <si>
    <t>G Decoup Amort Sch 142 - Sch 31&amp;31T</t>
  </si>
  <si>
    <t>Amortization of Sch 142 Electric Schedule 31 in Rates</t>
  </si>
  <si>
    <t>G Decoup Amort Sch 142 - Sch 41,41T,86,86T</t>
  </si>
  <si>
    <t>E Decoup Amort of Sch 142 - Sch 8 &amp; 24</t>
  </si>
  <si>
    <t>E Dcp Amort Sch 142-Sc 7A,11,25,29,35,43</t>
  </si>
  <si>
    <t>E Decoup Amort of Sch 142 - Sch 40</t>
  </si>
  <si>
    <t>E Decoup Amort Sch 142 - Sch 46 &amp; 49</t>
  </si>
  <si>
    <t>E FPC Decoup Amort Sch 142 - Sch 7</t>
  </si>
  <si>
    <t>E FPC Decoup Amort Sch 142 - Sch 8&amp;24</t>
  </si>
  <si>
    <t>E FPC Decoup Amort Sch 142 - Sch 7A,11,25,29,35,43</t>
  </si>
  <si>
    <t>E FPC Decoup Amort Sch 142 - Sch 40</t>
  </si>
  <si>
    <t>E FPC Decoup Amort Sch 142 - Sch 12&amp;26</t>
  </si>
  <si>
    <t>E FPC Decoup Amort Sch 142 - Sch 10&amp;31</t>
  </si>
  <si>
    <t>E FPC Decoup Amort Sch 142 - Sch 46&amp;49</t>
  </si>
  <si>
    <t xml:space="preserve">  ZO12                      Orders: Actual 12 Month Ended</t>
  </si>
  <si>
    <t>45600321  9900-Electric Residential Decoupling Rev</t>
  </si>
  <si>
    <t>45600331  9900-Elec Non-Residential Decoupling Rev</t>
  </si>
  <si>
    <t>45600325  Electric Schedule 26 Decoupling Revenue</t>
  </si>
  <si>
    <t>45600326  Electric Schedule 31 Decoupling Revenue</t>
  </si>
  <si>
    <t>45600102  E Decoup Rev Sch 8 &amp; 24</t>
  </si>
  <si>
    <t>45600103  E Decoup Rev Sch 7A, 11, 25, 29, 35 &amp; 43</t>
  </si>
  <si>
    <t>45600104  E Decoup Rev Sch 40</t>
  </si>
  <si>
    <t>45600105  E Decoup Rev Sch 7 FPC</t>
  </si>
  <si>
    <t>45600106  E Decoup Rev Sch 8 &amp; 24 FPC</t>
  </si>
  <si>
    <t>45600107  E Dcp Rev Sc 7A, 11, 25, 29, 35 &amp; 43 FPC</t>
  </si>
  <si>
    <t>45600108  E Decoup Rev Sch 40 FPC</t>
  </si>
  <si>
    <t>Debit</t>
  </si>
  <si>
    <t>45600109  E Decoup Rev Sch 12 &amp; 26 FPC</t>
  </si>
  <si>
    <t>45600110  E Decoup Rev Sch 10 &amp; 31 FPC</t>
  </si>
  <si>
    <t>EXPEDITED RATE FILING REVENUES - SALES TO CUSTOMERS</t>
  </si>
  <si>
    <t>REMOVE DECOUPLING DEFERRALS FROM TEST YEAR</t>
  </si>
  <si>
    <t>REMOVE REVENUE DEFERRALS FOR TAX REFORM</t>
  </si>
  <si>
    <t xml:space="preserve">            44910001-Provision for rate refunds - Electric</t>
  </si>
  <si>
    <t>RECLASSIFY TRANSPORTATION REVENUE FROM OTHER OPERATING REVENUES</t>
  </si>
  <si>
    <t>TOTAL OTHER OPERATING REVENUES</t>
  </si>
  <si>
    <t>TOTAL SALES TO CUSTOMERS</t>
  </si>
  <si>
    <t>FOR THE TWELVE MONTHS ENDED JUNE 30, 2018</t>
  </si>
  <si>
    <t>Act. Costs</t>
  </si>
  <si>
    <t>45610002  4310 - Other Elec Rev - Transm Snohomish</t>
  </si>
  <si>
    <t>45610005  4310-Elec Trans Rev -OASIS-Cols,SI ,NI</t>
  </si>
  <si>
    <t>45610010  4310 - Other Elec Rev - Transm Seattle</t>
  </si>
  <si>
    <t>45610011  4310 - Other Elec Rev -Transm Tacoma</t>
  </si>
  <si>
    <t>45610015  4310- Elec Transm Rev - WA ST Tax -OASIS</t>
  </si>
  <si>
    <t>45610019  4310 - Generator Imbalance Penalty</t>
  </si>
  <si>
    <t>45610050  4310-Transm Rev-Ancillary Svcs Sch. 1</t>
  </si>
  <si>
    <t>45610051  4310-Transm Rev-Ancillary Svcs Sch.1-Oth</t>
  </si>
  <si>
    <t>45610052  4310-Transm Rev-Ancillary Svcs Sch. 2</t>
  </si>
  <si>
    <t>45610053  4310-Transm Rev-Ancillary Svcs Sch.2-Oth</t>
  </si>
  <si>
    <t>45610054  4310-Transm Rev-Ancillary Svcs Sch. 3</t>
  </si>
  <si>
    <t>45610055  4310-Transm Rev-Ancillary Svcs Sch.3-Oth</t>
  </si>
  <si>
    <t>45610056  4310-Transm Rev-Ancillary Svcs Sch. 5</t>
  </si>
  <si>
    <t>45610057  4310-Transm Rev-Ancillary Svcs Sch.5-Oth</t>
  </si>
  <si>
    <t>45610058  4310-Transm Rev-Ancillary Svcs Sch. 6</t>
  </si>
  <si>
    <t>45610059  4310-Transm Rev-Ancillary Svcs Sch.6-Oth</t>
  </si>
  <si>
    <t>45610060  4310-Elec Trans Rev - Network 449 Transm</t>
  </si>
  <si>
    <t>45610077  4310 - Unreserved Use Penalty-Refundable</t>
  </si>
  <si>
    <t>45610080  4310 - Elec Trans Rev-BPA NT OATT-T-Elec</t>
  </si>
  <si>
    <t>45610081  4310 -Elec Trans Rev-BPA NT Ded Fac-Elec</t>
  </si>
  <si>
    <t>45610089  4310 - Elec Trans Rev-Transmission Other</t>
  </si>
  <si>
    <t>45610121  Elec Trans Rev-Ancillary Svcs Sch. 1 449</t>
  </si>
  <si>
    <t>45610090  5360 - Elec Trans Rev.  Losses</t>
  </si>
  <si>
    <t>45610122  Elec Trans Rev-Ancillary Svcs Sch. 2 449</t>
  </si>
  <si>
    <t>45610093  4310-Transm Rev-Ancillary Svcs Sch. 13</t>
  </si>
  <si>
    <t>45610123  Elec Trans Rev-Ancillary Svcs Sch. 3 449</t>
  </si>
  <si>
    <t>45610095  4310-Transm Rev-Ancillary Svc Sch.13-Oth</t>
  </si>
  <si>
    <t>45610124  Elec Trans Rev-Ancillary Svcs Sch. 5 449</t>
  </si>
  <si>
    <t>45610125  Elec Trans Rev-Ancillary Svcs Sch. 6 449</t>
  </si>
  <si>
    <t>45610127  Elec Trans Rev - WA ST Tax - OASIS 449</t>
  </si>
  <si>
    <t>45610126  Unreserved Use Penalty-Refundable 449</t>
  </si>
  <si>
    <t>45610128  Elec Trans Rev - Transm Losses 449</t>
  </si>
  <si>
    <t>45610129  Imbalance Penalty Credit 449</t>
  </si>
  <si>
    <t>Other Transmission Electric Revenue</t>
  </si>
  <si>
    <t>(Dcplg. Dfrls.)</t>
  </si>
  <si>
    <t>(All Other)</t>
  </si>
  <si>
    <t>I/S Lines 2 &amp; 3</t>
  </si>
  <si>
    <t>I/S Line 5</t>
  </si>
  <si>
    <t>I/S Line 4</t>
  </si>
  <si>
    <t>Total Revenues</t>
  </si>
  <si>
    <t>Sales to Cust.</t>
  </si>
  <si>
    <t>Oth. Op. Rev.</t>
  </si>
  <si>
    <t>Sales to Others</t>
  </si>
  <si>
    <t>Column G</t>
  </si>
  <si>
    <t>A-1 Revenues:</t>
  </si>
  <si>
    <t>FP Decoupled</t>
  </si>
  <si>
    <t>FP Non-Decoupled</t>
  </si>
  <si>
    <t>FP Other Sources</t>
  </si>
  <si>
    <t>VC Other Sources</t>
  </si>
  <si>
    <t>VC all</t>
  </si>
  <si>
    <t>Total A-1 related</t>
  </si>
  <si>
    <t>Delivery Revenues</t>
  </si>
  <si>
    <t>Wholesale Revenues</t>
  </si>
  <si>
    <t>Grand Total</t>
  </si>
  <si>
    <t>^</t>
  </si>
  <si>
    <t>|</t>
  </si>
  <si>
    <t>Ties to JAP-__</t>
  </si>
  <si>
    <t>Ties to SEF-__</t>
  </si>
  <si>
    <t>Total I/S Line 5 Oth. Op. Rev.</t>
  </si>
  <si>
    <t>(5) 450 - Forfeited Discounts</t>
  </si>
  <si>
    <t>(5) 451 - Electric Misc Service Revenue</t>
  </si>
  <si>
    <t>(5) 454 - Rent For Electric Property</t>
  </si>
  <si>
    <t>(5) 456.1 - Other Electric Revenues - Transmission (PCA)</t>
  </si>
  <si>
    <t>(5) 456.1 - Other Electric Revenues - Transmission</t>
  </si>
  <si>
    <t>(5) 456 - Fixed Production Cost Deferral</t>
  </si>
  <si>
    <t>(5) 456 - Purchases and Sales of Non-Core Gas</t>
  </si>
  <si>
    <t>(5) 456 - Other Electric Revenues</t>
  </si>
  <si>
    <t>Check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</si>
  <si>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</si>
  <si>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</si>
  <si>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</si>
  <si>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</si>
  <si>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</si>
  <si>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</si>
  <si>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</si>
  <si>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</si>
  <si>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</si>
  <si>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</si>
  <si>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</si>
  <si>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</si>
  <si>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12 Months Ended</t>
  </si>
  <si>
    <t>Variable Grossed Up Baseline Rate Approved in UE-180284</t>
  </si>
  <si>
    <t>8 &amp; 24</t>
  </si>
  <si>
    <t>7A,11,25,29,35,43</t>
  </si>
  <si>
    <t>12 &amp; 26</t>
  </si>
  <si>
    <t>10&amp; 31</t>
  </si>
  <si>
    <t>Total Decoupled</t>
  </si>
  <si>
    <t>Not Decoupled</t>
  </si>
  <si>
    <t>(46/49/50-59/Firm Resale)</t>
  </si>
  <si>
    <t>Delivered less retail wheeling</t>
  </si>
  <si>
    <t>matches JAP</t>
  </si>
  <si>
    <t>A-1 Variable Related Revenues</t>
  </si>
  <si>
    <t>Per Tax Reform Tariff Update</t>
  </si>
  <si>
    <t>Group1</t>
  </si>
  <si>
    <t>Group 2</t>
  </si>
  <si>
    <t>Group3</t>
  </si>
  <si>
    <t>Group4</t>
  </si>
  <si>
    <t>Group5</t>
  </si>
  <si>
    <t>Group6</t>
  </si>
  <si>
    <t>Fixed Power Cost Rev Per Unit</t>
  </si>
  <si>
    <t>All revenues moved to 5/1/18 rates, therefore FPC decoupling needs to use 5/1/18 tariff rates for annualizing adjustment</t>
  </si>
  <si>
    <t>Per 5/1/18 Tariff Update</t>
  </si>
  <si>
    <t>Allowed Fixed Production Cost/month</t>
  </si>
  <si>
    <t>FPC Collections:  FPC Rev Per Unit * kWh</t>
  </si>
  <si>
    <t>FPC Related Deferral (FPC Collections less FPC Allowed)</t>
  </si>
  <si>
    <t>overcollected (undercollected)</t>
  </si>
  <si>
    <t>(Remove booked FPC deferrals and replace with these figures</t>
  </si>
  <si>
    <t>Non-Decoupled Schedules A-1 FP Related Revenues</t>
  </si>
  <si>
    <t>Fixed Grossed Up Baseline Rate Approved in UE-180284</t>
  </si>
  <si>
    <t>from above</t>
  </si>
  <si>
    <t>Separately Show PCA Related - 45610005-4310-Elec Trans Rev -OASIS-Cols,SI ,NI</t>
  </si>
  <si>
    <t>Reclassify 449 Related to Sales to Customers</t>
  </si>
  <si>
    <t xml:space="preserve">               45610060-4310-Elec Trans Rev - Network 449 Transm</t>
  </si>
  <si>
    <t xml:space="preserve">               45610121-Elec Trans Rev-Ancillary Svcs Sch. 1 449</t>
  </si>
  <si>
    <t xml:space="preserve">               45610122-Elec Trans Rev-Ancillary Svcs Sch. 2 449</t>
  </si>
  <si>
    <t xml:space="preserve">               45610123-Elec Trans Rev-Ancillary Svcs Sch. 3 449</t>
  </si>
  <si>
    <t xml:space="preserve">               45610124-Elec Trans Rev-Ancillary Svcs Sch. 5 449</t>
  </si>
  <si>
    <t xml:space="preserve">               45610125-Elec Trans Rev-Ancillary Svcs Sch. 6 449</t>
  </si>
  <si>
    <t>Separately Show Purchases and Sales of Non-Core Gas</t>
  </si>
  <si>
    <t>Remove Earnings Sharing in CBR Revenue Adjustment</t>
  </si>
  <si>
    <t>Remove Items in Pass Through Adjustment:</t>
  </si>
  <si>
    <t>Decoupling Amortization Accounts</t>
  </si>
  <si>
    <t>REC Tracker Amortization</t>
  </si>
  <si>
    <t>Green Energy Balancing Account</t>
  </si>
  <si>
    <t>Remove Decoupling Deferrals in Annualizing Revenue Adjustment</t>
  </si>
  <si>
    <t>(5) 456 - Other Electric Revenues - Purchases and Sales of Non-Core Gas</t>
  </si>
  <si>
    <t>Adjust Purchases and Sales of Non-Core Gas in Annulizing Power Cost Adjustment</t>
  </si>
  <si>
    <t>(4) 447 - Electric Sales For Resale</t>
  </si>
  <si>
    <t>Adjust in Annualizing Power Cost Adjustment</t>
  </si>
  <si>
    <t>Exhibit A-1 Power Cost Baseline Rate</t>
  </si>
  <si>
    <t>Exhibit H to Settlement Agreement</t>
  </si>
  <si>
    <t>2017 GRC (Per Settlement)</t>
  </si>
  <si>
    <t>Adjusted for Tax Reform and As Filed in UE-180284</t>
  </si>
  <si>
    <t>Row</t>
  </si>
  <si>
    <t xml:space="preserve">Test Year </t>
  </si>
  <si>
    <t>Regulatory Assets (1) (Fixed)</t>
  </si>
  <si>
    <t>Transmission Rate Base (Fixed)</t>
  </si>
  <si>
    <t>Production Rate Base (Fixed)</t>
  </si>
  <si>
    <t>Net of tax rate of return</t>
  </si>
  <si>
    <t xml:space="preserve">Fixed </t>
  </si>
  <si>
    <t xml:space="preserve">Variable </t>
  </si>
  <si>
    <t>Test Yr</t>
  </si>
  <si>
    <t>Prod Cost</t>
  </si>
  <si>
    <t>$/MWh</t>
  </si>
  <si>
    <t>F/V</t>
  </si>
  <si>
    <t>In Decoupling</t>
  </si>
  <si>
    <t>In PCA</t>
  </si>
  <si>
    <t>9A</t>
  </si>
  <si>
    <t>(I)</t>
  </si>
  <si>
    <t>(II)</t>
  </si>
  <si>
    <t>(III)</t>
  </si>
  <si>
    <t>(IV)</t>
  </si>
  <si>
    <t>(V)</t>
  </si>
  <si>
    <t>Regulatory Asset Recovery (on Row 3)</t>
  </si>
  <si>
    <t>F</t>
  </si>
  <si>
    <t>10a</t>
  </si>
  <si>
    <t>Equity Adder Centralia Coal Transition PPA</t>
  </si>
  <si>
    <t>V</t>
  </si>
  <si>
    <t>Fixed Asset Recovery Other (on Row 4)</t>
  </si>
  <si>
    <t>Fixed Asset Recovery-Prod Factored (on Row 5)</t>
  </si>
  <si>
    <t>501-Steam Fuel Incl PC Reg Amort</t>
  </si>
  <si>
    <t>555-Purchased power Incl PC Reg Amort</t>
  </si>
  <si>
    <t>557-Other Power Exp</t>
  </si>
  <si>
    <t>15a</t>
  </si>
  <si>
    <t>Payroll Overheads - Benefits (Inc. Worker's Comp)</t>
  </si>
  <si>
    <t>15b</t>
  </si>
  <si>
    <t>Property Insurance</t>
  </si>
  <si>
    <t>15c</t>
  </si>
  <si>
    <t>Montana Electric Energy Tax</t>
  </si>
  <si>
    <t>15d</t>
  </si>
  <si>
    <t>Payroll Taxes on Production Wages</t>
  </si>
  <si>
    <t>15e</t>
  </si>
  <si>
    <t>Brokerage Fees 55700003</t>
  </si>
  <si>
    <t>547-Fuel Incl PC Reg Amort</t>
  </si>
  <si>
    <t>565-Wheeling Incl PC Reg Amort</t>
  </si>
  <si>
    <t>Transmission Revenue 456.1</t>
  </si>
  <si>
    <t>Production O&amp;M</t>
  </si>
  <si>
    <t>447-Sales to Others</t>
  </si>
  <si>
    <t>456-Purch/Sales Non-Core Gas</t>
  </si>
  <si>
    <t>Transmission Exp - 500KV</t>
  </si>
  <si>
    <t>Depreciation-Production (FERC 403)</t>
  </si>
  <si>
    <t>Depreciation-Transmission</t>
  </si>
  <si>
    <t>Amortization  - Regulatory Assets &amp; Liab - Non PC Only (1)</t>
  </si>
  <si>
    <t>N/A (formerly hedging line of credit)</t>
  </si>
  <si>
    <t>Subtotal &amp; Baseline Rate</t>
  </si>
  <si>
    <t>Revenue Sensitive Items</t>
  </si>
  <si>
    <t>Grossed up for RSI</t>
  </si>
  <si>
    <t>Test Year DELIVERED Load (MWH's)</t>
  </si>
  <si>
    <t xml:space="preserve"> &lt;-- includes Firm Wholesale</t>
  </si>
  <si>
    <t>Variable</t>
  </si>
  <si>
    <t>Baseline Rate Summarized</t>
  </si>
  <si>
    <t>BLR Net of RSI</t>
  </si>
  <si>
    <t>(1) - Amortization is picked up in Regulatory Assets and Liabilities Adjustment and White River Adjustment.</t>
  </si>
  <si>
    <t>Rate Year</t>
  </si>
  <si>
    <t>PF'd</t>
  </si>
  <si>
    <t>NON POWER COST RELATED REG ASSETS &amp; LIAB</t>
  </si>
  <si>
    <t>(Pre-PF)</t>
  </si>
  <si>
    <t>WHITE RIVER PLANT COSTS</t>
  </si>
  <si>
    <t>CARRYING CHARGES ON LSR PREPAID TRANSM</t>
  </si>
  <si>
    <t>MINT FARM DEFFRED - UE-090704 (ends Mar 2025)</t>
  </si>
  <si>
    <t>FERNDALE PLANT DEFERRAL (ends Oct 2019)</t>
  </si>
  <si>
    <t>SNOQUALMIE UPGRADE PLANT DEFERRAL (ends Oct 2019)</t>
  </si>
  <si>
    <t>BAKER UPGRADE PLANT DEFERRAL (ends Oct 2019)</t>
  </si>
  <si>
    <t>TREASURY GRANT DEFERRAL SNOQ &amp; BAKER (ends Dec 2018)</t>
  </si>
  <si>
    <t>ELECTRON UNRECOVERED COSTS</t>
  </si>
  <si>
    <t>TOTAL NON-POWER COST RELATED</t>
  </si>
  <si>
    <t>Check=&gt;</t>
  </si>
  <si>
    <t>Annualized</t>
  </si>
  <si>
    <t>Subtotal Variable</t>
  </si>
  <si>
    <t>Subtotal Fixed</t>
  </si>
  <si>
    <t>Ties to ERF</t>
  </si>
  <si>
    <t>From Summary</t>
  </si>
  <si>
    <t>ALL OTHER SALES TO CUSTOMERS REVENUE</t>
  </si>
  <si>
    <t>SALES FOR RESALE - FIRM</t>
  </si>
  <si>
    <t>ANNUALIZED REVENUES FROM UE-180282 TAX REFORM TARIFF FILING</t>
  </si>
  <si>
    <t>LIMIT FIXED PRODUCTION REVENUES TO AMOUNTS ALLOWED PER TARIFF</t>
  </si>
  <si>
    <t>12 14 16 18 19</t>
  </si>
  <si>
    <t>CBR (SAME AS EOP)</t>
  </si>
  <si>
    <t>RESTATED RESULTS</t>
  </si>
  <si>
    <t>EOP ANNUALIZED</t>
  </si>
  <si>
    <t>kWH from JAP-4</t>
  </si>
  <si>
    <t>Portion of 6.2M related to Fixed Production Costs</t>
  </si>
  <si>
    <t>Portion of 6.2M related to Delivery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</si>
</sst>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_);_(* \(#,##0\);_(* &quot;-&quot;??_);_(@_)"/>
    <numFmt numFmtId="167" formatCode="0.00000%"/>
    <numFmt numFmtId="168" formatCode="0.00000"/>
    <numFmt numFmtId="169" formatCode="_(&quot;$&quot;* #,##0.000000_);_(&quot;$&quot;* \(#,##0.000000\);_(&quot;$&quot;* &quot;-&quot;??????_);_(@_)"/>
    <numFmt numFmtId="170" formatCode="#,##0_);[Red]\(#,##0\);&quot; &quot;"/>
    <numFmt numFmtId="171" formatCode="&quot;Adj.&quot;\ 0.00"/>
    <numFmt numFmtId="172" formatCode="_(&quot;$&quot;* #,##0.000_);_(&quot;$&quot;* \(#,##0.000\);_(&quot;$&quot;* &quot;-&quot;??_);_(@_)"/>
    <numFmt numFmtId="173" formatCode="_(* #,##0.0000000_);_(* \(#,##0.0000000\);_(* &quot;-&quot;??_);_(@_)"/>
  </numFmts>
  <fonts count="32" x14ac:knownFonts="1">
    <font>
      <sz val="8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Helv"/>
    </font>
    <font>
      <sz val="11"/>
      <color rgb="FFC00000"/>
      <name val="Calibri"/>
      <family val="2"/>
      <scheme val="minor"/>
    </font>
    <font>
      <u/>
      <sz val="10"/>
      <name val="Arial"/>
      <family val="2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sz val="9"/>
      <color theme="1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0"/>
      <color rgb="FFFF000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i/>
      <sz val="10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sz val="8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3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auto="1"/>
      </left>
      <right style="hair">
        <color auto="1"/>
      </right>
      <top/>
      <bottom style="double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2">
    <xf numFmtId="164" fontId="0" fillId="0" borderId="0">
      <alignment horizontal="left" wrapText="1"/>
    </xf>
    <xf numFmtId="0" fontId="11" fillId="0" borderId="0"/>
    <xf numFmtId="0" fontId="13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43" fontId="14" fillId="0" borderId="0" applyFont="0" applyFill="0" applyBorder="0" applyAlignment="0" applyProtection="0"/>
    <xf numFmtId="0" fontId="11" fillId="0" borderId="0"/>
    <xf numFmtId="0" fontId="1" fillId="0" borderId="0"/>
    <xf numFmtId="44" fontId="1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241">
    <xf numFmtId="164" fontId="0" fillId="0" borderId="0" xfId="0">
      <alignment horizontal="left" wrapText="1"/>
    </xf>
    <xf numFmtId="0" fontId="8" fillId="0" borderId="0" xfId="0" applyNumberFormat="1" applyFont="1" applyFill="1" applyAlignment="1"/>
    <xf numFmtId="42" fontId="8" fillId="0" borderId="0" xfId="0" applyNumberFormat="1" applyFont="1" applyFill="1" applyBorder="1" applyAlignment="1"/>
    <xf numFmtId="41" fontId="8" fillId="0" borderId="0" xfId="0" applyNumberFormat="1" applyFont="1" applyFill="1" applyAlignment="1"/>
    <xf numFmtId="37" fontId="8" fillId="0" borderId="0" xfId="0" applyNumberFormat="1" applyFont="1" applyFill="1" applyAlignment="1"/>
    <xf numFmtId="166" fontId="8" fillId="0" borderId="3" xfId="0" applyNumberFormat="1" applyFont="1" applyFill="1" applyBorder="1" applyAlignment="1"/>
    <xf numFmtId="166" fontId="8" fillId="0" borderId="0" xfId="0" applyNumberFormat="1" applyFont="1" applyFill="1" applyBorder="1" applyAlignment="1"/>
    <xf numFmtId="164" fontId="9" fillId="0" borderId="0" xfId="0" applyFont="1" applyFill="1" applyAlignment="1"/>
    <xf numFmtId="164" fontId="8" fillId="0" borderId="0" xfId="0" applyFont="1" applyFill="1" applyAlignment="1"/>
    <xf numFmtId="164" fontId="0" fillId="0" borderId="0" xfId="0" applyAlignment="1"/>
    <xf numFmtId="164" fontId="10" fillId="0" borderId="0" xfId="0" applyFont="1" applyFill="1" applyAlignment="1"/>
    <xf numFmtId="15" fontId="10" fillId="0" borderId="0" xfId="0" applyNumberFormat="1" applyFont="1" applyFill="1" applyAlignment="1"/>
    <xf numFmtId="164" fontId="10" fillId="0" borderId="0" xfId="0" applyFont="1" applyFill="1" applyAlignment="1" applyProtection="1">
      <alignment horizontal="left"/>
      <protection locked="0"/>
    </xf>
    <xf numFmtId="164" fontId="10" fillId="0" borderId="0" xfId="0" applyFont="1" applyFill="1" applyAlignment="1" applyProtection="1">
      <alignment horizontal="centerContinuous" vertical="center"/>
      <protection locked="0"/>
    </xf>
    <xf numFmtId="164" fontId="10" fillId="0" borderId="0" xfId="0" applyFont="1" applyFill="1" applyAlignment="1">
      <alignment horizontal="centerContinuous" vertical="center"/>
    </xf>
    <xf numFmtId="164" fontId="0" fillId="0" borderId="0" xfId="0" applyAlignment="1">
      <alignment horizontal="centerContinuous" vertical="center"/>
    </xf>
    <xf numFmtId="164" fontId="0" fillId="0" borderId="0" xfId="0" applyFill="1" applyAlignment="1">
      <alignment horizontal="centerContinuous" vertical="center"/>
    </xf>
    <xf numFmtId="164" fontId="10" fillId="0" borderId="0" xfId="0" applyFont="1" applyFill="1" applyAlignment="1" applyProtection="1">
      <alignment horizontal="center"/>
      <protection locked="0"/>
    </xf>
    <xf numFmtId="164" fontId="10" fillId="0" borderId="0" xfId="0" applyFont="1" applyFill="1" applyAlignment="1">
      <alignment horizontal="center"/>
    </xf>
    <xf numFmtId="164" fontId="10" fillId="0" borderId="3" xfId="0" applyFont="1" applyFill="1" applyBorder="1" applyAlignment="1" applyProtection="1">
      <alignment horizontal="center"/>
      <protection locked="0"/>
    </xf>
    <xf numFmtId="164" fontId="10" fillId="0" borderId="3" xfId="0" applyFont="1" applyFill="1" applyBorder="1" applyAlignment="1"/>
    <xf numFmtId="164" fontId="10" fillId="0" borderId="3" xfId="0" applyFont="1" applyFill="1" applyBorder="1" applyAlignment="1">
      <alignment horizontal="center"/>
    </xf>
    <xf numFmtId="1" fontId="8" fillId="0" borderId="0" xfId="0" applyNumberFormat="1" applyFont="1" applyFill="1" applyAlignment="1">
      <alignment horizontal="center"/>
    </xf>
    <xf numFmtId="164" fontId="8" fillId="0" borderId="0" xfId="0" applyFont="1" applyFill="1" applyAlignment="1">
      <alignment horizontal="left" indent="1"/>
    </xf>
    <xf numFmtId="41" fontId="8" fillId="0" borderId="0" xfId="0" applyNumberFormat="1" applyFont="1" applyFill="1" applyBorder="1" applyAlignment="1"/>
    <xf numFmtId="41" fontId="8" fillId="0" borderId="3" xfId="0" applyNumberFormat="1" applyFont="1" applyFill="1" applyBorder="1" applyAlignment="1">
      <alignment horizontal="right"/>
    </xf>
    <xf numFmtId="165" fontId="8" fillId="0" borderId="0" xfId="0" applyNumberFormat="1" applyFont="1" applyFill="1" applyBorder="1" applyAlignment="1"/>
    <xf numFmtId="164" fontId="8" fillId="0" borderId="0" xfId="0" applyFont="1" applyFill="1" applyAlignment="1">
      <alignment horizontal="left"/>
    </xf>
    <xf numFmtId="167" fontId="8" fillId="0" borderId="0" xfId="0" applyNumberFormat="1" applyFont="1" applyFill="1" applyAlignment="1">
      <alignment horizontal="right"/>
    </xf>
    <xf numFmtId="41" fontId="8" fillId="0" borderId="0" xfId="0" applyNumberFormat="1" applyFont="1" applyFill="1" applyBorder="1" applyAlignment="1">
      <alignment horizontal="right"/>
    </xf>
    <xf numFmtId="164" fontId="8" fillId="0" borderId="0" xfId="0" quotePrefix="1" applyFont="1" applyFill="1" applyAlignment="1">
      <alignment horizontal="left"/>
    </xf>
    <xf numFmtId="168" fontId="8" fillId="0" borderId="0" xfId="0" applyNumberFormat="1" applyFont="1" applyFill="1" applyAlignment="1"/>
    <xf numFmtId="37" fontId="8" fillId="0" borderId="2" xfId="0" applyNumberFormat="1" applyFont="1" applyFill="1" applyBorder="1" applyAlignment="1"/>
    <xf numFmtId="37" fontId="8" fillId="0" borderId="0" xfId="0" applyNumberFormat="1" applyFont="1" applyFill="1" applyBorder="1" applyAlignment="1"/>
    <xf numFmtId="41" fontId="8" fillId="0" borderId="2" xfId="0" applyNumberFormat="1" applyFont="1" applyFill="1" applyBorder="1" applyAlignment="1"/>
    <xf numFmtId="9" fontId="8" fillId="0" borderId="0" xfId="0" applyNumberFormat="1" applyFont="1" applyFill="1" applyAlignment="1">
      <alignment horizontal="right"/>
    </xf>
    <xf numFmtId="42" fontId="8" fillId="0" borderId="1" xfId="0" applyNumberFormat="1" applyFont="1" applyFill="1" applyBorder="1" applyAlignment="1"/>
    <xf numFmtId="164" fontId="10" fillId="0" borderId="0" xfId="0" applyFont="1" applyFill="1" applyBorder="1" applyAlignment="1">
      <alignment horizontal="left" wrapText="1"/>
    </xf>
    <xf numFmtId="164" fontId="8" fillId="0" borderId="0" xfId="0" applyFont="1" applyFill="1" applyBorder="1" applyAlignment="1">
      <alignment horizontal="left" wrapText="1"/>
    </xf>
    <xf numFmtId="3" fontId="8" fillId="0" borderId="0" xfId="0" applyNumberFormat="1" applyFont="1" applyFill="1" applyBorder="1" applyAlignment="1">
      <alignment horizontal="left" wrapText="1"/>
    </xf>
    <xf numFmtId="164" fontId="0" fillId="0" borderId="0" xfId="0" applyFill="1" applyAlignment="1"/>
    <xf numFmtId="41" fontId="8" fillId="0" borderId="0" xfId="0" applyNumberFormat="1" applyFont="1" applyAlignment="1"/>
    <xf numFmtId="41" fontId="8" fillId="0" borderId="2" xfId="0" applyNumberFormat="1" applyFont="1" applyBorder="1" applyAlignment="1"/>
    <xf numFmtId="0" fontId="5" fillId="0" borderId="0" xfId="0" applyNumberFormat="1" applyFont="1" applyAlignment="1"/>
    <xf numFmtId="0" fontId="12" fillId="0" borderId="0" xfId="0" applyNumberFormat="1" applyFont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/>
    <xf numFmtId="0" fontId="5" fillId="0" borderId="0" xfId="0" applyNumberFormat="1" applyFont="1" applyAlignment="1"/>
    <xf numFmtId="0" fontId="5" fillId="0" borderId="0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left"/>
    </xf>
    <xf numFmtId="0" fontId="5" fillId="0" borderId="0" xfId="0" applyNumberFormat="1" applyFont="1" applyAlignment="1">
      <alignment horizontal="left"/>
    </xf>
    <xf numFmtId="0" fontId="6" fillId="0" borderId="0" xfId="0" applyNumberFormat="1" applyFont="1" applyAlignment="1"/>
    <xf numFmtId="0" fontId="5" fillId="2" borderId="0" xfId="0" applyNumberFormat="1" applyFont="1" applyFill="1" applyAlignment="1">
      <alignment horizontal="left"/>
    </xf>
    <xf numFmtId="0" fontId="5" fillId="2" borderId="0" xfId="0" applyNumberFormat="1" applyFont="1" applyFill="1" applyAlignment="1"/>
    <xf numFmtId="0" fontId="5" fillId="2" borderId="0" xfId="0" applyNumberFormat="1" applyFont="1" applyFill="1" applyAlignment="1"/>
    <xf numFmtId="164" fontId="0" fillId="3" borderId="10" xfId="0" applyFill="1" applyBorder="1" applyAlignment="1"/>
    <xf numFmtId="164" fontId="0" fillId="3" borderId="9" xfId="0" applyFill="1" applyBorder="1" applyAlignment="1"/>
    <xf numFmtId="164" fontId="0" fillId="3" borderId="8" xfId="0" applyFill="1" applyBorder="1" applyAlignment="1"/>
    <xf numFmtId="164" fontId="0" fillId="3" borderId="7" xfId="0" applyFill="1" applyBorder="1" applyAlignment="1"/>
    <xf numFmtId="43" fontId="0" fillId="3" borderId="7" xfId="0" applyNumberFormat="1" applyFont="1" applyFill="1" applyBorder="1" applyAlignment="1"/>
    <xf numFmtId="164" fontId="0" fillId="3" borderId="6" xfId="0" applyFill="1" applyBorder="1" applyAlignment="1"/>
    <xf numFmtId="43" fontId="0" fillId="3" borderId="5" xfId="0" applyNumberFormat="1" applyFont="1" applyFill="1" applyBorder="1" applyAlignment="1"/>
    <xf numFmtId="43" fontId="5" fillId="0" borderId="0" xfId="0" applyNumberFormat="1" applyFont="1" applyAlignment="1"/>
    <xf numFmtId="0" fontId="8" fillId="0" borderId="0" xfId="0" applyNumberFormat="1" applyFont="1" applyFill="1" applyBorder="1" applyAlignment="1">
      <alignment horizontal="left" indent="1"/>
    </xf>
    <xf numFmtId="165" fontId="8" fillId="0" borderId="2" xfId="0" applyNumberFormat="1" applyFont="1" applyFill="1" applyBorder="1" applyAlignment="1"/>
    <xf numFmtId="164" fontId="8" fillId="0" borderId="0" xfId="0" applyNumberFormat="1" applyFont="1" applyFill="1" applyAlignment="1">
      <alignment horizontal="left" indent="1"/>
    </xf>
    <xf numFmtId="41" fontId="0" fillId="0" borderId="0" xfId="0" applyNumberFormat="1" applyAlignment="1"/>
    <xf numFmtId="165" fontId="0" fillId="0" borderId="0" xfId="0" applyNumberFormat="1" applyAlignment="1"/>
    <xf numFmtId="42" fontId="0" fillId="0" borderId="0" xfId="0" applyNumberFormat="1" applyAlignment="1"/>
    <xf numFmtId="0" fontId="4" fillId="0" borderId="0" xfId="12"/>
    <xf numFmtId="43" fontId="0" fillId="0" borderId="0" xfId="13" applyFont="1"/>
    <xf numFmtId="0" fontId="4" fillId="4" borderId="0" xfId="12" applyFill="1"/>
    <xf numFmtId="43" fontId="0" fillId="4" borderId="0" xfId="13" applyFont="1" applyFill="1"/>
    <xf numFmtId="43" fontId="4" fillId="4" borderId="1" xfId="12" applyNumberFormat="1" applyFill="1" applyBorder="1"/>
    <xf numFmtId="0" fontId="4" fillId="0" borderId="0" xfId="12" applyFill="1"/>
    <xf numFmtId="43" fontId="0" fillId="0" borderId="0" xfId="13" applyFont="1" applyFill="1"/>
    <xf numFmtId="0" fontId="5" fillId="3" borderId="11" xfId="0" applyNumberFormat="1" applyFont="1" applyFill="1" applyBorder="1" applyAlignment="1"/>
    <xf numFmtId="43" fontId="5" fillId="3" borderId="12" xfId="0" applyNumberFormat="1" applyFont="1" applyFill="1" applyBorder="1" applyAlignment="1"/>
    <xf numFmtId="0" fontId="2" fillId="0" borderId="0" xfId="16"/>
    <xf numFmtId="0" fontId="2" fillId="0" borderId="13" xfId="16" applyBorder="1"/>
    <xf numFmtId="0" fontId="2" fillId="0" borderId="0" xfId="16" applyAlignment="1">
      <alignment horizontal="center"/>
    </xf>
    <xf numFmtId="0" fontId="2" fillId="0" borderId="14" xfId="16" applyBorder="1"/>
    <xf numFmtId="0" fontId="2" fillId="0" borderId="14" xfId="16" applyBorder="1" applyAlignment="1">
      <alignment horizontal="center"/>
    </xf>
    <xf numFmtId="0" fontId="2" fillId="0" borderId="4" xfId="16" applyBorder="1" applyAlignment="1">
      <alignment horizontal="centerContinuous"/>
    </xf>
    <xf numFmtId="0" fontId="2" fillId="0" borderId="4" xfId="16" applyBorder="1" applyAlignment="1">
      <alignment horizontal="center"/>
    </xf>
    <xf numFmtId="0" fontId="2" fillId="0" borderId="15" xfId="16" applyBorder="1" applyAlignment="1">
      <alignment horizontal="center"/>
    </xf>
    <xf numFmtId="0" fontId="2" fillId="0" borderId="0" xfId="16" applyBorder="1" applyAlignment="1">
      <alignment horizontal="centerContinuous"/>
    </xf>
    <xf numFmtId="0" fontId="2" fillId="0" borderId="0" xfId="16" applyBorder="1" applyAlignment="1">
      <alignment horizontal="center"/>
    </xf>
    <xf numFmtId="0" fontId="2" fillId="0" borderId="0" xfId="16" applyAlignment="1">
      <alignment horizontal="left" indent="2"/>
    </xf>
    <xf numFmtId="42" fontId="2" fillId="0" borderId="0" xfId="16" applyNumberFormat="1" applyFont="1"/>
    <xf numFmtId="42" fontId="2" fillId="0" borderId="14" xfId="16" applyNumberFormat="1" applyFont="1" applyBorder="1"/>
    <xf numFmtId="41" fontId="2" fillId="0" borderId="0" xfId="16" applyNumberFormat="1"/>
    <xf numFmtId="41" fontId="2" fillId="0" borderId="14" xfId="16" applyNumberFormat="1" applyBorder="1"/>
    <xf numFmtId="41" fontId="2" fillId="0" borderId="2" xfId="16" applyNumberFormat="1" applyBorder="1"/>
    <xf numFmtId="41" fontId="2" fillId="0" borderId="16" xfId="16" applyNumberFormat="1" applyBorder="1"/>
    <xf numFmtId="0" fontId="2" fillId="0" borderId="2" xfId="16" applyBorder="1"/>
    <xf numFmtId="0" fontId="2" fillId="0" borderId="16" xfId="16" applyBorder="1"/>
    <xf numFmtId="42" fontId="2" fillId="0" borderId="17" xfId="16" applyNumberFormat="1" applyFont="1" applyBorder="1"/>
    <xf numFmtId="42" fontId="2" fillId="0" borderId="18" xfId="16" applyNumberFormat="1" applyFont="1" applyBorder="1"/>
    <xf numFmtId="0" fontId="15" fillId="0" borderId="0" xfId="16" applyFont="1" applyAlignment="1">
      <alignment horizontal="center"/>
    </xf>
    <xf numFmtId="0" fontId="15" fillId="0" borderId="14" xfId="16" applyFont="1" applyBorder="1" applyAlignment="1">
      <alignment horizontal="center"/>
    </xf>
    <xf numFmtId="0" fontId="2" fillId="0" borderId="19" xfId="16" applyBorder="1"/>
    <xf numFmtId="0" fontId="15" fillId="0" borderId="19" xfId="16" applyFont="1" applyBorder="1" applyAlignment="1">
      <alignment horizontal="center"/>
    </xf>
    <xf numFmtId="42" fontId="2" fillId="0" borderId="17" xfId="16" applyNumberFormat="1" applyBorder="1"/>
    <xf numFmtId="42" fontId="2" fillId="0" borderId="0" xfId="16" applyNumberFormat="1"/>
    <xf numFmtId="42" fontId="2" fillId="0" borderId="1" xfId="16" applyNumberFormat="1" applyBorder="1"/>
    <xf numFmtId="0" fontId="15" fillId="0" borderId="0" xfId="16" applyFont="1" applyAlignment="1">
      <alignment horizontal="right"/>
    </xf>
    <xf numFmtId="169" fontId="2" fillId="0" borderId="0" xfId="16" applyNumberFormat="1"/>
    <xf numFmtId="0" fontId="2" fillId="0" borderId="0" xfId="16" applyAlignment="1">
      <alignment horizontal="left"/>
    </xf>
    <xf numFmtId="166" fontId="2" fillId="0" borderId="0" xfId="16" applyNumberFormat="1" applyFont="1"/>
    <xf numFmtId="166" fontId="2" fillId="0" borderId="0" xfId="16" applyNumberFormat="1"/>
    <xf numFmtId="166" fontId="2" fillId="0" borderId="2" xfId="16" applyNumberFormat="1" applyFont="1" applyBorder="1"/>
    <xf numFmtId="166" fontId="2" fillId="0" borderId="2" xfId="16" applyNumberFormat="1" applyBorder="1"/>
    <xf numFmtId="0" fontId="2" fillId="0" borderId="20" xfId="16" applyBorder="1"/>
    <xf numFmtId="0" fontId="2" fillId="0" borderId="2" xfId="16" applyBorder="1" applyAlignment="1">
      <alignment horizontal="center"/>
    </xf>
    <xf numFmtId="0" fontId="2" fillId="0" borderId="21" xfId="16" applyBorder="1"/>
    <xf numFmtId="0" fontId="2" fillId="0" borderId="22" xfId="16" applyBorder="1"/>
    <xf numFmtId="0" fontId="2" fillId="0" borderId="0" xfId="16" applyBorder="1"/>
    <xf numFmtId="0" fontId="2" fillId="0" borderId="23" xfId="16" applyFill="1" applyBorder="1"/>
    <xf numFmtId="0" fontId="2" fillId="0" borderId="0" xfId="16" applyFill="1"/>
    <xf numFmtId="0" fontId="2" fillId="0" borderId="0" xfId="16" applyFill="1" applyBorder="1"/>
    <xf numFmtId="0" fontId="2" fillId="0" borderId="24" xfId="16" applyBorder="1"/>
    <xf numFmtId="0" fontId="2" fillId="0" borderId="4" xfId="16" applyBorder="1"/>
    <xf numFmtId="0" fontId="2" fillId="0" borderId="4" xfId="16" applyFill="1" applyBorder="1"/>
    <xf numFmtId="0" fontId="2" fillId="0" borderId="25" xfId="16" applyFill="1" applyBorder="1"/>
    <xf numFmtId="17" fontId="16" fillId="0" borderId="0" xfId="16" applyNumberFormat="1" applyFont="1" applyFill="1" applyAlignment="1">
      <alignment horizontal="center"/>
    </xf>
    <xf numFmtId="42" fontId="2" fillId="0" borderId="0" xfId="16" applyNumberFormat="1" applyFont="1" applyFill="1"/>
    <xf numFmtId="41" fontId="2" fillId="0" borderId="0" xfId="16" applyNumberFormat="1" applyFont="1" applyFill="1"/>
    <xf numFmtId="0" fontId="17" fillId="0" borderId="0" xfId="16" applyFont="1"/>
    <xf numFmtId="41" fontId="2" fillId="0" borderId="0" xfId="16" applyNumberFormat="1" applyFont="1"/>
    <xf numFmtId="0" fontId="2" fillId="0" borderId="0" xfId="16" applyAlignment="1">
      <alignment horizontal="right"/>
    </xf>
    <xf numFmtId="44" fontId="2" fillId="0" borderId="0" xfId="16" applyNumberFormat="1" applyFont="1"/>
    <xf numFmtId="41" fontId="2" fillId="0" borderId="0" xfId="16" applyNumberFormat="1" applyFill="1" applyBorder="1"/>
    <xf numFmtId="170" fontId="2" fillId="0" borderId="0" xfId="16" applyNumberFormat="1" applyFont="1" applyAlignment="1">
      <alignment horizontal="left" indent="1"/>
    </xf>
    <xf numFmtId="166" fontId="2" fillId="0" borderId="0" xfId="16" applyNumberFormat="1" applyFont="1" applyFill="1" applyBorder="1"/>
    <xf numFmtId="0" fontId="2" fillId="0" borderId="0" xfId="16" applyAlignment="1">
      <alignment horizontal="left" indent="1"/>
    </xf>
    <xf numFmtId="166" fontId="2" fillId="0" borderId="1" xfId="16" applyNumberFormat="1" applyFont="1" applyFill="1" applyBorder="1"/>
    <xf numFmtId="0" fontId="2" fillId="0" borderId="0" xfId="16" applyAlignment="1">
      <alignment horizontal="left" indent="4"/>
    </xf>
    <xf numFmtId="170" fontId="19" fillId="0" borderId="0" xfId="16" applyNumberFormat="1" applyFont="1" applyFill="1" applyAlignment="1">
      <alignment horizontal="left"/>
    </xf>
    <xf numFmtId="166" fontId="2" fillId="0" borderId="1" xfId="16" applyNumberFormat="1" applyFill="1" applyBorder="1"/>
    <xf numFmtId="0" fontId="20" fillId="0" borderId="0" xfId="16" applyNumberFormat="1" applyFont="1" applyFill="1" applyAlignment="1">
      <alignment horizontal="left"/>
    </xf>
    <xf numFmtId="0" fontId="11" fillId="0" borderId="0" xfId="16" applyNumberFormat="1" applyFont="1" applyFill="1" applyAlignment="1"/>
    <xf numFmtId="0" fontId="21" fillId="0" borderId="0" xfId="16" applyNumberFormat="1" applyFont="1" applyAlignment="1"/>
    <xf numFmtId="0" fontId="10" fillId="0" borderId="0" xfId="16" applyNumberFormat="1" applyFont="1" applyFill="1" applyAlignment="1">
      <alignment horizontal="right"/>
    </xf>
    <xf numFmtId="0" fontId="2" fillId="0" borderId="0" xfId="16" applyNumberFormat="1" applyFont="1" applyAlignment="1"/>
    <xf numFmtId="0" fontId="20" fillId="0" borderId="0" xfId="16" applyFont="1" applyFill="1" applyAlignment="1">
      <alignment horizontal="left"/>
    </xf>
    <xf numFmtId="0" fontId="22" fillId="0" borderId="0" xfId="16" applyNumberFormat="1" applyFont="1" applyFill="1" applyAlignment="1"/>
    <xf numFmtId="0" fontId="23" fillId="0" borderId="0" xfId="16" applyNumberFormat="1" applyFont="1" applyFill="1" applyAlignment="1">
      <alignment horizontal="right"/>
    </xf>
    <xf numFmtId="0" fontId="18" fillId="0" borderId="0" xfId="16" applyNumberFormat="1" applyFont="1" applyFill="1" applyAlignment="1">
      <alignment horizontal="left"/>
    </xf>
    <xf numFmtId="41" fontId="21" fillId="0" borderId="0" xfId="16" applyNumberFormat="1" applyFont="1" applyAlignment="1"/>
    <xf numFmtId="171" fontId="10" fillId="0" borderId="0" xfId="16" applyNumberFormat="1" applyFont="1" applyFill="1" applyBorder="1" applyAlignment="1"/>
    <xf numFmtId="0" fontId="24" fillId="0" borderId="0" xfId="16" applyNumberFormat="1" applyFont="1" applyFill="1" applyAlignment="1">
      <alignment horizontal="center"/>
    </xf>
    <xf numFmtId="0" fontId="24" fillId="0" borderId="0" xfId="16" quotePrefix="1" applyNumberFormat="1" applyFont="1" applyFill="1" applyAlignment="1">
      <alignment horizontal="left"/>
    </xf>
    <xf numFmtId="0" fontId="25" fillId="0" borderId="0" xfId="16" applyNumberFormat="1" applyFont="1" applyFill="1" applyBorder="1" applyAlignment="1">
      <alignment horizontal="center"/>
    </xf>
    <xf numFmtId="0" fontId="26" fillId="0" borderId="0" xfId="16" applyNumberFormat="1" applyFont="1" applyAlignment="1"/>
    <xf numFmtId="0" fontId="24" fillId="0" borderId="0" xfId="16" applyNumberFormat="1" applyFont="1" applyFill="1" applyAlignment="1">
      <alignment horizontal="left"/>
    </xf>
    <xf numFmtId="165" fontId="24" fillId="0" borderId="0" xfId="16" applyNumberFormat="1" applyFont="1" applyFill="1" applyBorder="1" applyAlignment="1"/>
    <xf numFmtId="0" fontId="24" fillId="0" borderId="0" xfId="16" applyNumberFormat="1" applyFont="1" applyAlignment="1"/>
    <xf numFmtId="166" fontId="24" fillId="0" borderId="0" xfId="16" applyNumberFormat="1" applyFont="1" applyFill="1" applyAlignment="1">
      <alignment horizontal="right"/>
    </xf>
    <xf numFmtId="166" fontId="24" fillId="0" borderId="0" xfId="16" applyNumberFormat="1" applyFont="1" applyFill="1" applyBorder="1" applyAlignment="1">
      <alignment horizontal="right"/>
    </xf>
    <xf numFmtId="166" fontId="24" fillId="0" borderId="0" xfId="16" applyNumberFormat="1" applyFont="1" applyAlignment="1"/>
    <xf numFmtId="43" fontId="24" fillId="0" borderId="0" xfId="16" applyNumberFormat="1" applyFont="1" applyAlignment="1"/>
    <xf numFmtId="0" fontId="24" fillId="0" borderId="0" xfId="16" applyNumberFormat="1" applyFont="1" applyFill="1" applyAlignment="1"/>
    <xf numFmtId="165" fontId="24" fillId="0" borderId="2" xfId="16" applyNumberFormat="1" applyFont="1" applyFill="1" applyBorder="1" applyAlignment="1">
      <alignment horizontal="right"/>
    </xf>
    <xf numFmtId="10" fontId="24" fillId="0" borderId="0" xfId="16" applyNumberFormat="1" applyFont="1" applyAlignment="1"/>
    <xf numFmtId="43" fontId="24" fillId="0" borderId="0" xfId="16" applyNumberFormat="1" applyFont="1" applyFill="1" applyAlignment="1">
      <alignment horizontal="right"/>
    </xf>
    <xf numFmtId="165" fontId="24" fillId="0" borderId="0" xfId="16" applyNumberFormat="1" applyFont="1" applyFill="1" applyAlignment="1">
      <alignment horizontal="left"/>
    </xf>
    <xf numFmtId="43" fontId="24" fillId="0" borderId="0" xfId="16" applyNumberFormat="1" applyFont="1" applyFill="1" applyAlignment="1">
      <alignment horizontal="left"/>
    </xf>
    <xf numFmtId="0" fontId="24" fillId="0" borderId="0" xfId="16" applyNumberFormat="1" applyFont="1" applyFill="1" applyBorder="1" applyAlignment="1">
      <alignment horizontal="center"/>
    </xf>
    <xf numFmtId="166" fontId="24" fillId="0" borderId="0" xfId="16" applyNumberFormat="1" applyFont="1" applyFill="1" applyBorder="1" applyAlignment="1">
      <alignment horizontal="center"/>
    </xf>
    <xf numFmtId="172" fontId="24" fillId="0" borderId="0" xfId="16" applyNumberFormat="1" applyFont="1" applyFill="1" applyBorder="1" applyAlignment="1"/>
    <xf numFmtId="166" fontId="24" fillId="0" borderId="0" xfId="16" applyNumberFormat="1" applyFont="1" applyFill="1" applyAlignment="1">
      <alignment horizontal="center"/>
    </xf>
    <xf numFmtId="165" fontId="24" fillId="0" borderId="0" xfId="16" applyNumberFormat="1" applyFont="1" applyAlignment="1"/>
    <xf numFmtId="166" fontId="21" fillId="0" borderId="0" xfId="17" applyNumberFormat="1" applyFont="1" applyAlignment="1"/>
    <xf numFmtId="166" fontId="21" fillId="0" borderId="0" xfId="16" applyNumberFormat="1" applyFont="1" applyAlignment="1"/>
    <xf numFmtId="166" fontId="24" fillId="0" borderId="0" xfId="16" applyNumberFormat="1" applyFont="1" applyFill="1" applyBorder="1" applyAlignment="1"/>
    <xf numFmtId="0" fontId="24" fillId="0" borderId="0" xfId="16" applyNumberFormat="1" applyFont="1" applyFill="1" applyBorder="1" applyAlignment="1">
      <alignment horizontal="left" indent="1"/>
    </xf>
    <xf numFmtId="0" fontId="24" fillId="0" borderId="0" xfId="16" applyNumberFormat="1" applyFont="1" applyFill="1" applyAlignment="1">
      <alignment horizontal="center" vertical="top"/>
    </xf>
    <xf numFmtId="0" fontId="24" fillId="0" borderId="0" xfId="16" applyNumberFormat="1" applyFont="1" applyFill="1" applyAlignment="1">
      <alignment vertical="top"/>
    </xf>
    <xf numFmtId="0" fontId="24" fillId="0" borderId="0" xfId="16" quotePrefix="1" applyNumberFormat="1" applyFont="1" applyFill="1" applyBorder="1" applyAlignment="1">
      <alignment horizontal="left"/>
    </xf>
    <xf numFmtId="0" fontId="27" fillId="0" borderId="0" xfId="16" applyNumberFormat="1" applyFont="1" applyAlignment="1"/>
    <xf numFmtId="0" fontId="26" fillId="0" borderId="0" xfId="16" applyNumberFormat="1" applyFont="1" applyFill="1" applyAlignment="1"/>
    <xf numFmtId="0" fontId="24" fillId="0" borderId="0" xfId="16" applyNumberFormat="1" applyFont="1" applyFill="1" applyAlignment="1">
      <alignment horizontal="left" vertical="center" indent="1"/>
    </xf>
    <xf numFmtId="165" fontId="24" fillId="0" borderId="2" xfId="16" applyNumberFormat="1" applyFont="1" applyFill="1" applyBorder="1" applyAlignment="1"/>
    <xf numFmtId="172" fontId="24" fillId="0" borderId="2" xfId="16" applyNumberFormat="1" applyFont="1" applyBorder="1" applyAlignment="1"/>
    <xf numFmtId="173" fontId="24" fillId="0" borderId="0" xfId="16" applyNumberFormat="1" applyFont="1" applyFill="1" applyAlignment="1">
      <alignment horizontal="right"/>
    </xf>
    <xf numFmtId="173" fontId="24" fillId="0" borderId="0" xfId="16" applyNumberFormat="1" applyFont="1" applyAlignment="1"/>
    <xf numFmtId="166" fontId="24" fillId="0" borderId="0" xfId="18" applyNumberFormat="1" applyFont="1" applyFill="1" applyBorder="1"/>
    <xf numFmtId="0" fontId="24" fillId="0" borderId="0" xfId="16" applyNumberFormat="1" applyFont="1" applyAlignment="1">
      <alignment horizontal="center" wrapText="1"/>
    </xf>
    <xf numFmtId="165" fontId="26" fillId="0" borderId="0" xfId="16" applyNumberFormat="1" applyFont="1" applyAlignment="1"/>
    <xf numFmtId="172" fontId="24" fillId="0" borderId="0" xfId="16" applyNumberFormat="1" applyFont="1" applyBorder="1" applyAlignment="1"/>
    <xf numFmtId="0" fontId="28" fillId="0" borderId="0" xfId="16" applyFont="1" applyFill="1" applyBorder="1" applyAlignment="1"/>
    <xf numFmtId="164" fontId="11" fillId="0" borderId="0" xfId="16" applyNumberFormat="1" applyFont="1" applyFill="1" applyBorder="1" applyAlignment="1">
      <alignment horizontal="left"/>
    </xf>
    <xf numFmtId="0" fontId="11" fillId="0" borderId="0" xfId="16" applyNumberFormat="1" applyFont="1" applyFill="1" applyBorder="1" applyAlignment="1"/>
    <xf numFmtId="0" fontId="29" fillId="0" borderId="0" xfId="16" applyNumberFormat="1" applyFont="1" applyFill="1" applyBorder="1" applyAlignment="1">
      <alignment horizontal="center"/>
    </xf>
    <xf numFmtId="164" fontId="30" fillId="0" borderId="10" xfId="16" applyNumberFormat="1" applyFont="1" applyFill="1" applyBorder="1" applyAlignment="1">
      <alignment horizontal="left"/>
    </xf>
    <xf numFmtId="0" fontId="29" fillId="0" borderId="27" xfId="16" applyNumberFormat="1" applyFont="1" applyFill="1" applyBorder="1" applyAlignment="1"/>
    <xf numFmtId="0" fontId="30" fillId="0" borderId="27" xfId="16" applyNumberFormat="1" applyFont="1" applyFill="1" applyBorder="1" applyAlignment="1">
      <alignment horizontal="center"/>
    </xf>
    <xf numFmtId="168" fontId="30" fillId="0" borderId="9" xfId="16" applyNumberFormat="1" applyFont="1" applyFill="1" applyBorder="1" applyAlignment="1"/>
    <xf numFmtId="164" fontId="29" fillId="0" borderId="28" xfId="16" applyNumberFormat="1" applyFont="1" applyFill="1" applyBorder="1" applyAlignment="1">
      <alignment horizontal="left"/>
    </xf>
    <xf numFmtId="0" fontId="29" fillId="0" borderId="2" xfId="16" applyNumberFormat="1" applyFont="1" applyFill="1" applyBorder="1" applyAlignment="1">
      <alignment horizontal="center"/>
    </xf>
    <xf numFmtId="41" fontId="29" fillId="0" borderId="2" xfId="16" applyNumberFormat="1" applyFont="1" applyFill="1" applyBorder="1" applyAlignment="1"/>
    <xf numFmtId="166" fontId="29" fillId="0" borderId="29" xfId="16" applyNumberFormat="1" applyFont="1" applyFill="1" applyBorder="1" applyAlignment="1"/>
    <xf numFmtId="164" fontId="29" fillId="0" borderId="8" xfId="16" applyNumberFormat="1" applyFont="1" applyFill="1" applyBorder="1" applyAlignment="1">
      <alignment horizontal="left"/>
    </xf>
    <xf numFmtId="41" fontId="29" fillId="0" borderId="0" xfId="16" applyNumberFormat="1" applyFont="1" applyFill="1" applyBorder="1" applyAlignment="1"/>
    <xf numFmtId="41" fontId="29" fillId="0" borderId="7" xfId="16" applyNumberFormat="1" applyFont="1" applyFill="1" applyBorder="1" applyAlignment="1"/>
    <xf numFmtId="0" fontId="29" fillId="0" borderId="8" xfId="16" applyNumberFormat="1" applyFont="1" applyFill="1" applyBorder="1" applyAlignment="1"/>
    <xf numFmtId="41" fontId="29" fillId="0" borderId="4" xfId="16" applyNumberFormat="1" applyFont="1" applyFill="1" applyBorder="1" applyAlignment="1"/>
    <xf numFmtId="41" fontId="29" fillId="0" borderId="30" xfId="16" applyNumberFormat="1" applyFont="1" applyFill="1" applyBorder="1" applyAlignment="1"/>
    <xf numFmtId="0" fontId="29" fillId="0" borderId="0" xfId="16" applyNumberFormat="1" applyFont="1" applyFill="1" applyBorder="1" applyAlignment="1"/>
    <xf numFmtId="0" fontId="29" fillId="0" borderId="6" xfId="16" applyNumberFormat="1" applyFont="1" applyBorder="1" applyAlignment="1"/>
    <xf numFmtId="0" fontId="29" fillId="0" borderId="31" xfId="16" applyNumberFormat="1" applyFont="1" applyBorder="1" applyAlignment="1">
      <alignment horizontal="right"/>
    </xf>
    <xf numFmtId="41" fontId="29" fillId="0" borderId="31" xfId="16" applyNumberFormat="1" applyFont="1" applyBorder="1" applyAlignment="1"/>
    <xf numFmtId="10" fontId="29" fillId="0" borderId="5" xfId="16" applyNumberFormat="1" applyFont="1" applyBorder="1" applyAlignment="1"/>
    <xf numFmtId="0" fontId="29" fillId="0" borderId="0" xfId="16" applyNumberFormat="1" applyFont="1" applyBorder="1" applyAlignment="1"/>
    <xf numFmtId="0" fontId="11" fillId="0" borderId="0" xfId="16" applyNumberFormat="1" applyFont="1" applyBorder="1" applyAlignment="1"/>
    <xf numFmtId="0" fontId="2" fillId="0" borderId="0" xfId="16" applyAlignment="1">
      <alignment horizontal="center"/>
    </xf>
    <xf numFmtId="3" fontId="6" fillId="0" borderId="0" xfId="16" applyNumberFormat="1" applyFont="1" applyAlignment="1">
      <alignment horizontal="center"/>
    </xf>
    <xf numFmtId="0" fontId="2" fillId="0" borderId="0" xfId="16" applyAlignment="1">
      <alignment horizontal="center"/>
    </xf>
    <xf numFmtId="43" fontId="2" fillId="0" borderId="0" xfId="16" applyNumberFormat="1"/>
    <xf numFmtId="42" fontId="2" fillId="0" borderId="0" xfId="16" applyNumberFormat="1" applyAlignment="1">
      <alignment horizontal="center"/>
    </xf>
    <xf numFmtId="41" fontId="2" fillId="0" borderId="0" xfId="16" applyNumberFormat="1" applyAlignment="1">
      <alignment horizontal="center"/>
    </xf>
    <xf numFmtId="42" fontId="2" fillId="0" borderId="1" xfId="16" applyNumberFormat="1" applyBorder="1" applyAlignment="1">
      <alignment horizontal="center"/>
    </xf>
    <xf numFmtId="3" fontId="31" fillId="0" borderId="0" xfId="16" applyNumberFormat="1" applyFont="1" applyAlignment="1">
      <alignment horizontal="right"/>
    </xf>
    <xf numFmtId="164" fontId="31" fillId="0" borderId="0" xfId="0" applyFont="1">
      <alignment horizontal="left" wrapText="1"/>
    </xf>
    <xf numFmtId="164" fontId="8" fillId="0" borderId="0" xfId="2" applyNumberFormat="1" applyFont="1" applyFill="1" applyAlignment="1">
      <alignment horizontal="left" indent="1"/>
    </xf>
    <xf numFmtId="166" fontId="2" fillId="0" borderId="0" xfId="16" applyNumberFormat="1" applyFill="1"/>
    <xf numFmtId="166" fontId="2" fillId="0" borderId="0" xfId="16" applyNumberFormat="1" applyFont="1" applyFill="1"/>
    <xf numFmtId="0" fontId="2" fillId="0" borderId="0" xfId="16" applyFill="1" applyAlignment="1">
      <alignment horizontal="left"/>
    </xf>
    <xf numFmtId="42" fontId="2" fillId="0" borderId="0" xfId="16" applyNumberFormat="1" applyFill="1"/>
    <xf numFmtId="43" fontId="2" fillId="0" borderId="0" xfId="16" applyNumberFormat="1" applyFill="1"/>
    <xf numFmtId="41" fontId="2" fillId="0" borderId="0" xfId="16" applyNumberFormat="1" applyFill="1"/>
    <xf numFmtId="42" fontId="2" fillId="0" borderId="26" xfId="16" applyNumberFormat="1" applyFill="1" applyBorder="1"/>
    <xf numFmtId="166" fontId="2" fillId="0" borderId="0" xfId="21" applyNumberFormat="1" applyFont="1" applyFill="1"/>
    <xf numFmtId="169" fontId="2" fillId="0" borderId="0" xfId="16" applyNumberFormat="1" applyFill="1"/>
    <xf numFmtId="164" fontId="2" fillId="0" borderId="0" xfId="16" applyNumberFormat="1" applyFill="1"/>
    <xf numFmtId="166" fontId="2" fillId="0" borderId="2" xfId="16" applyNumberFormat="1" applyFont="1" applyFill="1" applyBorder="1"/>
    <xf numFmtId="166" fontId="2" fillId="0" borderId="2" xfId="16" applyNumberFormat="1" applyFill="1" applyBorder="1"/>
    <xf numFmtId="44" fontId="2" fillId="0" borderId="0" xfId="16" applyNumberFormat="1" applyFont="1" applyFill="1"/>
    <xf numFmtId="43" fontId="2" fillId="0" borderId="0" xfId="16" applyNumberFormat="1" applyFont="1" applyFill="1"/>
  </cellXfs>
  <cellStyles count="22">
    <cellStyle name="Comma" xfId="21" builtinId="3"/>
    <cellStyle name="Comma 10" xfId="6"/>
    <cellStyle name="Comma 10 2 2 3" xfId="18"/>
    <cellStyle name="Comma 2" xfId="3"/>
    <cellStyle name="Comma 3" xfId="13"/>
    <cellStyle name="Comma 3 13" xfId="17"/>
    <cellStyle name="Comma 8" xfId="7"/>
    <cellStyle name="Currency 10" xfId="8"/>
    <cellStyle name="Currency 2" xfId="4"/>
    <cellStyle name="Currency 3" xfId="5"/>
    <cellStyle name="Currency 4" xfId="15"/>
    <cellStyle name="Currency 5" xfId="20"/>
    <cellStyle name="Normal" xfId="0" builtinId="0"/>
    <cellStyle name="Normal 10 5" xfId="9"/>
    <cellStyle name="Normal 154" xfId="10"/>
    <cellStyle name="Normal 2" xfId="1"/>
    <cellStyle name="Normal 3" xfId="2"/>
    <cellStyle name="Normal 4" xfId="12"/>
    <cellStyle name="Normal 5" xfId="14"/>
    <cellStyle name="Normal 6" xfId="16"/>
    <cellStyle name="Normal 7" xfId="19"/>
    <cellStyle name="Percent 2" xfId="11"/>
  </cellStyles>
  <dxfs count="1">
    <dxf>
      <font>
        <b/>
        <i val="0"/>
        <color rgb="FFC00000"/>
      </font>
      <numFmt numFmtId="3" formatCode="#,##0"/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66FF33"/>
      <color rgb="FFCCFF33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3.00-ELECTRIC-ERF-MODEL-TY-JUNE-18ERF-11-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-4-Elec-Annualized-Monthly-Revenue-TYJun18ERF-11-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3E-6.03G-IncStmt-TYJun18CBR-11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ciency"/>
      <sheetName val="ERF ROR"/>
      <sheetName val="E ERF Conv Factr"/>
      <sheetName val="ERF Main Summary"/>
      <sheetName val="ERF Adj Summary"/>
      <sheetName val="ERF Adj Pages"/>
      <sheetName val="Restating Print Macros"/>
      <sheetName val="Module13"/>
      <sheetName val="Module14"/>
      <sheetName val="Module15"/>
      <sheetName val="Module1"/>
      <sheetName val="EOP Adj Summary"/>
      <sheetName val="EOP Adj Pages"/>
      <sheetName val="Remove Non-ERF"/>
      <sheetName val="CBR Model"/>
      <sheetName val="Summary"/>
      <sheetName val="9.04E Annualize FIT"/>
    </sheetNames>
    <sheetDataSet>
      <sheetData sheetId="0"/>
      <sheetData sheetId="1"/>
      <sheetData sheetId="2">
        <row r="13">
          <cell r="E13">
            <v>8.0199999999999994E-3</v>
          </cell>
        </row>
        <row r="14">
          <cell r="E14">
            <v>2E-3</v>
          </cell>
        </row>
        <row r="15">
          <cell r="E15">
            <v>3.8422999999999999E-2</v>
          </cell>
        </row>
        <row r="20">
          <cell r="D20">
            <v>0.21</v>
          </cell>
        </row>
      </sheetData>
      <sheetData sheetId="3">
        <row r="12">
          <cell r="G12">
            <v>2058080273.92558</v>
          </cell>
          <cell r="I12">
            <v>2018726547.3201966</v>
          </cell>
        </row>
        <row r="13">
          <cell r="G13">
            <v>343685.04</v>
          </cell>
          <cell r="I13">
            <v>329856</v>
          </cell>
        </row>
        <row r="16">
          <cell r="I16">
            <v>2150098100.5059743</v>
          </cell>
          <cell r="J16">
            <v>-799925582.19188106</v>
          </cell>
          <cell r="K16">
            <v>1350172518.3140934</v>
          </cell>
        </row>
      </sheetData>
      <sheetData sheetId="4">
        <row r="13">
          <cell r="M13">
            <v>-55279030.301403992</v>
          </cell>
        </row>
        <row r="14">
          <cell r="M14">
            <v>4826758.4271818865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Normal Monthly kWh"/>
      <sheetName val="Summary kWh &amp; Ann Rev"/>
      <sheetName val="Average Costs"/>
      <sheetName val="Proforma kWh"/>
      <sheetName val="Proforma Revenue"/>
      <sheetName val="Temperature Adjustment"/>
      <sheetName val="Sch 7 Res"/>
      <sheetName val="Sch 24 Sm Sec"/>
      <sheetName val="Sch 7A Master Met"/>
      <sheetName val="Sch 25 Med Sec"/>
      <sheetName val="Sch 26 Large Sec"/>
      <sheetName val="Sch 26 Primary"/>
      <sheetName val="Sch 29 Irr Sec"/>
      <sheetName val="Sch 31 Pri Gen Svc"/>
      <sheetName val="Sch 35 Pri Gen Svc"/>
      <sheetName val="Sch 43 Pri Gen Svc"/>
      <sheetName val="Sch 40 Campus Svc"/>
      <sheetName val="Sch 46 HV Svc"/>
      <sheetName val="Sch 49 HV Svc"/>
      <sheetName val="Sch 449 - Transportation"/>
      <sheetName val="Lighting 50-59"/>
      <sheetName val="Firm Resale"/>
      <sheetName val="Financial Support Data====&gt;"/>
      <sheetName val="SOE"/>
      <sheetName val="Delivered kWh"/>
      <sheetName val="Unbilled Change kWh"/>
      <sheetName val="Billed kWh"/>
      <sheetName val="BPA Res Exch Load"/>
      <sheetName val="SAP Billed kWh"/>
      <sheetName val="Other Support=======&gt;"/>
      <sheetName val="Sch 40 Voltage Level Demand"/>
      <sheetName val="Light Inventory"/>
      <sheetName val="Sch 40 Dist Dem ERF Proposed"/>
      <sheetName val="Sch 40 Dist Dem ERF Annualized"/>
      <sheetName val="UE-180280 TR Sch 40 Dist Dem"/>
      <sheetName val="SAP Data (do not Print)====&gt;"/>
      <sheetName val="Non Lighting Data "/>
      <sheetName val="Lighting Data"/>
      <sheetName val="Primary 26"/>
      <sheetName val="Schedule 10  and 31 Demand"/>
      <sheetName val="Sch 40 Dist Demand"/>
    </sheetNames>
    <sheetDataSet>
      <sheetData sheetId="0">
        <row r="11">
          <cell r="D11">
            <v>10657340059.648607</v>
          </cell>
          <cell r="E11">
            <v>1217809396.3717051</v>
          </cell>
          <cell r="F11">
            <v>1029221052.455801</v>
          </cell>
          <cell r="G11">
            <v>1042285607.8058866</v>
          </cell>
          <cell r="H11">
            <v>848382820.3486625</v>
          </cell>
          <cell r="I11">
            <v>682087265.04118538</v>
          </cell>
          <cell r="J11">
            <v>662181951.97669625</v>
          </cell>
          <cell r="K11">
            <v>683028854.42198575</v>
          </cell>
          <cell r="L11">
            <v>689494898.41436493</v>
          </cell>
          <cell r="M11">
            <v>658439734.18934715</v>
          </cell>
          <cell r="N11">
            <v>840421026.72084284</v>
          </cell>
          <cell r="O11">
            <v>1034613281.7917739</v>
          </cell>
          <cell r="P11">
            <v>1269374170.1103554</v>
          </cell>
        </row>
        <row r="12">
          <cell r="D12">
            <v>2461200</v>
          </cell>
          <cell r="E12">
            <v>236183</v>
          </cell>
          <cell r="F12">
            <v>219300</v>
          </cell>
          <cell r="G12">
            <v>201900</v>
          </cell>
          <cell r="H12">
            <v>175200</v>
          </cell>
          <cell r="I12">
            <v>169200</v>
          </cell>
          <cell r="J12">
            <v>178500</v>
          </cell>
          <cell r="K12">
            <v>211800</v>
          </cell>
          <cell r="L12">
            <v>226800</v>
          </cell>
          <cell r="M12">
            <v>185700</v>
          </cell>
          <cell r="N12">
            <v>182700</v>
          </cell>
          <cell r="O12">
            <v>215100</v>
          </cell>
          <cell r="P12">
            <v>258817</v>
          </cell>
        </row>
        <row r="13">
          <cell r="D13">
            <v>2769974283.3973689</v>
          </cell>
          <cell r="E13">
            <v>268307038.57199278</v>
          </cell>
          <cell r="F13">
            <v>227207898.53795847</v>
          </cell>
          <cell r="G13">
            <v>244652400.50093108</v>
          </cell>
          <cell r="H13">
            <v>211402682.75275233</v>
          </cell>
          <cell r="I13">
            <v>207943010.22681922</v>
          </cell>
          <cell r="J13">
            <v>200088798.37976211</v>
          </cell>
          <cell r="K13">
            <v>224981849.41511604</v>
          </cell>
          <cell r="L13">
            <v>236629518.22228226</v>
          </cell>
          <cell r="M13">
            <v>211269345.82597348</v>
          </cell>
          <cell r="N13">
            <v>222924321.4157142</v>
          </cell>
          <cell r="O13">
            <v>241969138.58819419</v>
          </cell>
          <cell r="P13">
            <v>272598280.9598729</v>
          </cell>
        </row>
        <row r="14">
          <cell r="D14">
            <v>2960203591.2199502</v>
          </cell>
          <cell r="E14">
            <v>269580256.97422779</v>
          </cell>
          <cell r="F14">
            <v>246747447.11701408</v>
          </cell>
          <cell r="G14">
            <v>263287103.34267157</v>
          </cell>
          <cell r="H14">
            <v>240157077.73810959</v>
          </cell>
          <cell r="I14">
            <v>244834294.67130384</v>
          </cell>
          <cell r="J14">
            <v>229064874.43729019</v>
          </cell>
          <cell r="K14">
            <v>239829030.91989458</v>
          </cell>
          <cell r="L14">
            <v>253838364.91584474</v>
          </cell>
          <cell r="M14">
            <v>229076138.13312709</v>
          </cell>
          <cell r="N14">
            <v>235734176.93902749</v>
          </cell>
          <cell r="O14">
            <v>243822385.81058389</v>
          </cell>
          <cell r="P14">
            <v>264232440.22085553</v>
          </cell>
        </row>
        <row r="15">
          <cell r="D15">
            <v>1872505862.9326141</v>
          </cell>
          <cell r="E15">
            <v>139346518.61467844</v>
          </cell>
          <cell r="F15">
            <v>169196589.8632482</v>
          </cell>
          <cell r="G15">
            <v>150010041.24672765</v>
          </cell>
          <cell r="H15">
            <v>147880845.09164891</v>
          </cell>
          <cell r="I15">
            <v>157388825.39053777</v>
          </cell>
          <cell r="J15">
            <v>158782240.87865049</v>
          </cell>
          <cell r="K15">
            <v>161963003.24104062</v>
          </cell>
          <cell r="L15">
            <v>172512622.08313176</v>
          </cell>
          <cell r="M15">
            <v>151286265.25392488</v>
          </cell>
          <cell r="N15">
            <v>155619020.68197143</v>
          </cell>
          <cell r="O15">
            <v>149475216.60872561</v>
          </cell>
          <cell r="P15">
            <v>159044673.9783285</v>
          </cell>
        </row>
        <row r="16">
          <cell r="D16">
            <v>18243126.113172628</v>
          </cell>
          <cell r="E16">
            <v>104890.48912473867</v>
          </cell>
          <cell r="F16">
            <v>237835.78571428574</v>
          </cell>
          <cell r="G16">
            <v>1166730.22</v>
          </cell>
          <cell r="H16">
            <v>-274887.41428571427</v>
          </cell>
          <cell r="I16">
            <v>3173667.7041396182</v>
          </cell>
          <cell r="J16">
            <v>2871905.0985184493</v>
          </cell>
          <cell r="K16">
            <v>4284696.9402786531</v>
          </cell>
          <cell r="L16">
            <v>3869908.2541589448</v>
          </cell>
          <cell r="M16">
            <v>1791787.8150540767</v>
          </cell>
          <cell r="N16">
            <v>331230.4601369265</v>
          </cell>
          <cell r="O16">
            <v>935767.25303025974</v>
          </cell>
          <cell r="P16">
            <v>-250406.49269761029</v>
          </cell>
        </row>
        <row r="17">
          <cell r="D17">
            <v>1321181417.5556166</v>
          </cell>
          <cell r="E17">
            <v>116357804.31682949</v>
          </cell>
          <cell r="F17">
            <v>106799823.63999447</v>
          </cell>
          <cell r="G17">
            <v>108370141.19940454</v>
          </cell>
          <cell r="H17">
            <v>108232520.85807905</v>
          </cell>
          <cell r="I17">
            <v>107369808.52671531</v>
          </cell>
          <cell r="J17">
            <v>110261534.35019031</v>
          </cell>
          <cell r="K17">
            <v>108136883.26298967</v>
          </cell>
          <cell r="L17">
            <v>122980590.99953152</v>
          </cell>
          <cell r="M17">
            <v>103000251.73436414</v>
          </cell>
          <cell r="N17">
            <v>111145932.18776457</v>
          </cell>
          <cell r="O17">
            <v>107430707.51726645</v>
          </cell>
          <cell r="P17">
            <v>111095418.96248728</v>
          </cell>
        </row>
        <row r="18">
          <cell r="D18">
            <v>3789480</v>
          </cell>
          <cell r="E18">
            <v>6000</v>
          </cell>
          <cell r="F18">
            <v>4800</v>
          </cell>
          <cell r="G18">
            <v>0</v>
          </cell>
          <cell r="H18">
            <v>2497</v>
          </cell>
          <cell r="I18">
            <v>357863</v>
          </cell>
          <cell r="J18">
            <v>628320</v>
          </cell>
          <cell r="K18">
            <v>991200</v>
          </cell>
          <cell r="L18">
            <v>849000</v>
          </cell>
          <cell r="M18">
            <v>651000</v>
          </cell>
          <cell r="N18">
            <v>289800</v>
          </cell>
          <cell r="O18">
            <v>3000</v>
          </cell>
          <cell r="P18">
            <v>6000</v>
          </cell>
        </row>
        <row r="19">
          <cell r="D19">
            <v>123046164.22024453</v>
          </cell>
          <cell r="E19">
            <v>13934884.729803579</v>
          </cell>
          <cell r="F19">
            <v>14814738.022137294</v>
          </cell>
          <cell r="G19">
            <v>13089930.003024999</v>
          </cell>
          <cell r="H19">
            <v>10162465.160215735</v>
          </cell>
          <cell r="I19">
            <v>8518106.0387213267</v>
          </cell>
          <cell r="J19">
            <v>6932709.5429803655</v>
          </cell>
          <cell r="K19">
            <v>5427589.7477672324</v>
          </cell>
          <cell r="L19">
            <v>6912106.6465661293</v>
          </cell>
          <cell r="M19">
            <v>6993267.0587057704</v>
          </cell>
          <cell r="N19">
            <v>10171159.926674768</v>
          </cell>
          <cell r="O19">
            <v>12244505.219712134</v>
          </cell>
          <cell r="P19">
            <v>13844702.123935174</v>
          </cell>
        </row>
        <row r="20">
          <cell r="D20">
            <v>534767436.60406774</v>
          </cell>
          <cell r="E20">
            <v>43421693.337666631</v>
          </cell>
          <cell r="F20">
            <v>39770860.813243046</v>
          </cell>
          <cell r="G20">
            <v>40691019.266715772</v>
          </cell>
          <cell r="H20">
            <v>44812754.65020173</v>
          </cell>
          <cell r="I20">
            <v>41305701.634680897</v>
          </cell>
          <cell r="J20">
            <v>38069361.050450101</v>
          </cell>
          <cell r="K20">
            <v>50913265.541981056</v>
          </cell>
          <cell r="L20">
            <v>50212645.794358425</v>
          </cell>
          <cell r="M20">
            <v>48165570.860954307</v>
          </cell>
          <cell r="N20">
            <v>46776939.313044958</v>
          </cell>
          <cell r="O20">
            <v>43352576.854941517</v>
          </cell>
          <cell r="P20">
            <v>47275047.485829301</v>
          </cell>
        </row>
        <row r="21">
          <cell r="D21">
            <v>81153842</v>
          </cell>
          <cell r="E21">
            <v>4784860</v>
          </cell>
          <cell r="F21">
            <v>14800835</v>
          </cell>
          <cell r="G21">
            <v>1147061</v>
          </cell>
          <cell r="H21">
            <v>3234129</v>
          </cell>
          <cell r="I21">
            <v>10300507</v>
          </cell>
          <cell r="J21">
            <v>6583905</v>
          </cell>
          <cell r="K21">
            <v>10921611</v>
          </cell>
          <cell r="L21">
            <v>5513261</v>
          </cell>
          <cell r="M21">
            <v>6094755</v>
          </cell>
          <cell r="N21">
            <v>6162412</v>
          </cell>
          <cell r="O21">
            <v>4503662</v>
          </cell>
          <cell r="P21">
            <v>7106844</v>
          </cell>
        </row>
        <row r="22">
          <cell r="D22">
            <v>553489296</v>
          </cell>
          <cell r="E22">
            <v>46840011</v>
          </cell>
          <cell r="F22">
            <v>80320434.731999993</v>
          </cell>
          <cell r="G22">
            <v>4860106.2679999992</v>
          </cell>
          <cell r="H22">
            <v>43592851</v>
          </cell>
          <cell r="I22">
            <v>51577097</v>
          </cell>
          <cell r="J22">
            <v>44530899</v>
          </cell>
          <cell r="K22">
            <v>49835734</v>
          </cell>
          <cell r="L22">
            <v>46199562</v>
          </cell>
          <cell r="M22">
            <v>47846204</v>
          </cell>
          <cell r="N22">
            <v>49102253</v>
          </cell>
          <cell r="O22">
            <v>42902847</v>
          </cell>
          <cell r="P22">
            <v>45881297</v>
          </cell>
        </row>
        <row r="23">
          <cell r="D23">
            <v>70906886.296499997</v>
          </cell>
          <cell r="E23">
            <v>5821892.9455000004</v>
          </cell>
          <cell r="F23">
            <v>5871311.6935000001</v>
          </cell>
          <cell r="G23">
            <v>5639490.3700000001</v>
          </cell>
          <cell r="H23">
            <v>5996477.2320000008</v>
          </cell>
          <cell r="I23">
            <v>6077671.0554999998</v>
          </cell>
          <cell r="J23">
            <v>5823947.0099999998</v>
          </cell>
          <cell r="K23">
            <v>5599997.988499999</v>
          </cell>
          <cell r="L23">
            <v>6281784.4235000014</v>
          </cell>
          <cell r="M23">
            <v>5593118.4809999987</v>
          </cell>
          <cell r="N23">
            <v>6300030.7755000014</v>
          </cell>
          <cell r="O23">
            <v>5489782.6499999994</v>
          </cell>
          <cell r="P23">
            <v>6411381.6715000011</v>
          </cell>
        </row>
        <row r="25">
          <cell r="D25">
            <v>7237655.5782418987</v>
          </cell>
          <cell r="E25">
            <v>755670.57568557153</v>
          </cell>
          <cell r="F25">
            <v>1079264.3989853305</v>
          </cell>
          <cell r="G25">
            <v>841430.87945338455</v>
          </cell>
          <cell r="H25">
            <v>667945.86538892204</v>
          </cell>
          <cell r="I25">
            <v>417637.35555260349</v>
          </cell>
          <cell r="J25">
            <v>326027.51144258055</v>
          </cell>
          <cell r="K25">
            <v>292052.49044475897</v>
          </cell>
          <cell r="L25">
            <v>307402.94013726938</v>
          </cell>
          <cell r="M25">
            <v>315103.07251259673</v>
          </cell>
          <cell r="N25">
            <v>489084.12363547145</v>
          </cell>
          <cell r="O25">
            <v>769822.39856614114</v>
          </cell>
          <cell r="P25">
            <v>976213.96643726935</v>
          </cell>
        </row>
      </sheetData>
      <sheetData sheetId="1">
        <row r="22">
          <cell r="K22">
            <v>329856</v>
          </cell>
        </row>
        <row r="23">
          <cell r="K23">
            <v>2026369614.5011609</v>
          </cell>
        </row>
      </sheetData>
      <sheetData sheetId="2">
        <row r="8">
          <cell r="E8">
            <v>1109032566.5011609</v>
          </cell>
        </row>
      </sheetData>
      <sheetData sheetId="3"/>
      <sheetData sheetId="4"/>
      <sheetData sheetId="5">
        <row r="22">
          <cell r="B22">
            <v>-855.29145687073469</v>
          </cell>
        </row>
      </sheetData>
      <sheetData sheetId="6">
        <row r="6">
          <cell r="C6">
            <v>12273719</v>
          </cell>
        </row>
      </sheetData>
      <sheetData sheetId="7">
        <row r="6">
          <cell r="C6">
            <v>565183</v>
          </cell>
        </row>
      </sheetData>
      <sheetData sheetId="8">
        <row r="9">
          <cell r="C9">
            <v>25</v>
          </cell>
        </row>
      </sheetData>
      <sheetData sheetId="9">
        <row r="9">
          <cell r="C9">
            <v>90668</v>
          </cell>
        </row>
      </sheetData>
      <sheetData sheetId="10">
        <row r="9">
          <cell r="C9">
            <v>9896</v>
          </cell>
        </row>
      </sheetData>
      <sheetData sheetId="11">
        <row r="9">
          <cell r="C9">
            <v>24</v>
          </cell>
        </row>
      </sheetData>
      <sheetData sheetId="12">
        <row r="6">
          <cell r="C6">
            <v>1304</v>
          </cell>
        </row>
      </sheetData>
      <sheetData sheetId="13">
        <row r="9">
          <cell r="C9">
            <v>5876</v>
          </cell>
        </row>
      </sheetData>
      <sheetData sheetId="14">
        <row r="9">
          <cell r="C9">
            <v>33</v>
          </cell>
        </row>
      </sheetData>
      <sheetData sheetId="15">
        <row r="9">
          <cell r="C9">
            <v>1889</v>
          </cell>
        </row>
      </sheetData>
      <sheetData sheetId="16">
        <row r="6">
          <cell r="C6">
            <v>229</v>
          </cell>
        </row>
      </sheetData>
      <sheetData sheetId="17">
        <row r="9">
          <cell r="C9">
            <v>77255842</v>
          </cell>
        </row>
      </sheetData>
      <sheetData sheetId="18">
        <row r="9">
          <cell r="C9">
            <v>551853873</v>
          </cell>
        </row>
      </sheetData>
      <sheetData sheetId="19">
        <row r="6">
          <cell r="C6">
            <v>1993136106</v>
          </cell>
        </row>
      </sheetData>
      <sheetData sheetId="20">
        <row r="14">
          <cell r="C14">
            <v>10706</v>
          </cell>
        </row>
      </sheetData>
      <sheetData sheetId="21">
        <row r="8">
          <cell r="C8">
            <v>7166880</v>
          </cell>
        </row>
      </sheetData>
      <sheetData sheetId="22"/>
      <sheetData sheetId="23"/>
      <sheetData sheetId="24"/>
      <sheetData sheetId="25">
        <row r="29">
          <cell r="E29">
            <v>-2714.4689999999973</v>
          </cell>
        </row>
      </sheetData>
      <sheetData sheetId="26">
        <row r="29">
          <cell r="E29">
            <v>1931087.899</v>
          </cell>
        </row>
      </sheetData>
      <sheetData sheetId="27"/>
      <sheetData sheetId="28"/>
      <sheetData sheetId="29"/>
      <sheetData sheetId="30"/>
      <sheetData sheetId="31">
        <row r="10">
          <cell r="E10">
            <v>59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 Summary"/>
      <sheetName val="Unallocated Summary"/>
      <sheetName val="Detail"/>
      <sheetName val="Common by Acct"/>
    </sheetNames>
    <sheetDataSet>
      <sheetData sheetId="0">
        <row r="4">
          <cell r="A4" t="str">
            <v>FOR THE 12 MONTHS ENDED JUNE 30, 2018</v>
          </cell>
        </row>
      </sheetData>
      <sheetData sheetId="1">
        <row r="48">
          <cell r="F48">
            <v>316124850.33000255</v>
          </cell>
        </row>
      </sheetData>
      <sheetData sheetId="2">
        <row r="24">
          <cell r="I24">
            <v>116721927.84999999</v>
          </cell>
        </row>
        <row r="28">
          <cell r="G28">
            <v>2507056.83</v>
          </cell>
        </row>
        <row r="29">
          <cell r="G29">
            <v>12066284.759999899</v>
          </cell>
        </row>
        <row r="30">
          <cell r="G30">
            <v>18412581.52</v>
          </cell>
        </row>
        <row r="31">
          <cell r="B31">
            <v>28765540.010000002</v>
          </cell>
        </row>
        <row r="32">
          <cell r="B32">
            <v>-21926740.300000001</v>
          </cell>
        </row>
      </sheetData>
      <sheetData sheetId="3">
        <row r="9">
          <cell r="C9">
            <v>134123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zoomScaleNormal="100" workbookViewId="0">
      <selection activeCell="H25" sqref="H25"/>
    </sheetView>
  </sheetViews>
  <sheetFormatPr defaultRowHeight="12.75" x14ac:dyDescent="0.2"/>
  <cols>
    <col min="1" max="1" width="5" style="9" bestFit="1" customWidth="1"/>
    <col min="2" max="2" width="71.85546875" style="9" bestFit="1" customWidth="1"/>
    <col min="3" max="4" width="19" style="9" bestFit="1" customWidth="1"/>
    <col min="5" max="5" width="18.140625" style="9" bestFit="1" customWidth="1"/>
    <col min="6" max="6" width="3" style="40" customWidth="1"/>
    <col min="7" max="7" width="14.5703125" style="9" customWidth="1"/>
    <col min="8" max="8" width="17.5703125" style="9" bestFit="1" customWidth="1"/>
    <col min="9" max="9" width="12.42578125" style="9" bestFit="1" customWidth="1"/>
    <col min="10" max="16384" width="9.140625" style="9"/>
  </cols>
  <sheetData>
    <row r="1" spans="1:7" x14ac:dyDescent="0.2">
      <c r="A1" s="7"/>
      <c r="B1" s="8"/>
      <c r="C1" s="8"/>
      <c r="D1"/>
      <c r="E1"/>
      <c r="F1" s="9"/>
    </row>
    <row r="2" spans="1:7" x14ac:dyDescent="0.2">
      <c r="A2" s="8"/>
      <c r="B2" s="8"/>
      <c r="C2" s="8"/>
      <c r="D2"/>
      <c r="E2"/>
      <c r="F2" s="9"/>
    </row>
    <row r="3" spans="1:7" x14ac:dyDescent="0.2">
      <c r="A3" s="10"/>
      <c r="B3" s="11"/>
      <c r="C3" s="12"/>
      <c r="D3"/>
      <c r="E3"/>
      <c r="F3" s="9"/>
    </row>
    <row r="4" spans="1:7" x14ac:dyDescent="0.2">
      <c r="A4" s="13" t="s">
        <v>4</v>
      </c>
      <c r="B4" s="14"/>
      <c r="C4" s="14"/>
      <c r="D4" s="14"/>
      <c r="E4" s="15"/>
      <c r="F4" s="9"/>
    </row>
    <row r="5" spans="1:7" x14ac:dyDescent="0.2">
      <c r="A5" s="13" t="s">
        <v>15</v>
      </c>
      <c r="B5" s="14"/>
      <c r="C5" s="13"/>
      <c r="D5" s="14"/>
      <c r="E5" s="16"/>
      <c r="F5" s="9"/>
    </row>
    <row r="6" spans="1:7" x14ac:dyDescent="0.2">
      <c r="A6" s="14" t="s">
        <v>237</v>
      </c>
      <c r="B6" s="14"/>
      <c r="C6" s="13"/>
      <c r="D6" s="14"/>
      <c r="E6" s="16"/>
      <c r="F6" s="9"/>
    </row>
    <row r="7" spans="1:7" x14ac:dyDescent="0.2">
      <c r="A7" s="13" t="s">
        <v>16</v>
      </c>
      <c r="B7" s="14"/>
      <c r="C7" s="13"/>
      <c r="D7" s="13"/>
      <c r="E7" s="16"/>
      <c r="F7" s="9"/>
    </row>
    <row r="8" spans="1:7" x14ac:dyDescent="0.2">
      <c r="A8" s="10"/>
      <c r="B8" s="10"/>
      <c r="C8" s="10"/>
      <c r="D8" s="10"/>
      <c r="E8" s="10"/>
      <c r="F8" s="9"/>
    </row>
    <row r="9" spans="1:7" x14ac:dyDescent="0.2">
      <c r="A9" s="17" t="s">
        <v>3</v>
      </c>
      <c r="B9" s="18"/>
      <c r="C9" s="18" t="s">
        <v>456</v>
      </c>
      <c r="D9" s="18" t="s">
        <v>458</v>
      </c>
      <c r="E9" s="18"/>
      <c r="F9" s="9"/>
    </row>
    <row r="10" spans="1:7" x14ac:dyDescent="0.2">
      <c r="A10" s="19" t="s">
        <v>1</v>
      </c>
      <c r="B10" s="20" t="s">
        <v>6</v>
      </c>
      <c r="C10" s="21" t="s">
        <v>457</v>
      </c>
      <c r="D10" s="21" t="s">
        <v>457</v>
      </c>
      <c r="E10" s="21" t="s">
        <v>2</v>
      </c>
      <c r="F10" s="9"/>
    </row>
    <row r="12" spans="1:7" x14ac:dyDescent="0.2">
      <c r="A12" s="22">
        <v>1</v>
      </c>
      <c r="B12" s="10" t="s">
        <v>230</v>
      </c>
      <c r="C12" s="8"/>
      <c r="D12" s="8"/>
      <c r="E12" s="8"/>
      <c r="F12" s="9"/>
    </row>
    <row r="13" spans="1:7" x14ac:dyDescent="0.2">
      <c r="A13" s="22">
        <v>2</v>
      </c>
      <c r="B13" s="66" t="s">
        <v>234</v>
      </c>
      <c r="C13" s="41"/>
      <c r="D13" s="41">
        <f>C21</f>
        <v>7814835.3599999994</v>
      </c>
      <c r="E13" s="41">
        <f>D13-C13</f>
        <v>7814835.3599999994</v>
      </c>
      <c r="F13" s="9"/>
      <c r="G13" s="67"/>
    </row>
    <row r="14" spans="1:7" x14ac:dyDescent="0.2">
      <c r="A14" s="22">
        <v>3</v>
      </c>
      <c r="B14" s="226" t="s">
        <v>451</v>
      </c>
      <c r="C14" s="24">
        <f>+'[1]ERF Main Summary'!$G$12</f>
        <v>2058080273.92558</v>
      </c>
      <c r="D14" s="24">
        <f>D16-D13-D15</f>
        <v>2018224923.141161</v>
      </c>
      <c r="E14" s="41">
        <f>D14-C14</f>
        <v>-39855350.78441906</v>
      </c>
      <c r="F14" s="9"/>
      <c r="G14" s="67"/>
    </row>
    <row r="15" spans="1:7" x14ac:dyDescent="0.2">
      <c r="A15" s="22">
        <v>4</v>
      </c>
      <c r="B15" s="226" t="s">
        <v>452</v>
      </c>
      <c r="C15" s="24">
        <f>+'[1]ERF Main Summary'!$G$13</f>
        <v>343685.04</v>
      </c>
      <c r="D15" s="24">
        <f>+'[2]Summary kWh &amp; Ann Rev'!$K$22</f>
        <v>329856</v>
      </c>
      <c r="E15" s="41">
        <f>D15-C15</f>
        <v>-13829.039999999979</v>
      </c>
      <c r="F15" s="9"/>
      <c r="G15" s="67"/>
    </row>
    <row r="16" spans="1:7" x14ac:dyDescent="0.2">
      <c r="A16" s="22">
        <v>5</v>
      </c>
      <c r="B16" s="23" t="s">
        <v>453</v>
      </c>
      <c r="C16" s="34">
        <f>SUM(C13:C15)</f>
        <v>2058423958.96558</v>
      </c>
      <c r="D16" s="34">
        <f>+'[2]Summary kWh &amp; Ann Rev'!$K$23</f>
        <v>2026369614.5011609</v>
      </c>
      <c r="E16" s="34">
        <f>SUM(E13:E15)</f>
        <v>-32054344.464419059</v>
      </c>
      <c r="F16" s="9"/>
      <c r="G16" s="67"/>
    </row>
    <row r="17" spans="1:7" x14ac:dyDescent="0.2">
      <c r="A17" s="22">
        <v>6</v>
      </c>
      <c r="B17" s="23" t="s">
        <v>454</v>
      </c>
      <c r="C17" s="24">
        <v>0</v>
      </c>
      <c r="D17" s="24">
        <f>-'Annualize  FPC'!R48</f>
        <v>-7313211.1809644364</v>
      </c>
      <c r="E17" s="41">
        <f>D17-C17</f>
        <v>-7313211.1809644364</v>
      </c>
      <c r="F17" s="9"/>
      <c r="G17" s="67"/>
    </row>
    <row r="18" spans="1:7" x14ac:dyDescent="0.2">
      <c r="A18" s="22">
        <v>7</v>
      </c>
      <c r="B18" s="23" t="s">
        <v>236</v>
      </c>
      <c r="C18" s="34">
        <f>SUM(C16:C17)</f>
        <v>2058423958.96558</v>
      </c>
      <c r="D18" s="34">
        <f t="shared" ref="D18:E18" si="0">SUM(D16:D17)</f>
        <v>2019056403.3201964</v>
      </c>
      <c r="E18" s="34">
        <f t="shared" si="0"/>
        <v>-39367555.645383492</v>
      </c>
      <c r="F18" s="9"/>
      <c r="G18" s="67"/>
    </row>
    <row r="19" spans="1:7" x14ac:dyDescent="0.2">
      <c r="A19" s="22">
        <v>8</v>
      </c>
      <c r="B19" s="23"/>
      <c r="C19" s="24"/>
      <c r="D19"/>
      <c r="E19" s="41"/>
      <c r="F19" s="9"/>
      <c r="G19" s="67"/>
    </row>
    <row r="20" spans="1:7" x14ac:dyDescent="0.2">
      <c r="A20" s="22">
        <v>9</v>
      </c>
      <c r="B20" s="10" t="s">
        <v>0</v>
      </c>
      <c r="C20" s="24"/>
      <c r="D20" s="24"/>
      <c r="E20" s="41"/>
      <c r="F20" s="9"/>
      <c r="G20" s="67"/>
    </row>
    <row r="21" spans="1:7" x14ac:dyDescent="0.2">
      <c r="A21" s="22">
        <v>10</v>
      </c>
      <c r="B21" s="66" t="s">
        <v>20</v>
      </c>
      <c r="C21" s="24">
        <f>-'456.1'!B42</f>
        <v>7814835.3599999994</v>
      </c>
      <c r="D21" s="24"/>
      <c r="E21" s="41">
        <f>D21-C21</f>
        <v>-7814835.3599999994</v>
      </c>
      <c r="F21" s="9"/>
      <c r="G21" s="67"/>
    </row>
    <row r="22" spans="1:7" x14ac:dyDescent="0.2">
      <c r="A22" s="22">
        <v>11</v>
      </c>
      <c r="B22" s="23" t="s">
        <v>231</v>
      </c>
      <c r="C22" s="24">
        <f>-'Decoupling Accts 17GRC'!G121</f>
        <v>-6288479.8899999997</v>
      </c>
      <c r="D22" s="24"/>
      <c r="E22" s="41">
        <f>D22-C22</f>
        <v>6288479.8899999997</v>
      </c>
      <c r="F22" s="9"/>
      <c r="G22" s="67"/>
    </row>
    <row r="23" spans="1:7" x14ac:dyDescent="0.2">
      <c r="A23" s="22">
        <v>10</v>
      </c>
      <c r="B23" s="64" t="s">
        <v>232</v>
      </c>
      <c r="C23" s="5">
        <f>-'Decoupling Accts 17GRC'!G126</f>
        <v>-24054569</v>
      </c>
      <c r="D23" s="25"/>
      <c r="E23" s="41">
        <f>D23-C23</f>
        <v>24054569</v>
      </c>
      <c r="F23" s="9"/>
      <c r="G23" s="67"/>
    </row>
    <row r="24" spans="1:7" x14ac:dyDescent="0.2">
      <c r="A24" s="22">
        <v>11</v>
      </c>
      <c r="B24" s="64" t="s">
        <v>235</v>
      </c>
      <c r="C24" s="42">
        <f>SUM(C21:C23)</f>
        <v>-22528213.530000001</v>
      </c>
      <c r="D24" s="42">
        <f>SUM(D21:D23)</f>
        <v>0</v>
      </c>
      <c r="E24" s="42">
        <f>SUM(E21:E23)</f>
        <v>22528213.530000001</v>
      </c>
      <c r="F24" s="9"/>
      <c r="G24" s="67"/>
    </row>
    <row r="25" spans="1:7" x14ac:dyDescent="0.2">
      <c r="A25" s="22">
        <v>12</v>
      </c>
      <c r="B25" s="64"/>
      <c r="C25" s="6"/>
      <c r="D25" s="29"/>
      <c r="E25" s="41"/>
      <c r="F25" s="9"/>
      <c r="G25" s="67"/>
    </row>
    <row r="26" spans="1:7" x14ac:dyDescent="0.2">
      <c r="A26" s="22">
        <v>13</v>
      </c>
      <c r="B26" s="8" t="s">
        <v>17</v>
      </c>
      <c r="C26" s="65">
        <f>C18+C24</f>
        <v>2035895745.43558</v>
      </c>
      <c r="D26" s="65">
        <f>D18+D24</f>
        <v>2019056403.3201964</v>
      </c>
      <c r="E26" s="65">
        <f>E18+E24</f>
        <v>-16839342.115383491</v>
      </c>
      <c r="F26" s="9"/>
      <c r="G26" s="68"/>
    </row>
    <row r="27" spans="1:7" x14ac:dyDescent="0.2">
      <c r="A27" s="22">
        <v>14</v>
      </c>
      <c r="B27" s="8"/>
      <c r="C27" s="8"/>
      <c r="D27" s="1"/>
      <c r="E27" s="26"/>
      <c r="F27" s="9"/>
      <c r="G27" s="68"/>
    </row>
    <row r="28" spans="1:7" x14ac:dyDescent="0.2">
      <c r="A28" s="22">
        <v>15</v>
      </c>
      <c r="B28" s="27" t="s">
        <v>7</v>
      </c>
      <c r="C28" s="28">
        <f>+'[1]E ERF Conv Factr'!$E$13</f>
        <v>8.0199999999999994E-3</v>
      </c>
      <c r="D28" s="29">
        <f>SUM($E$14:$E$15,$E$17)*C28</f>
        <v>-378402.77586317557</v>
      </c>
      <c r="E28" s="3"/>
      <c r="F28" s="9"/>
      <c r="G28" s="67"/>
    </row>
    <row r="29" spans="1:7" x14ac:dyDescent="0.2">
      <c r="A29" s="22">
        <v>16</v>
      </c>
      <c r="B29" s="27" t="s">
        <v>8</v>
      </c>
      <c r="C29" s="28">
        <f>+'[1]E ERF Conv Factr'!$E$14</f>
        <v>2E-3</v>
      </c>
      <c r="D29" s="29">
        <f>SUM($E$14:$E$15,$E$17)*C29</f>
        <v>-94364.782010766983</v>
      </c>
      <c r="E29" s="3"/>
      <c r="F29" s="9"/>
      <c r="G29" s="67"/>
    </row>
    <row r="30" spans="1:7" x14ac:dyDescent="0.2">
      <c r="A30" s="22">
        <v>16</v>
      </c>
      <c r="B30" s="30" t="s">
        <v>9</v>
      </c>
      <c r="C30" s="31"/>
      <c r="D30" s="32"/>
      <c r="E30" s="24">
        <f>D28+D29</f>
        <v>-472767.55787394254</v>
      </c>
      <c r="F30" s="9"/>
      <c r="G30" s="67"/>
    </row>
    <row r="31" spans="1:7" x14ac:dyDescent="0.2">
      <c r="A31" s="22">
        <v>17</v>
      </c>
      <c r="B31" s="27"/>
      <c r="C31" s="31"/>
      <c r="D31" s="33"/>
      <c r="E31" s="3"/>
      <c r="F31" s="9"/>
      <c r="G31" s="67"/>
    </row>
    <row r="32" spans="1:7" x14ac:dyDescent="0.2">
      <c r="A32" s="22">
        <v>18</v>
      </c>
      <c r="B32" s="27" t="s">
        <v>10</v>
      </c>
      <c r="C32" s="28">
        <f>+'[1]E ERF Conv Factr'!$E$15</f>
        <v>3.8422999999999999E-2</v>
      </c>
      <c r="D32" s="29">
        <f>SUM($E$14:$E$15,$E$17)*C32</f>
        <v>-1812889.0095998498</v>
      </c>
      <c r="E32" s="3"/>
      <c r="F32" s="9"/>
      <c r="G32" s="67"/>
    </row>
    <row r="33" spans="1:7" x14ac:dyDescent="0.2">
      <c r="A33" s="22">
        <v>19</v>
      </c>
      <c r="B33" s="30"/>
      <c r="C33" s="31"/>
      <c r="D33" s="34"/>
      <c r="E33" s="3"/>
      <c r="F33" s="9"/>
      <c r="G33" s="67"/>
    </row>
    <row r="34" spans="1:7" x14ac:dyDescent="0.2">
      <c r="A34" s="22">
        <v>20</v>
      </c>
      <c r="B34" s="30" t="s">
        <v>11</v>
      </c>
      <c r="C34" s="8"/>
      <c r="D34" s="33"/>
      <c r="E34" s="24">
        <f>E30+D32</f>
        <v>-2285656.5674737925</v>
      </c>
      <c r="F34" s="9"/>
      <c r="G34" s="67"/>
    </row>
    <row r="35" spans="1:7" x14ac:dyDescent="0.2">
      <c r="A35" s="22">
        <v>21</v>
      </c>
      <c r="B35" s="27"/>
      <c r="C35" s="8"/>
      <c r="D35" s="8"/>
      <c r="E35" s="34"/>
      <c r="F35" s="9"/>
      <c r="G35" s="67"/>
    </row>
    <row r="36" spans="1:7" x14ac:dyDescent="0.2">
      <c r="A36" s="22">
        <v>22</v>
      </c>
      <c r="B36" s="27" t="s">
        <v>12</v>
      </c>
      <c r="C36" s="8"/>
      <c r="D36" s="4"/>
      <c r="E36" s="24">
        <f>E26-E34</f>
        <v>-14553685.547909699</v>
      </c>
      <c r="F36" s="9"/>
      <c r="G36" s="67"/>
    </row>
    <row r="37" spans="1:7" x14ac:dyDescent="0.2">
      <c r="A37" s="22">
        <v>23</v>
      </c>
      <c r="B37" s="27" t="s">
        <v>13</v>
      </c>
      <c r="C37" s="35">
        <f>+'[1]E ERF Conv Factr'!$D$20</f>
        <v>0.21</v>
      </c>
      <c r="D37" s="4"/>
      <c r="E37" s="24">
        <f>E36*C37</f>
        <v>-3056273.9650610369</v>
      </c>
      <c r="F37" s="9"/>
      <c r="G37" s="67"/>
    </row>
    <row r="38" spans="1:7" ht="13.5" thickBot="1" x14ac:dyDescent="0.25">
      <c r="A38" s="22">
        <v>24</v>
      </c>
      <c r="B38" s="27" t="s">
        <v>14</v>
      </c>
      <c r="C38" s="8"/>
      <c r="D38" s="4"/>
      <c r="E38" s="36">
        <f>E36-E37</f>
        <v>-11497411.582848663</v>
      </c>
      <c r="F38" s="9"/>
      <c r="G38" s="69"/>
    </row>
    <row r="39" spans="1:7" ht="13.5" thickTop="1" x14ac:dyDescent="0.2">
      <c r="A39" s="22"/>
      <c r="B39" s="37"/>
      <c r="C39" s="38"/>
      <c r="D39" s="2"/>
      <c r="E39" s="39"/>
      <c r="F39" s="9"/>
    </row>
  </sheetData>
  <pageMargins left="0.45" right="0.45" top="0.5" bottom="0.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zoomScale="75" zoomScaleNormal="75" workbookViewId="0">
      <pane xSplit="4" ySplit="7" topLeftCell="E8" activePane="bottomRight" state="frozen"/>
      <selection activeCell="B17" sqref="B17"/>
      <selection pane="topRight" activeCell="B17" sqref="B17"/>
      <selection pane="bottomLeft" activeCell="B17" sqref="B17"/>
      <selection pane="bottomRight" activeCell="J20" sqref="J20"/>
    </sheetView>
  </sheetViews>
  <sheetFormatPr defaultRowHeight="15" x14ac:dyDescent="0.25"/>
  <cols>
    <col min="1" max="1" width="4.7109375" style="79" customWidth="1"/>
    <col min="2" max="2" width="9.140625" style="79"/>
    <col min="3" max="3" width="15.85546875" style="79" customWidth="1"/>
    <col min="4" max="4" width="25.5703125" style="79" bestFit="1" customWidth="1"/>
    <col min="5" max="5" width="24.42578125" style="79" bestFit="1" customWidth="1"/>
    <col min="6" max="12" width="16.7109375" style="79" bestFit="1" customWidth="1"/>
    <col min="13" max="13" width="16.28515625" style="79" bestFit="1" customWidth="1"/>
    <col min="14" max="17" width="16.7109375" style="79" bestFit="1" customWidth="1"/>
    <col min="18" max="18" width="17.85546875" style="79" bestFit="1" customWidth="1"/>
    <col min="19" max="19" width="20.5703125" style="79" bestFit="1" customWidth="1"/>
    <col min="20" max="20" width="14.5703125" style="79" bestFit="1" customWidth="1"/>
    <col min="21" max="16384" width="9.140625" style="79"/>
  </cols>
  <sheetData>
    <row r="1" spans="1:18" x14ac:dyDescent="0.25">
      <c r="A1" s="114" t="s">
        <v>331</v>
      </c>
      <c r="B1" s="96"/>
      <c r="C1" s="96"/>
      <c r="D1" s="96"/>
      <c r="E1" s="115" t="s">
        <v>332</v>
      </c>
      <c r="F1" s="115" t="s">
        <v>333</v>
      </c>
      <c r="G1" s="115" t="s">
        <v>334</v>
      </c>
      <c r="H1" s="115" t="s">
        <v>335</v>
      </c>
      <c r="I1" s="115" t="s">
        <v>336</v>
      </c>
      <c r="J1" s="115" t="s">
        <v>337</v>
      </c>
      <c r="K1" s="116"/>
    </row>
    <row r="2" spans="1:18" x14ac:dyDescent="0.25">
      <c r="A2" s="117"/>
      <c r="B2" s="118" t="s">
        <v>338</v>
      </c>
      <c r="C2" s="118"/>
      <c r="D2" s="118"/>
      <c r="E2" s="108">
        <v>2.8485E-2</v>
      </c>
      <c r="F2" s="108">
        <v>2.6161E-2</v>
      </c>
      <c r="G2" s="108">
        <v>2.554E-2</v>
      </c>
      <c r="H2" s="108">
        <v>2.3821999999999999E-2</v>
      </c>
      <c r="I2" s="108">
        <v>2.5167999999999999E-2</v>
      </c>
      <c r="J2" s="108">
        <v>2.4492E-2</v>
      </c>
      <c r="K2" s="119"/>
      <c r="L2" s="120"/>
      <c r="M2" s="120"/>
      <c r="N2" s="120"/>
      <c r="O2" s="120"/>
      <c r="P2" s="120"/>
      <c r="Q2" s="120"/>
    </row>
    <row r="3" spans="1:18" x14ac:dyDescent="0.25">
      <c r="A3" s="117"/>
      <c r="B3" s="118"/>
      <c r="C3" s="118"/>
      <c r="D3" s="118"/>
      <c r="E3" s="121"/>
      <c r="F3" s="121"/>
      <c r="G3" s="121"/>
      <c r="H3" s="121"/>
      <c r="I3" s="121"/>
      <c r="J3" s="121"/>
      <c r="K3" s="119"/>
      <c r="L3" s="120"/>
      <c r="M3" s="120"/>
      <c r="N3" s="120"/>
      <c r="O3" s="120"/>
      <c r="P3" s="120"/>
      <c r="Q3" s="120"/>
    </row>
    <row r="4" spans="1:18" x14ac:dyDescent="0.25">
      <c r="A4" s="122" t="s">
        <v>339</v>
      </c>
      <c r="B4" s="123"/>
      <c r="C4" s="123"/>
      <c r="D4" s="123"/>
      <c r="E4" s="124"/>
      <c r="F4" s="124"/>
      <c r="G4" s="124"/>
      <c r="H4" s="124"/>
      <c r="I4" s="124"/>
      <c r="J4" s="124"/>
      <c r="K4" s="125"/>
      <c r="L4" s="120"/>
      <c r="M4" s="120"/>
      <c r="N4" s="120"/>
      <c r="O4" s="120"/>
      <c r="P4" s="120"/>
      <c r="Q4" s="120"/>
    </row>
    <row r="5" spans="1:18" x14ac:dyDescent="0.25"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</row>
    <row r="6" spans="1:18" x14ac:dyDescent="0.25"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</row>
    <row r="7" spans="1:18" x14ac:dyDescent="0.25">
      <c r="E7" s="120"/>
      <c r="F7" s="126" t="s">
        <v>307</v>
      </c>
      <c r="G7" s="126" t="s">
        <v>308</v>
      </c>
      <c r="H7" s="126" t="s">
        <v>309</v>
      </c>
      <c r="I7" s="126" t="s">
        <v>310</v>
      </c>
      <c r="J7" s="126" t="s">
        <v>311</v>
      </c>
      <c r="K7" s="126" t="s">
        <v>312</v>
      </c>
      <c r="L7" s="126" t="s">
        <v>313</v>
      </c>
      <c r="M7" s="126" t="s">
        <v>314</v>
      </c>
      <c r="N7" s="126" t="s">
        <v>315</v>
      </c>
      <c r="O7" s="126" t="s">
        <v>316</v>
      </c>
      <c r="P7" s="126" t="s">
        <v>317</v>
      </c>
      <c r="Q7" s="126" t="s">
        <v>318</v>
      </c>
      <c r="R7" s="217" t="s">
        <v>5</v>
      </c>
    </row>
    <row r="8" spans="1:18" x14ac:dyDescent="0.25">
      <c r="A8" s="79" t="s">
        <v>340</v>
      </c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</row>
    <row r="9" spans="1:18" x14ac:dyDescent="0.25">
      <c r="B9" s="79" t="s">
        <v>341</v>
      </c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</row>
    <row r="10" spans="1:18" x14ac:dyDescent="0.25">
      <c r="B10" s="79" t="s">
        <v>332</v>
      </c>
      <c r="C10" s="109">
        <v>7</v>
      </c>
      <c r="E10" s="120"/>
      <c r="F10" s="127">
        <v>34917627.710000001</v>
      </c>
      <c r="G10" s="127">
        <v>29594111.850000001</v>
      </c>
      <c r="H10" s="127">
        <v>28517898.68</v>
      </c>
      <c r="I10" s="127">
        <v>22670834.280000001</v>
      </c>
      <c r="J10" s="127">
        <v>20383010.890000001</v>
      </c>
      <c r="K10" s="127">
        <v>17623220.100000001</v>
      </c>
      <c r="L10" s="127">
        <v>19746997.129999999</v>
      </c>
      <c r="M10" s="127">
        <v>19137140.190000001</v>
      </c>
      <c r="N10" s="127">
        <v>17532667.280000001</v>
      </c>
      <c r="O10" s="127">
        <v>22457603.690000001</v>
      </c>
      <c r="P10" s="127">
        <v>29299148.66</v>
      </c>
      <c r="Q10" s="127">
        <v>35576777.43</v>
      </c>
      <c r="R10" s="105">
        <f>SUM(F10:Q10)</f>
        <v>297457037.88999999</v>
      </c>
    </row>
    <row r="11" spans="1:18" x14ac:dyDescent="0.25">
      <c r="B11" s="79" t="s">
        <v>333</v>
      </c>
      <c r="C11" s="109" t="s">
        <v>321</v>
      </c>
      <c r="E11" s="120"/>
      <c r="F11" s="128">
        <v>7367857.5800000001</v>
      </c>
      <c r="G11" s="128">
        <v>5992781.5700000003</v>
      </c>
      <c r="H11" s="128">
        <v>6631296.0700000003</v>
      </c>
      <c r="I11" s="128">
        <v>5340457.16</v>
      </c>
      <c r="J11" s="128">
        <v>5759030.0700000003</v>
      </c>
      <c r="K11" s="128">
        <v>5339426.1500000004</v>
      </c>
      <c r="L11" s="128">
        <v>5895656.9699999997</v>
      </c>
      <c r="M11" s="128">
        <v>6147873.1500000004</v>
      </c>
      <c r="N11" s="128">
        <v>5650372.4500000002</v>
      </c>
      <c r="O11" s="128">
        <v>5643096.9699999997</v>
      </c>
      <c r="P11" s="128">
        <v>6115028.9000000004</v>
      </c>
      <c r="Q11" s="128">
        <v>7041745.0199999996</v>
      </c>
      <c r="R11" s="92">
        <f t="shared" ref="R11:R15" si="0">SUM(F11:Q11)</f>
        <v>72924622.060000002</v>
      </c>
    </row>
    <row r="12" spans="1:18" x14ac:dyDescent="0.25">
      <c r="B12" s="79" t="s">
        <v>334</v>
      </c>
      <c r="C12" s="109" t="s">
        <v>322</v>
      </c>
      <c r="E12" s="120"/>
      <c r="F12" s="128">
        <v>6834726.5</v>
      </c>
      <c r="G12" s="128">
        <v>6267331.54</v>
      </c>
      <c r="H12" s="128">
        <v>6859038.7800000003</v>
      </c>
      <c r="I12" s="128">
        <v>5461976</v>
      </c>
      <c r="J12" s="128">
        <v>5838904.9900000002</v>
      </c>
      <c r="K12" s="128">
        <v>6218563.0899999999</v>
      </c>
      <c r="L12" s="128">
        <v>6370028.6500000004</v>
      </c>
      <c r="M12" s="128">
        <v>6067478.7999999998</v>
      </c>
      <c r="N12" s="128">
        <v>6474698.6299999999</v>
      </c>
      <c r="O12" s="128">
        <v>6170830.2599999998</v>
      </c>
      <c r="P12" s="128">
        <v>6297785.6399999997</v>
      </c>
      <c r="Q12" s="128">
        <v>7192855.21</v>
      </c>
      <c r="R12" s="92">
        <f t="shared" si="0"/>
        <v>76054218.089999989</v>
      </c>
    </row>
    <row r="13" spans="1:18" x14ac:dyDescent="0.25">
      <c r="B13" s="79" t="s">
        <v>335</v>
      </c>
      <c r="C13" s="109">
        <v>40</v>
      </c>
      <c r="E13" s="120"/>
      <c r="F13" s="128">
        <v>1361966.5</v>
      </c>
      <c r="G13" s="128">
        <v>1071114.73</v>
      </c>
      <c r="H13" s="128">
        <v>1091539.3</v>
      </c>
      <c r="I13" s="128">
        <v>1089607.27</v>
      </c>
      <c r="J13" s="128">
        <v>1395742.76</v>
      </c>
      <c r="K13" s="128">
        <v>1187168.83</v>
      </c>
      <c r="L13" s="128">
        <v>1195197.3400000001</v>
      </c>
      <c r="M13" s="128">
        <v>1544070.89</v>
      </c>
      <c r="N13" s="128">
        <v>1099173.97</v>
      </c>
      <c r="O13" s="128">
        <v>1265991.29</v>
      </c>
      <c r="P13" s="128">
        <v>1153974.77</v>
      </c>
      <c r="Q13" s="128">
        <v>1354022.38</v>
      </c>
      <c r="R13" s="92">
        <f t="shared" si="0"/>
        <v>14809570.030000001</v>
      </c>
    </row>
    <row r="14" spans="1:18" x14ac:dyDescent="0.25">
      <c r="B14" s="79" t="s">
        <v>336</v>
      </c>
      <c r="C14" s="109" t="s">
        <v>323</v>
      </c>
      <c r="E14" s="120"/>
      <c r="F14" s="128">
        <v>3887302.03</v>
      </c>
      <c r="G14" s="128">
        <v>3781367.69</v>
      </c>
      <c r="H14" s="128">
        <v>3915815.13</v>
      </c>
      <c r="I14" s="128">
        <v>3803510.09</v>
      </c>
      <c r="J14" s="128">
        <v>3449358.62</v>
      </c>
      <c r="K14" s="128">
        <v>4336126.8499999996</v>
      </c>
      <c r="L14" s="128">
        <v>4235580.17</v>
      </c>
      <c r="M14" s="128">
        <v>4079748.34</v>
      </c>
      <c r="N14" s="128">
        <v>4077474.54</v>
      </c>
      <c r="O14" s="128">
        <v>3965641.62</v>
      </c>
      <c r="P14" s="128">
        <v>3824885.26</v>
      </c>
      <c r="Q14" s="128">
        <v>4263275.37</v>
      </c>
      <c r="R14" s="92">
        <f t="shared" si="0"/>
        <v>47620085.709999993</v>
      </c>
    </row>
    <row r="15" spans="1:18" x14ac:dyDescent="0.25">
      <c r="B15" s="79" t="s">
        <v>337</v>
      </c>
      <c r="C15" s="109" t="s">
        <v>324</v>
      </c>
      <c r="E15" s="120"/>
      <c r="F15" s="128">
        <v>2567895.0499999998</v>
      </c>
      <c r="G15" s="128">
        <v>2762678.2</v>
      </c>
      <c r="H15" s="128">
        <v>2601904.58</v>
      </c>
      <c r="I15" s="128">
        <v>2340616.23</v>
      </c>
      <c r="J15" s="128">
        <v>2171705.2999999998</v>
      </c>
      <c r="K15" s="128">
        <v>2840838.99</v>
      </c>
      <c r="L15" s="128">
        <v>2724724.3</v>
      </c>
      <c r="M15" s="128">
        <v>2829382.49</v>
      </c>
      <c r="N15" s="128">
        <v>2699451.96</v>
      </c>
      <c r="O15" s="128">
        <v>2609985.0099999998</v>
      </c>
      <c r="P15" s="128">
        <v>2535514.98</v>
      </c>
      <c r="Q15" s="128">
        <v>2772790.05</v>
      </c>
      <c r="R15" s="92">
        <f t="shared" si="0"/>
        <v>31457487.140000001</v>
      </c>
    </row>
    <row r="16" spans="1:18" ht="15.75" thickBot="1" x14ac:dyDescent="0.3"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106">
        <f>SUM(R10:R15)</f>
        <v>540323020.91999996</v>
      </c>
    </row>
    <row r="17" spans="1:20" ht="15.75" thickTop="1" x14ac:dyDescent="0.25"/>
    <row r="18" spans="1:20" x14ac:dyDescent="0.25">
      <c r="A18" s="79" t="s">
        <v>459</v>
      </c>
      <c r="S18" s="79" t="s">
        <v>450</v>
      </c>
    </row>
    <row r="19" spans="1:20" x14ac:dyDescent="0.25">
      <c r="C19" s="109">
        <v>7</v>
      </c>
      <c r="F19" s="110">
        <f>+'[2]Summary Normal Monthly kWh'!E11</f>
        <v>1217809396.3717051</v>
      </c>
      <c r="G19" s="110">
        <f>+'[2]Summary Normal Monthly kWh'!F11</f>
        <v>1029221052.455801</v>
      </c>
      <c r="H19" s="110">
        <f>+'[2]Summary Normal Monthly kWh'!G11</f>
        <v>1042285607.8058866</v>
      </c>
      <c r="I19" s="110">
        <f>+'[2]Summary Normal Monthly kWh'!H11</f>
        <v>848382820.3486625</v>
      </c>
      <c r="J19" s="110">
        <f>+'[2]Summary Normal Monthly kWh'!I11</f>
        <v>682087265.04118538</v>
      </c>
      <c r="K19" s="110">
        <f>+'[2]Summary Normal Monthly kWh'!J11</f>
        <v>662181951.97669625</v>
      </c>
      <c r="L19" s="110">
        <f>+'[2]Summary Normal Monthly kWh'!K11</f>
        <v>683028854.42198575</v>
      </c>
      <c r="M19" s="110">
        <f>+'[2]Summary Normal Monthly kWh'!L11</f>
        <v>689494898.41436493</v>
      </c>
      <c r="N19" s="110">
        <f>+'[2]Summary Normal Monthly kWh'!M11</f>
        <v>658439734.18934715</v>
      </c>
      <c r="O19" s="110">
        <f>+'[2]Summary Normal Monthly kWh'!N11</f>
        <v>840421026.72084284</v>
      </c>
      <c r="P19" s="110">
        <f>+'[2]Summary Normal Monthly kWh'!O11</f>
        <v>1034613281.7917739</v>
      </c>
      <c r="Q19" s="110">
        <f>+'[2]Summary Normal Monthly kWh'!P11</f>
        <v>1269374170.1103554</v>
      </c>
      <c r="R19" s="111">
        <f t="shared" ref="R19:R26" si="1">SUM(F19:Q19)</f>
        <v>10657340059.648607</v>
      </c>
      <c r="S19" s="111">
        <f>+'[2]Summary Normal Monthly kWh'!$D$11</f>
        <v>10657340059.648607</v>
      </c>
      <c r="T19" s="111">
        <f t="shared" ref="T19:T20" si="2">+S19-R19</f>
        <v>0</v>
      </c>
    </row>
    <row r="20" spans="1:20" x14ac:dyDescent="0.25">
      <c r="C20" s="109" t="s">
        <v>321</v>
      </c>
      <c r="F20" s="110">
        <f>+'[2]Summary Normal Monthly kWh'!E13</f>
        <v>268307038.57199278</v>
      </c>
      <c r="G20" s="110">
        <f>+'[2]Summary Normal Monthly kWh'!F13</f>
        <v>227207898.53795847</v>
      </c>
      <c r="H20" s="110">
        <f>+'[2]Summary Normal Monthly kWh'!G13</f>
        <v>244652400.50093108</v>
      </c>
      <c r="I20" s="110">
        <f>+'[2]Summary Normal Monthly kWh'!H13</f>
        <v>211402682.75275233</v>
      </c>
      <c r="J20" s="110">
        <f>+'[2]Summary Normal Monthly kWh'!I13</f>
        <v>207943010.22681922</v>
      </c>
      <c r="K20" s="110">
        <f>+'[2]Summary Normal Monthly kWh'!J13</f>
        <v>200088798.37976211</v>
      </c>
      <c r="L20" s="110">
        <f>+'[2]Summary Normal Monthly kWh'!K13</f>
        <v>224981849.41511604</v>
      </c>
      <c r="M20" s="110">
        <f>+'[2]Summary Normal Monthly kWh'!L13</f>
        <v>236629518.22228226</v>
      </c>
      <c r="N20" s="110">
        <f>+'[2]Summary Normal Monthly kWh'!M13</f>
        <v>211269345.82597348</v>
      </c>
      <c r="O20" s="110">
        <f>+'[2]Summary Normal Monthly kWh'!N13</f>
        <v>222924321.4157142</v>
      </c>
      <c r="P20" s="110">
        <f>+'[2]Summary Normal Monthly kWh'!O13</f>
        <v>241969138.58819419</v>
      </c>
      <c r="Q20" s="110">
        <f>+'[2]Summary Normal Monthly kWh'!P13</f>
        <v>272598280.9598729</v>
      </c>
      <c r="R20" s="111">
        <f t="shared" si="1"/>
        <v>2769974283.3973689</v>
      </c>
      <c r="S20" s="111">
        <f>+'[2]Summary Normal Monthly kWh'!$D$13</f>
        <v>2769974283.3973689</v>
      </c>
      <c r="T20" s="111">
        <f t="shared" si="2"/>
        <v>0</v>
      </c>
    </row>
    <row r="21" spans="1:20" x14ac:dyDescent="0.25">
      <c r="C21" s="109" t="s">
        <v>322</v>
      </c>
      <c r="E21" s="79" t="s">
        <v>455</v>
      </c>
      <c r="F21" s="110">
        <f>SUM('[2]Summary Normal Monthly kWh'!E12,'[2]Summary Normal Monthly kWh'!E14,'[2]Summary Normal Monthly kWh'!E16,'[2]Summary Normal Monthly kWh'!E18,'[2]Summary Normal Monthly kWh'!E19)</f>
        <v>283862215.19315606</v>
      </c>
      <c r="G21" s="110">
        <f>SUM('[2]Summary Normal Monthly kWh'!F12,'[2]Summary Normal Monthly kWh'!F14,'[2]Summary Normal Monthly kWh'!F16,'[2]Summary Normal Monthly kWh'!F18,'[2]Summary Normal Monthly kWh'!F19)</f>
        <v>262024120.92486566</v>
      </c>
      <c r="H21" s="110">
        <f>SUM('[2]Summary Normal Monthly kWh'!G12,'[2]Summary Normal Monthly kWh'!G14,'[2]Summary Normal Monthly kWh'!G16,'[2]Summary Normal Monthly kWh'!G18,'[2]Summary Normal Monthly kWh'!G19)</f>
        <v>277745663.5656966</v>
      </c>
      <c r="I21" s="110">
        <f>SUM('[2]Summary Normal Monthly kWh'!H12,'[2]Summary Normal Monthly kWh'!H14,'[2]Summary Normal Monthly kWh'!H16,'[2]Summary Normal Monthly kWh'!H18,'[2]Summary Normal Monthly kWh'!H19)</f>
        <v>250222352.4840396</v>
      </c>
      <c r="J21" s="110">
        <f>SUM('[2]Summary Normal Monthly kWh'!I12,'[2]Summary Normal Monthly kWh'!I14,'[2]Summary Normal Monthly kWh'!I16,'[2]Summary Normal Monthly kWh'!I18,'[2]Summary Normal Monthly kWh'!I19)</f>
        <v>257053131.41416478</v>
      </c>
      <c r="K21" s="110">
        <f>SUM('[2]Summary Normal Monthly kWh'!J12,'[2]Summary Normal Monthly kWh'!J14,'[2]Summary Normal Monthly kWh'!J16,'[2]Summary Normal Monthly kWh'!J18,'[2]Summary Normal Monthly kWh'!J19)</f>
        <v>239676309.07878903</v>
      </c>
      <c r="L21" s="110">
        <f>SUM('[2]Summary Normal Monthly kWh'!K12,'[2]Summary Normal Monthly kWh'!K14,'[2]Summary Normal Monthly kWh'!K16,'[2]Summary Normal Monthly kWh'!K18,'[2]Summary Normal Monthly kWh'!K19)</f>
        <v>250744317.60794047</v>
      </c>
      <c r="M21" s="110">
        <f>SUM('[2]Summary Normal Monthly kWh'!L12,'[2]Summary Normal Monthly kWh'!L14,'[2]Summary Normal Monthly kWh'!L16,'[2]Summary Normal Monthly kWh'!L18,'[2]Summary Normal Monthly kWh'!L19)</f>
        <v>265696179.81656981</v>
      </c>
      <c r="N21" s="110">
        <f>SUM('[2]Summary Normal Monthly kWh'!M12,'[2]Summary Normal Monthly kWh'!M14,'[2]Summary Normal Monthly kWh'!M16,'[2]Summary Normal Monthly kWh'!M18,'[2]Summary Normal Monthly kWh'!M19)</f>
        <v>238697893.00688696</v>
      </c>
      <c r="O21" s="110">
        <f>SUM('[2]Summary Normal Monthly kWh'!N12,'[2]Summary Normal Monthly kWh'!N14,'[2]Summary Normal Monthly kWh'!N16,'[2]Summary Normal Monthly kWh'!N18,'[2]Summary Normal Monthly kWh'!N19)</f>
        <v>246709067.32583916</v>
      </c>
      <c r="P21" s="110">
        <f>SUM('[2]Summary Normal Monthly kWh'!O12,'[2]Summary Normal Monthly kWh'!O14,'[2]Summary Normal Monthly kWh'!O16,'[2]Summary Normal Monthly kWh'!O18,'[2]Summary Normal Monthly kWh'!O19)</f>
        <v>257220758.2833263</v>
      </c>
      <c r="Q21" s="110">
        <f>SUM('[2]Summary Normal Monthly kWh'!P12,'[2]Summary Normal Monthly kWh'!P14,'[2]Summary Normal Monthly kWh'!P16,'[2]Summary Normal Monthly kWh'!P18,'[2]Summary Normal Monthly kWh'!P19)</f>
        <v>278091552.8520931</v>
      </c>
      <c r="R21" s="111">
        <f t="shared" si="1"/>
        <v>3107743561.5533671</v>
      </c>
      <c r="S21" s="111">
        <f>+'[2]Summary Normal Monthly kWh'!$D$12+'[2]Summary Normal Monthly kWh'!$D$14+'[2]Summary Normal Monthly kWh'!$D$16+'[2]Summary Normal Monthly kWh'!$D$18+'[2]Summary Normal Monthly kWh'!$D$19</f>
        <v>3107743561.5533671</v>
      </c>
      <c r="T21" s="111">
        <f>+S21-R21</f>
        <v>0</v>
      </c>
    </row>
    <row r="22" spans="1:20" x14ac:dyDescent="0.25">
      <c r="C22" s="109">
        <v>40</v>
      </c>
      <c r="F22" s="110">
        <f>+'[2]Summary Normal Monthly kWh'!E20</f>
        <v>43421693.337666631</v>
      </c>
      <c r="G22" s="110">
        <f>+'[2]Summary Normal Monthly kWh'!F20</f>
        <v>39770860.813243046</v>
      </c>
      <c r="H22" s="110">
        <f>+'[2]Summary Normal Monthly kWh'!G20</f>
        <v>40691019.266715772</v>
      </c>
      <c r="I22" s="110">
        <f>+'[2]Summary Normal Monthly kWh'!H20</f>
        <v>44812754.65020173</v>
      </c>
      <c r="J22" s="110">
        <f>+'[2]Summary Normal Monthly kWh'!I20</f>
        <v>41305701.634680897</v>
      </c>
      <c r="K22" s="110">
        <f>+'[2]Summary Normal Monthly kWh'!J20</f>
        <v>38069361.050450101</v>
      </c>
      <c r="L22" s="110">
        <f>+'[2]Summary Normal Monthly kWh'!K20</f>
        <v>50913265.541981056</v>
      </c>
      <c r="M22" s="110">
        <f>+'[2]Summary Normal Monthly kWh'!L20</f>
        <v>50212645.794358425</v>
      </c>
      <c r="N22" s="110">
        <f>+'[2]Summary Normal Monthly kWh'!M20</f>
        <v>48165570.860954307</v>
      </c>
      <c r="O22" s="110">
        <f>+'[2]Summary Normal Monthly kWh'!N20</f>
        <v>46776939.313044958</v>
      </c>
      <c r="P22" s="110">
        <f>+'[2]Summary Normal Monthly kWh'!O20</f>
        <v>43352576.854941517</v>
      </c>
      <c r="Q22" s="110">
        <f>+'[2]Summary Normal Monthly kWh'!P20</f>
        <v>47275047.485829301</v>
      </c>
      <c r="R22" s="111">
        <f t="shared" si="1"/>
        <v>534767436.60406774</v>
      </c>
      <c r="S22" s="111">
        <f>+'[2]Summary Normal Monthly kWh'!$D$20</f>
        <v>534767436.60406774</v>
      </c>
      <c r="T22" s="111">
        <f t="shared" ref="T22:T24" si="3">+S22-R22</f>
        <v>0</v>
      </c>
    </row>
    <row r="23" spans="1:20" x14ac:dyDescent="0.25">
      <c r="C23" s="109" t="s">
        <v>323</v>
      </c>
      <c r="F23" s="110">
        <f>+'[2]Summary Normal Monthly kWh'!E15</f>
        <v>139346518.61467844</v>
      </c>
      <c r="G23" s="110">
        <f>+'[2]Summary Normal Monthly kWh'!F15</f>
        <v>169196589.8632482</v>
      </c>
      <c r="H23" s="110">
        <f>+'[2]Summary Normal Monthly kWh'!G15</f>
        <v>150010041.24672765</v>
      </c>
      <c r="I23" s="110">
        <f>+'[2]Summary Normal Monthly kWh'!H15</f>
        <v>147880845.09164891</v>
      </c>
      <c r="J23" s="110">
        <f>+'[2]Summary Normal Monthly kWh'!I15</f>
        <v>157388825.39053777</v>
      </c>
      <c r="K23" s="110">
        <f>+'[2]Summary Normal Monthly kWh'!J15</f>
        <v>158782240.87865049</v>
      </c>
      <c r="L23" s="110">
        <f>+'[2]Summary Normal Monthly kWh'!K15</f>
        <v>161963003.24104062</v>
      </c>
      <c r="M23" s="110">
        <f>+'[2]Summary Normal Monthly kWh'!L15</f>
        <v>172512622.08313176</v>
      </c>
      <c r="N23" s="110">
        <f>+'[2]Summary Normal Monthly kWh'!M15</f>
        <v>151286265.25392488</v>
      </c>
      <c r="O23" s="110">
        <f>+'[2]Summary Normal Monthly kWh'!N15</f>
        <v>155619020.68197143</v>
      </c>
      <c r="P23" s="110">
        <f>+'[2]Summary Normal Monthly kWh'!O15</f>
        <v>149475216.60872561</v>
      </c>
      <c r="Q23" s="110">
        <f>+'[2]Summary Normal Monthly kWh'!P15</f>
        <v>159044673.9783285</v>
      </c>
      <c r="R23" s="111">
        <f t="shared" si="1"/>
        <v>1872505862.9326141</v>
      </c>
      <c r="S23" s="111">
        <f>+'[2]Summary Normal Monthly kWh'!$D$15</f>
        <v>1872505862.9326141</v>
      </c>
      <c r="T23" s="111">
        <f t="shared" si="3"/>
        <v>0</v>
      </c>
    </row>
    <row r="24" spans="1:20" x14ac:dyDescent="0.25">
      <c r="C24" s="109" t="s">
        <v>324</v>
      </c>
      <c r="F24" s="110">
        <f>+'[2]Summary Normal Monthly kWh'!E17</f>
        <v>116357804.31682949</v>
      </c>
      <c r="G24" s="110">
        <f>+'[2]Summary Normal Monthly kWh'!F17</f>
        <v>106799823.63999447</v>
      </c>
      <c r="H24" s="110">
        <f>+'[2]Summary Normal Monthly kWh'!G17</f>
        <v>108370141.19940454</v>
      </c>
      <c r="I24" s="110">
        <f>+'[2]Summary Normal Monthly kWh'!H17</f>
        <v>108232520.85807905</v>
      </c>
      <c r="J24" s="110">
        <f>+'[2]Summary Normal Monthly kWh'!I17</f>
        <v>107369808.52671531</v>
      </c>
      <c r="K24" s="110">
        <f>+'[2]Summary Normal Monthly kWh'!J17</f>
        <v>110261534.35019031</v>
      </c>
      <c r="L24" s="110">
        <f>+'[2]Summary Normal Monthly kWh'!K17</f>
        <v>108136883.26298967</v>
      </c>
      <c r="M24" s="110">
        <f>+'[2]Summary Normal Monthly kWh'!L17</f>
        <v>122980590.99953152</v>
      </c>
      <c r="N24" s="110">
        <f>+'[2]Summary Normal Monthly kWh'!M17</f>
        <v>103000251.73436414</v>
      </c>
      <c r="O24" s="110">
        <f>+'[2]Summary Normal Monthly kWh'!N17</f>
        <v>111145932.18776457</v>
      </c>
      <c r="P24" s="110">
        <f>+'[2]Summary Normal Monthly kWh'!O17</f>
        <v>107430707.51726645</v>
      </c>
      <c r="Q24" s="110">
        <f>+'[2]Summary Normal Monthly kWh'!P17</f>
        <v>111095418.96248728</v>
      </c>
      <c r="R24" s="111">
        <f t="shared" si="1"/>
        <v>1321181417.5556166</v>
      </c>
      <c r="S24" s="111">
        <f>+'[2]Summary Normal Monthly kWh'!$D$17</f>
        <v>1321181417.5556166</v>
      </c>
      <c r="T24" s="111">
        <f t="shared" si="3"/>
        <v>0</v>
      </c>
    </row>
    <row r="25" spans="1:20" x14ac:dyDescent="0.25">
      <c r="C25" s="79" t="s">
        <v>325</v>
      </c>
      <c r="F25" s="112">
        <f>SUM(F19:F24)</f>
        <v>2069104666.4060285</v>
      </c>
      <c r="G25" s="112">
        <f t="shared" ref="G25:Q25" si="4">SUM(G19:G24)</f>
        <v>1834220346.2351108</v>
      </c>
      <c r="H25" s="112">
        <f t="shared" si="4"/>
        <v>1863754873.5853622</v>
      </c>
      <c r="I25" s="112">
        <f t="shared" si="4"/>
        <v>1610933976.185384</v>
      </c>
      <c r="J25" s="112">
        <f t="shared" si="4"/>
        <v>1453147742.2341034</v>
      </c>
      <c r="K25" s="112">
        <f t="shared" si="4"/>
        <v>1409060195.7145383</v>
      </c>
      <c r="L25" s="112">
        <f t="shared" si="4"/>
        <v>1479768173.4910538</v>
      </c>
      <c r="M25" s="112">
        <f t="shared" si="4"/>
        <v>1537526455.3302388</v>
      </c>
      <c r="N25" s="112">
        <f t="shared" si="4"/>
        <v>1410859060.8714509</v>
      </c>
      <c r="O25" s="112">
        <f t="shared" si="4"/>
        <v>1623596307.6451774</v>
      </c>
      <c r="P25" s="112">
        <f t="shared" si="4"/>
        <v>1834061679.6442282</v>
      </c>
      <c r="Q25" s="112">
        <f t="shared" si="4"/>
        <v>2137479144.3489664</v>
      </c>
      <c r="R25" s="113">
        <f t="shared" si="1"/>
        <v>20263512621.691643</v>
      </c>
      <c r="S25" s="111"/>
      <c r="T25" s="111"/>
    </row>
    <row r="26" spans="1:20" x14ac:dyDescent="0.25">
      <c r="A26" s="129"/>
      <c r="C26" s="79" t="s">
        <v>326</v>
      </c>
      <c r="D26" s="79" t="s">
        <v>327</v>
      </c>
      <c r="E26" s="79" t="s">
        <v>327</v>
      </c>
      <c r="F26" s="110">
        <f>SUM('[2]Summary Normal Monthly kWh'!E21:E23,'[2]Summary Normal Monthly kWh'!E25)</f>
        <v>58202434.521185569</v>
      </c>
      <c r="G26" s="110">
        <f>SUM('[2]Summary Normal Monthly kWh'!F21:F23,'[2]Summary Normal Monthly kWh'!F25)</f>
        <v>102071845.82448532</v>
      </c>
      <c r="H26" s="110">
        <f>SUM('[2]Summary Normal Monthly kWh'!G21:G23,'[2]Summary Normal Monthly kWh'!G25)</f>
        <v>12488088.517453386</v>
      </c>
      <c r="I26" s="110">
        <f>SUM('[2]Summary Normal Monthly kWh'!H21:H23,'[2]Summary Normal Monthly kWh'!H25)</f>
        <v>53491403.097388923</v>
      </c>
      <c r="J26" s="110">
        <f>SUM('[2]Summary Normal Monthly kWh'!I21:I23,'[2]Summary Normal Monthly kWh'!I25)</f>
        <v>68372912.4110526</v>
      </c>
      <c r="K26" s="110">
        <f>SUM('[2]Summary Normal Monthly kWh'!J21:J23,'[2]Summary Normal Monthly kWh'!J25)</f>
        <v>57264778.521442577</v>
      </c>
      <c r="L26" s="110">
        <f>SUM('[2]Summary Normal Monthly kWh'!K21:K23,'[2]Summary Normal Monthly kWh'!K25)</f>
        <v>66649395.478944756</v>
      </c>
      <c r="M26" s="110">
        <f>SUM('[2]Summary Normal Monthly kWh'!L21:L23,'[2]Summary Normal Monthly kWh'!L25)</f>
        <v>58302010.363637269</v>
      </c>
      <c r="N26" s="110">
        <f>SUM('[2]Summary Normal Monthly kWh'!M21:M23,'[2]Summary Normal Monthly kWh'!M25)</f>
        <v>59849180.553512596</v>
      </c>
      <c r="O26" s="110">
        <f>SUM('[2]Summary Normal Monthly kWh'!N21:N23,'[2]Summary Normal Monthly kWh'!N25)</f>
        <v>62053779.89913547</v>
      </c>
      <c r="P26" s="110">
        <f>SUM('[2]Summary Normal Monthly kWh'!O21:O23,'[2]Summary Normal Monthly kWh'!O25)</f>
        <v>53666114.04856614</v>
      </c>
      <c r="Q26" s="110">
        <f>SUM('[2]Summary Normal Monthly kWh'!P21:P23,'[2]Summary Normal Monthly kWh'!P25)</f>
        <v>60375736.63793727</v>
      </c>
      <c r="R26" s="111">
        <f t="shared" si="1"/>
        <v>712787679.87474179</v>
      </c>
      <c r="S26" s="110">
        <f>SUM('[2]Summary Normal Monthly kWh'!$D$21:$D$23,'[2]Summary Normal Monthly kWh'!$D$25)</f>
        <v>712787679.87474191</v>
      </c>
      <c r="T26" s="111">
        <f t="shared" ref="T26" si="5">+S26-R26</f>
        <v>0</v>
      </c>
    </row>
    <row r="27" spans="1:20" s="120" customFormat="1" x14ac:dyDescent="0.25">
      <c r="C27" s="120" t="s">
        <v>328</v>
      </c>
      <c r="F27" s="227">
        <f>+F26+F25</f>
        <v>2127307100.9272141</v>
      </c>
      <c r="G27" s="227">
        <f t="shared" ref="G27:R27" si="6">+G26+G25</f>
        <v>1936292192.0595961</v>
      </c>
      <c r="H27" s="227">
        <f t="shared" si="6"/>
        <v>1876242962.1028156</v>
      </c>
      <c r="I27" s="227">
        <f t="shared" si="6"/>
        <v>1664425379.282773</v>
      </c>
      <c r="J27" s="227">
        <f t="shared" si="6"/>
        <v>1521520654.6451561</v>
      </c>
      <c r="K27" s="227">
        <f t="shared" si="6"/>
        <v>1466324974.235981</v>
      </c>
      <c r="L27" s="227">
        <f t="shared" si="6"/>
        <v>1546417568.9699986</v>
      </c>
      <c r="M27" s="227">
        <f t="shared" si="6"/>
        <v>1595828465.693876</v>
      </c>
      <c r="N27" s="227">
        <f t="shared" si="6"/>
        <v>1470708241.4249635</v>
      </c>
      <c r="O27" s="227">
        <f t="shared" si="6"/>
        <v>1685650087.544313</v>
      </c>
      <c r="P27" s="227">
        <f t="shared" si="6"/>
        <v>1887727793.6927943</v>
      </c>
      <c r="Q27" s="227">
        <f t="shared" si="6"/>
        <v>2197854880.9869037</v>
      </c>
      <c r="R27" s="227">
        <f t="shared" si="6"/>
        <v>20976300301.566383</v>
      </c>
      <c r="S27" s="120" t="s">
        <v>329</v>
      </c>
      <c r="T27" s="228"/>
    </row>
    <row r="30" spans="1:20" x14ac:dyDescent="0.25">
      <c r="A30" s="79" t="s">
        <v>342</v>
      </c>
    </row>
    <row r="32" spans="1:20" x14ac:dyDescent="0.25">
      <c r="C32" s="109">
        <v>7</v>
      </c>
      <c r="F32" s="90">
        <f t="shared" ref="F32:Q32" si="7">+$E$2*F19</f>
        <v>34689300.655648015</v>
      </c>
      <c r="G32" s="90">
        <f t="shared" si="7"/>
        <v>29317361.679203492</v>
      </c>
      <c r="H32" s="90">
        <f t="shared" si="7"/>
        <v>29689505.538350679</v>
      </c>
      <c r="I32" s="90">
        <f t="shared" si="7"/>
        <v>24166184.637631651</v>
      </c>
      <c r="J32" s="90">
        <f t="shared" si="7"/>
        <v>19429255.744698167</v>
      </c>
      <c r="K32" s="90">
        <f t="shared" si="7"/>
        <v>18862252.902056191</v>
      </c>
      <c r="L32" s="90">
        <f t="shared" si="7"/>
        <v>19456076.918210264</v>
      </c>
      <c r="M32" s="90">
        <f t="shared" si="7"/>
        <v>19640262.181333184</v>
      </c>
      <c r="N32" s="90">
        <f t="shared" si="7"/>
        <v>18755655.828383554</v>
      </c>
      <c r="O32" s="90">
        <f t="shared" si="7"/>
        <v>23939392.94614321</v>
      </c>
      <c r="P32" s="90">
        <f t="shared" si="7"/>
        <v>29470959.331838679</v>
      </c>
      <c r="Q32" s="90">
        <f t="shared" si="7"/>
        <v>36158123.235593475</v>
      </c>
      <c r="R32" s="105">
        <f>SUM(F32:Q32)</f>
        <v>303574331.59909058</v>
      </c>
    </row>
    <row r="33" spans="1:19" x14ac:dyDescent="0.25">
      <c r="C33" s="109" t="s">
        <v>321</v>
      </c>
      <c r="F33" s="130">
        <f>+$F$2*F20</f>
        <v>7019180.4360819031</v>
      </c>
      <c r="G33" s="130">
        <f t="shared" ref="G33:Q33" si="8">+$F$2*G20</f>
        <v>5943985.8336515315</v>
      </c>
      <c r="H33" s="130">
        <f t="shared" si="8"/>
        <v>6400351.4495048579</v>
      </c>
      <c r="I33" s="130">
        <f t="shared" si="8"/>
        <v>5530505.5834947536</v>
      </c>
      <c r="J33" s="130">
        <f t="shared" si="8"/>
        <v>5439997.0905438177</v>
      </c>
      <c r="K33" s="130">
        <f t="shared" si="8"/>
        <v>5234523.0544129563</v>
      </c>
      <c r="L33" s="130">
        <f t="shared" si="8"/>
        <v>5885750.1625488512</v>
      </c>
      <c r="M33" s="130">
        <f t="shared" si="8"/>
        <v>6190464.8262131261</v>
      </c>
      <c r="N33" s="130">
        <f t="shared" si="8"/>
        <v>5527017.3561532926</v>
      </c>
      <c r="O33" s="130">
        <f t="shared" si="8"/>
        <v>5831923.172556499</v>
      </c>
      <c r="P33" s="130">
        <f t="shared" si="8"/>
        <v>6330154.6346057486</v>
      </c>
      <c r="Q33" s="130">
        <f t="shared" si="8"/>
        <v>7131443.6281912355</v>
      </c>
      <c r="R33" s="92">
        <f t="shared" ref="R33:R37" si="9">SUM(F33:Q33)</f>
        <v>72465297.227958575</v>
      </c>
    </row>
    <row r="34" spans="1:19" x14ac:dyDescent="0.25">
      <c r="C34" s="109" t="s">
        <v>322</v>
      </c>
      <c r="F34" s="130">
        <f>+$G$2*F21</f>
        <v>7249840.9760332061</v>
      </c>
      <c r="G34" s="130">
        <f t="shared" ref="G34:Q34" si="10">+$G$2*G21</f>
        <v>6692096.048421069</v>
      </c>
      <c r="H34" s="130">
        <f t="shared" si="10"/>
        <v>7093624.2474678913</v>
      </c>
      <c r="I34" s="130">
        <f t="shared" si="10"/>
        <v>6390678.8824423719</v>
      </c>
      <c r="J34" s="130">
        <f t="shared" si="10"/>
        <v>6565136.9763177689</v>
      </c>
      <c r="K34" s="130">
        <f t="shared" si="10"/>
        <v>6121332.9338722713</v>
      </c>
      <c r="L34" s="130">
        <f t="shared" si="10"/>
        <v>6404009.8717067996</v>
      </c>
      <c r="M34" s="130">
        <f t="shared" si="10"/>
        <v>6785880.4325151928</v>
      </c>
      <c r="N34" s="130">
        <f t="shared" si="10"/>
        <v>6096344.187395893</v>
      </c>
      <c r="O34" s="130">
        <f t="shared" si="10"/>
        <v>6300949.5795019325</v>
      </c>
      <c r="P34" s="130">
        <f t="shared" si="10"/>
        <v>6569418.1665561534</v>
      </c>
      <c r="Q34" s="130">
        <f t="shared" si="10"/>
        <v>7102458.2598424582</v>
      </c>
      <c r="R34" s="92">
        <f t="shared" si="9"/>
        <v>79371770.562073007</v>
      </c>
    </row>
    <row r="35" spans="1:19" x14ac:dyDescent="0.25">
      <c r="C35" s="109">
        <v>40</v>
      </c>
      <c r="F35" s="130">
        <f>+$H$2*F22</f>
        <v>1034391.5786898944</v>
      </c>
      <c r="G35" s="130">
        <f t="shared" ref="G35:Q35" si="11">+$H$2*G22</f>
        <v>947421.4462930758</v>
      </c>
      <c r="H35" s="130">
        <f t="shared" si="11"/>
        <v>969341.46097170305</v>
      </c>
      <c r="I35" s="130">
        <f t="shared" si="11"/>
        <v>1067529.4412771056</v>
      </c>
      <c r="J35" s="130">
        <f t="shared" si="11"/>
        <v>983984.42434136826</v>
      </c>
      <c r="K35" s="130">
        <f t="shared" si="11"/>
        <v>906888.31894382229</v>
      </c>
      <c r="L35" s="130">
        <f t="shared" si="11"/>
        <v>1212855.8117410727</v>
      </c>
      <c r="M35" s="130">
        <f t="shared" si="11"/>
        <v>1196165.6481132063</v>
      </c>
      <c r="N35" s="130">
        <f t="shared" si="11"/>
        <v>1147400.2290496535</v>
      </c>
      <c r="O35" s="130">
        <f t="shared" si="11"/>
        <v>1114320.2483153569</v>
      </c>
      <c r="P35" s="130">
        <f t="shared" si="11"/>
        <v>1032745.0858384168</v>
      </c>
      <c r="Q35" s="130">
        <f t="shared" si="11"/>
        <v>1126186.1812074257</v>
      </c>
      <c r="R35" s="92">
        <f t="shared" si="9"/>
        <v>12739229.8747821</v>
      </c>
    </row>
    <row r="36" spans="1:19" x14ac:dyDescent="0.25">
      <c r="C36" s="109" t="s">
        <v>323</v>
      </c>
      <c r="F36" s="130">
        <f>+$I$2*F23</f>
        <v>3507073.180494227</v>
      </c>
      <c r="G36" s="130">
        <f t="shared" ref="G36:Q36" si="12">+$I$2*G23</f>
        <v>4258339.7736782301</v>
      </c>
      <c r="H36" s="130">
        <f t="shared" si="12"/>
        <v>3775452.7180976411</v>
      </c>
      <c r="I36" s="130">
        <f t="shared" si="12"/>
        <v>3721865.1092666197</v>
      </c>
      <c r="J36" s="130">
        <f t="shared" si="12"/>
        <v>3961161.9574290547</v>
      </c>
      <c r="K36" s="130">
        <f t="shared" si="12"/>
        <v>3996231.4384338753</v>
      </c>
      <c r="L36" s="130">
        <f t="shared" si="12"/>
        <v>4076284.8655705103</v>
      </c>
      <c r="M36" s="130">
        <f t="shared" si="12"/>
        <v>4341797.6725882599</v>
      </c>
      <c r="N36" s="130">
        <f t="shared" si="12"/>
        <v>3807572.7239107811</v>
      </c>
      <c r="O36" s="130">
        <f t="shared" si="12"/>
        <v>3916619.5125238569</v>
      </c>
      <c r="P36" s="130">
        <f t="shared" si="12"/>
        <v>3761992.2516084062</v>
      </c>
      <c r="Q36" s="130">
        <f t="shared" si="12"/>
        <v>4002836.3546865713</v>
      </c>
      <c r="R36" s="92">
        <f t="shared" si="9"/>
        <v>47127227.558288038</v>
      </c>
    </row>
    <row r="37" spans="1:19" x14ac:dyDescent="0.25">
      <c r="C37" s="109" t="s">
        <v>324</v>
      </c>
      <c r="F37" s="130">
        <f>+$J$2*F24</f>
        <v>2849835.3433277877</v>
      </c>
      <c r="G37" s="130">
        <f t="shared" ref="G37:Q37" si="13">+$J$2*G24</f>
        <v>2615741.2805907447</v>
      </c>
      <c r="H37" s="130">
        <f t="shared" si="13"/>
        <v>2654201.4982558158</v>
      </c>
      <c r="I37" s="130">
        <f t="shared" si="13"/>
        <v>2650830.9008560721</v>
      </c>
      <c r="J37" s="130">
        <f t="shared" si="13"/>
        <v>2629701.3504363112</v>
      </c>
      <c r="K37" s="130">
        <f t="shared" si="13"/>
        <v>2700525.4993048613</v>
      </c>
      <c r="L37" s="130">
        <f t="shared" si="13"/>
        <v>2648488.5448771431</v>
      </c>
      <c r="M37" s="130">
        <f t="shared" si="13"/>
        <v>3012040.634760526</v>
      </c>
      <c r="N37" s="130">
        <f t="shared" si="13"/>
        <v>2522682.1654780465</v>
      </c>
      <c r="O37" s="130">
        <f t="shared" si="13"/>
        <v>2722186.1711427299</v>
      </c>
      <c r="P37" s="130">
        <f t="shared" si="13"/>
        <v>2631192.8885128899</v>
      </c>
      <c r="Q37" s="130">
        <f t="shared" si="13"/>
        <v>2720949.0012292382</v>
      </c>
      <c r="R37" s="92">
        <f t="shared" si="9"/>
        <v>32358375.278772168</v>
      </c>
    </row>
    <row r="38" spans="1:19" x14ac:dyDescent="0.25">
      <c r="R38" s="105">
        <f>SUM(R32:R37)</f>
        <v>547636232.10096443</v>
      </c>
    </row>
    <row r="40" spans="1:19" s="120" customFormat="1" x14ac:dyDescent="0.25">
      <c r="A40" s="120" t="s">
        <v>343</v>
      </c>
      <c r="F40" s="120" t="s">
        <v>344</v>
      </c>
    </row>
    <row r="41" spans="1:19" s="120" customFormat="1" x14ac:dyDescent="0.25">
      <c r="B41" s="120" t="s">
        <v>345</v>
      </c>
    </row>
    <row r="42" spans="1:19" s="120" customFormat="1" x14ac:dyDescent="0.25">
      <c r="B42" s="120" t="s">
        <v>332</v>
      </c>
      <c r="C42" s="229">
        <v>7</v>
      </c>
      <c r="F42" s="230">
        <f t="shared" ref="F42:Q47" si="14">+F32-F10</f>
        <v>-228327.05435198545</v>
      </c>
      <c r="G42" s="230">
        <f t="shared" si="14"/>
        <v>-276750.17079650983</v>
      </c>
      <c r="H42" s="230">
        <f t="shared" si="14"/>
        <v>1171606.8583506793</v>
      </c>
      <c r="I42" s="230">
        <f t="shared" si="14"/>
        <v>1495350.3576316498</v>
      </c>
      <c r="J42" s="230">
        <f t="shared" si="14"/>
        <v>-953755.14530183375</v>
      </c>
      <c r="K42" s="230">
        <f t="shared" si="14"/>
        <v>1239032.8020561896</v>
      </c>
      <c r="L42" s="230">
        <f t="shared" si="14"/>
        <v>-290920.21178973466</v>
      </c>
      <c r="M42" s="230">
        <f t="shared" si="14"/>
        <v>503121.9913331829</v>
      </c>
      <c r="N42" s="230">
        <f t="shared" si="14"/>
        <v>1222988.5483835526</v>
      </c>
      <c r="O42" s="230">
        <f t="shared" si="14"/>
        <v>1481789.2561432086</v>
      </c>
      <c r="P42" s="230">
        <f t="shared" si="14"/>
        <v>171810.67183867842</v>
      </c>
      <c r="Q42" s="230">
        <f t="shared" si="14"/>
        <v>581345.8055934757</v>
      </c>
      <c r="R42" s="230">
        <f>SUM(F42:Q42)</f>
        <v>6117293.7090905532</v>
      </c>
      <c r="S42" s="231">
        <f t="shared" ref="S42:S47" si="15">+R32-R10</f>
        <v>6117293.7090905905</v>
      </c>
    </row>
    <row r="43" spans="1:19" s="120" customFormat="1" x14ac:dyDescent="0.25">
      <c r="B43" s="120" t="s">
        <v>333</v>
      </c>
      <c r="C43" s="229" t="s">
        <v>321</v>
      </c>
      <c r="F43" s="232">
        <f t="shared" si="14"/>
        <v>-348677.14391809702</v>
      </c>
      <c r="G43" s="232">
        <f t="shared" si="14"/>
        <v>-48795.73634846881</v>
      </c>
      <c r="H43" s="232">
        <f t="shared" si="14"/>
        <v>-230944.62049514242</v>
      </c>
      <c r="I43" s="232">
        <f t="shared" si="14"/>
        <v>190048.42349475343</v>
      </c>
      <c r="J43" s="232">
        <f t="shared" si="14"/>
        <v>-319032.97945618257</v>
      </c>
      <c r="K43" s="232">
        <f t="shared" si="14"/>
        <v>-104903.09558704402</v>
      </c>
      <c r="L43" s="232">
        <f t="shared" si="14"/>
        <v>-9906.8074511485174</v>
      </c>
      <c r="M43" s="232">
        <f t="shared" si="14"/>
        <v>42591.676213125698</v>
      </c>
      <c r="N43" s="232">
        <f t="shared" si="14"/>
        <v>-123355.0938467076</v>
      </c>
      <c r="O43" s="232">
        <f t="shared" si="14"/>
        <v>188826.20255649928</v>
      </c>
      <c r="P43" s="232">
        <f t="shared" si="14"/>
        <v>215125.73460574821</v>
      </c>
      <c r="Q43" s="232">
        <f t="shared" si="14"/>
        <v>89698.608191235922</v>
      </c>
      <c r="R43" s="232">
        <f t="shared" ref="R43:R47" si="16">SUM(F43:Q43)</f>
        <v>-459324.83204142842</v>
      </c>
      <c r="S43" s="232">
        <f t="shared" si="15"/>
        <v>-459324.83204142749</v>
      </c>
    </row>
    <row r="44" spans="1:19" s="120" customFormat="1" x14ac:dyDescent="0.25">
      <c r="B44" s="120" t="s">
        <v>334</v>
      </c>
      <c r="C44" s="229" t="s">
        <v>322</v>
      </c>
      <c r="F44" s="232">
        <f t="shared" si="14"/>
        <v>415114.4760332061</v>
      </c>
      <c r="G44" s="232">
        <f t="shared" si="14"/>
        <v>424764.50842106901</v>
      </c>
      <c r="H44" s="232">
        <f t="shared" si="14"/>
        <v>234585.46746789105</v>
      </c>
      <c r="I44" s="232">
        <f t="shared" si="14"/>
        <v>928702.88244237192</v>
      </c>
      <c r="J44" s="232">
        <f t="shared" si="14"/>
        <v>726231.98631776869</v>
      </c>
      <c r="K44" s="232">
        <f t="shared" si="14"/>
        <v>-97230.156127728522</v>
      </c>
      <c r="L44" s="232">
        <f t="shared" si="14"/>
        <v>33981.221706799231</v>
      </c>
      <c r="M44" s="232">
        <f t="shared" si="14"/>
        <v>718401.63251519296</v>
      </c>
      <c r="N44" s="232">
        <f t="shared" si="14"/>
        <v>-378354.44260410685</v>
      </c>
      <c r="O44" s="232">
        <f t="shared" si="14"/>
        <v>130119.31950193271</v>
      </c>
      <c r="P44" s="232">
        <f t="shared" si="14"/>
        <v>271632.52655615378</v>
      </c>
      <c r="Q44" s="232">
        <f t="shared" si="14"/>
        <v>-90396.950157541782</v>
      </c>
      <c r="R44" s="232">
        <f t="shared" si="16"/>
        <v>3317552.4720730083</v>
      </c>
      <c r="S44" s="232">
        <f t="shared" si="15"/>
        <v>3317552.4720730186</v>
      </c>
    </row>
    <row r="45" spans="1:19" s="120" customFormat="1" x14ac:dyDescent="0.25">
      <c r="B45" s="120" t="s">
        <v>335</v>
      </c>
      <c r="C45" s="229">
        <v>40</v>
      </c>
      <c r="F45" s="232">
        <f t="shared" si="14"/>
        <v>-327574.92131010559</v>
      </c>
      <c r="G45" s="232">
        <f t="shared" si="14"/>
        <v>-123693.28370692418</v>
      </c>
      <c r="H45" s="232">
        <f t="shared" si="14"/>
        <v>-122197.83902829699</v>
      </c>
      <c r="I45" s="232">
        <f t="shared" si="14"/>
        <v>-22077.828722894425</v>
      </c>
      <c r="J45" s="232">
        <f t="shared" si="14"/>
        <v>-411758.33565863175</v>
      </c>
      <c r="K45" s="232">
        <f t="shared" si="14"/>
        <v>-280280.51105617778</v>
      </c>
      <c r="L45" s="232">
        <f t="shared" si="14"/>
        <v>17658.471741072601</v>
      </c>
      <c r="M45" s="232">
        <f t="shared" si="14"/>
        <v>-347905.24188679364</v>
      </c>
      <c r="N45" s="232">
        <f t="shared" si="14"/>
        <v>48226.259049653541</v>
      </c>
      <c r="O45" s="232">
        <f t="shared" si="14"/>
        <v>-151671.04168464313</v>
      </c>
      <c r="P45" s="232">
        <f t="shared" si="14"/>
        <v>-121229.68416158319</v>
      </c>
      <c r="Q45" s="232">
        <f t="shared" si="14"/>
        <v>-227836.19879257423</v>
      </c>
      <c r="R45" s="232">
        <f t="shared" si="16"/>
        <v>-2070340.1552178988</v>
      </c>
      <c r="S45" s="232">
        <f t="shared" si="15"/>
        <v>-2070340.1552179009</v>
      </c>
    </row>
    <row r="46" spans="1:19" s="120" customFormat="1" x14ac:dyDescent="0.25">
      <c r="B46" s="120" t="s">
        <v>336</v>
      </c>
      <c r="C46" s="229" t="s">
        <v>323</v>
      </c>
      <c r="F46" s="232">
        <f t="shared" si="14"/>
        <v>-380228.84950577281</v>
      </c>
      <c r="G46" s="232">
        <f t="shared" si="14"/>
        <v>476972.08367823018</v>
      </c>
      <c r="H46" s="232">
        <f t="shared" si="14"/>
        <v>-140362.41190235876</v>
      </c>
      <c r="I46" s="232">
        <f t="shared" si="14"/>
        <v>-81644.980733380187</v>
      </c>
      <c r="J46" s="232">
        <f t="shared" si="14"/>
        <v>511803.33742905455</v>
      </c>
      <c r="K46" s="232">
        <f t="shared" si="14"/>
        <v>-339895.4115661243</v>
      </c>
      <c r="L46" s="232">
        <f t="shared" si="14"/>
        <v>-159295.30442948965</v>
      </c>
      <c r="M46" s="232">
        <f t="shared" si="14"/>
        <v>262049.33258826006</v>
      </c>
      <c r="N46" s="232">
        <f t="shared" si="14"/>
        <v>-269901.81608921895</v>
      </c>
      <c r="O46" s="232">
        <f t="shared" si="14"/>
        <v>-49022.107476143166</v>
      </c>
      <c r="P46" s="232">
        <f t="shared" si="14"/>
        <v>-62893.008391593583</v>
      </c>
      <c r="Q46" s="232">
        <f t="shared" si="14"/>
        <v>-260439.01531342883</v>
      </c>
      <c r="R46" s="232">
        <f t="shared" si="16"/>
        <v>-492858.15171196545</v>
      </c>
      <c r="S46" s="232">
        <f t="shared" si="15"/>
        <v>-492858.15171195567</v>
      </c>
    </row>
    <row r="47" spans="1:19" s="120" customFormat="1" x14ac:dyDescent="0.25">
      <c r="B47" s="120" t="s">
        <v>337</v>
      </c>
      <c r="C47" s="229" t="s">
        <v>324</v>
      </c>
      <c r="F47" s="232">
        <f t="shared" si="14"/>
        <v>281940.29332778789</v>
      </c>
      <c r="G47" s="232">
        <f t="shared" si="14"/>
        <v>-146936.9194092555</v>
      </c>
      <c r="H47" s="232">
        <f t="shared" si="14"/>
        <v>52296.918255815748</v>
      </c>
      <c r="I47" s="232">
        <f t="shared" si="14"/>
        <v>310214.6708560721</v>
      </c>
      <c r="J47" s="232">
        <f t="shared" si="14"/>
        <v>457996.0504363114</v>
      </c>
      <c r="K47" s="232">
        <f t="shared" si="14"/>
        <v>-140313.49069513893</v>
      </c>
      <c r="L47" s="232">
        <f t="shared" si="14"/>
        <v>-76235.755122856703</v>
      </c>
      <c r="M47" s="232">
        <f t="shared" si="14"/>
        <v>182658.14476052579</v>
      </c>
      <c r="N47" s="232">
        <f t="shared" si="14"/>
        <v>-176769.79452195344</v>
      </c>
      <c r="O47" s="232">
        <f t="shared" si="14"/>
        <v>112201.16114273015</v>
      </c>
      <c r="P47" s="232">
        <f t="shared" si="14"/>
        <v>95677.908512889873</v>
      </c>
      <c r="Q47" s="232">
        <f t="shared" si="14"/>
        <v>-51841.048770761583</v>
      </c>
      <c r="R47" s="232">
        <f t="shared" si="16"/>
        <v>900888.1387721668</v>
      </c>
      <c r="S47" s="232">
        <f t="shared" si="15"/>
        <v>900888.13877216727</v>
      </c>
    </row>
    <row r="48" spans="1:19" s="120" customFormat="1" ht="15.75" thickBot="1" x14ac:dyDescent="0.3">
      <c r="F48" s="233">
        <f>SUM(F42:F47)</f>
        <v>-587753.19972496689</v>
      </c>
      <c r="G48" s="233">
        <f t="shared" ref="G48:Q48" si="17">SUM(G42:G47)</f>
        <v>305560.48183814087</v>
      </c>
      <c r="H48" s="233">
        <f t="shared" si="17"/>
        <v>964984.37264858792</v>
      </c>
      <c r="I48" s="233">
        <f t="shared" si="17"/>
        <v>2820593.5249685729</v>
      </c>
      <c r="J48" s="233">
        <f t="shared" si="17"/>
        <v>11484.91376648657</v>
      </c>
      <c r="K48" s="233">
        <f t="shared" si="17"/>
        <v>276410.13702397607</v>
      </c>
      <c r="L48" s="233">
        <f t="shared" si="17"/>
        <v>-484718.3853453577</v>
      </c>
      <c r="M48" s="233">
        <f t="shared" si="17"/>
        <v>1360917.5355234938</v>
      </c>
      <c r="N48" s="233">
        <f t="shared" si="17"/>
        <v>322833.66037121927</v>
      </c>
      <c r="O48" s="233">
        <f t="shared" si="17"/>
        <v>1712242.7901835844</v>
      </c>
      <c r="P48" s="233">
        <f t="shared" si="17"/>
        <v>570124.1489602935</v>
      </c>
      <c r="Q48" s="233">
        <f t="shared" si="17"/>
        <v>40531.200750405202</v>
      </c>
      <c r="R48" s="233">
        <f>SUM(R42:R47)</f>
        <v>7313211.1809644364</v>
      </c>
      <c r="S48" s="230">
        <f>SUM(S42:S47)</f>
        <v>7313211.1809644923</v>
      </c>
    </row>
    <row r="49" spans="1:19" s="120" customFormat="1" x14ac:dyDescent="0.25">
      <c r="S49" s="234"/>
    </row>
    <row r="52" spans="1:19" x14ac:dyDescent="0.25">
      <c r="A52" s="79" t="s">
        <v>346</v>
      </c>
    </row>
    <row r="53" spans="1:19" x14ac:dyDescent="0.25">
      <c r="E53" s="131" t="s">
        <v>347</v>
      </c>
      <c r="F53" s="79">
        <f>ROUND('A-1 UE-180284'!F43/1000,6)</f>
        <v>2.6866000000000001E-2</v>
      </c>
    </row>
    <row r="54" spans="1:19" x14ac:dyDescent="0.25">
      <c r="B54" s="131" t="s">
        <v>348</v>
      </c>
      <c r="C54" s="79" t="s">
        <v>326</v>
      </c>
      <c r="E54" s="79" t="s">
        <v>327</v>
      </c>
      <c r="F54" s="110">
        <f>+F26</f>
        <v>58202434.521185569</v>
      </c>
      <c r="G54" s="110">
        <f t="shared" ref="G54:Q54" si="18">+G26</f>
        <v>102071845.82448532</v>
      </c>
      <c r="H54" s="110">
        <f t="shared" si="18"/>
        <v>12488088.517453386</v>
      </c>
      <c r="I54" s="110">
        <f t="shared" si="18"/>
        <v>53491403.097388923</v>
      </c>
      <c r="J54" s="110">
        <f t="shared" si="18"/>
        <v>68372912.4110526</v>
      </c>
      <c r="K54" s="110">
        <f t="shared" si="18"/>
        <v>57264778.521442577</v>
      </c>
      <c r="L54" s="110">
        <f t="shared" si="18"/>
        <v>66649395.478944756</v>
      </c>
      <c r="M54" s="110">
        <f t="shared" si="18"/>
        <v>58302010.363637269</v>
      </c>
      <c r="N54" s="110">
        <f t="shared" si="18"/>
        <v>59849180.553512596</v>
      </c>
      <c r="O54" s="110">
        <f t="shared" si="18"/>
        <v>62053779.89913547</v>
      </c>
      <c r="P54" s="110">
        <f t="shared" si="18"/>
        <v>53666114.04856614</v>
      </c>
      <c r="Q54" s="110">
        <f t="shared" si="18"/>
        <v>60375736.63793727</v>
      </c>
      <c r="R54" s="111">
        <f>SUM(F54:Q54)</f>
        <v>712787679.87474179</v>
      </c>
    </row>
    <row r="55" spans="1:19" x14ac:dyDescent="0.25">
      <c r="F55" s="132">
        <f>+F54*$F$53</f>
        <v>1563666.6058461715</v>
      </c>
      <c r="G55" s="132">
        <f t="shared" ref="G55:Q55" si="19">+G54*$F$53</f>
        <v>2742262.2099206224</v>
      </c>
      <c r="H55" s="132">
        <f t="shared" si="19"/>
        <v>335504.98610990267</v>
      </c>
      <c r="I55" s="132">
        <f t="shared" si="19"/>
        <v>1437100.0356144509</v>
      </c>
      <c r="J55" s="132">
        <f t="shared" si="19"/>
        <v>1836906.6648353392</v>
      </c>
      <c r="K55" s="132">
        <f t="shared" si="19"/>
        <v>1538475.5397570764</v>
      </c>
      <c r="L55" s="132">
        <f t="shared" si="19"/>
        <v>1790602.6589373299</v>
      </c>
      <c r="M55" s="132">
        <f t="shared" si="19"/>
        <v>1566341.810429479</v>
      </c>
      <c r="N55" s="132">
        <f t="shared" si="19"/>
        <v>1607908.0847506695</v>
      </c>
      <c r="O55" s="132">
        <f t="shared" si="19"/>
        <v>1667136.8507701736</v>
      </c>
      <c r="P55" s="132">
        <f t="shared" si="19"/>
        <v>1441793.8200287779</v>
      </c>
      <c r="Q55" s="132">
        <f t="shared" si="19"/>
        <v>1622054.5405148228</v>
      </c>
      <c r="R55" s="132">
        <f>SUM(F55:Q55)</f>
        <v>19149753.807514817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3"/>
  <sheetViews>
    <sheetView zoomScaleNormal="100" workbookViewId="0">
      <selection activeCell="B96" sqref="B96"/>
    </sheetView>
  </sheetViews>
  <sheetFormatPr defaultRowHeight="15" outlineLevelRow="1" outlineLevelCol="1" x14ac:dyDescent="0.25"/>
  <cols>
    <col min="1" max="1" width="14.85546875" style="43" customWidth="1"/>
    <col min="2" max="2" width="67.140625" style="43" bestFit="1" customWidth="1"/>
    <col min="3" max="3" width="2.140625" style="43" customWidth="1"/>
    <col min="4" max="4" width="14.85546875" style="43" hidden="1" customWidth="1" outlineLevel="1"/>
    <col min="5" max="5" width="67.140625" style="43" hidden="1" customWidth="1" outlineLevel="1"/>
    <col min="6" max="6" width="48.140625" style="43" bestFit="1" customWidth="1" collapsed="1"/>
    <col min="7" max="7" width="14.28515625" style="43" bestFit="1" customWidth="1"/>
    <col min="8" max="8" width="10" style="43" bestFit="1" customWidth="1"/>
    <col min="9" max="16384" width="9.140625" style="43"/>
  </cols>
  <sheetData>
    <row r="1" spans="1:5" x14ac:dyDescent="0.25">
      <c r="A1" s="43" t="s">
        <v>21</v>
      </c>
    </row>
    <row r="2" spans="1:5" x14ac:dyDescent="0.25">
      <c r="A2" s="43" t="s">
        <v>22</v>
      </c>
    </row>
    <row r="4" spans="1:5" x14ac:dyDescent="0.25">
      <c r="B4" s="44" t="s">
        <v>19</v>
      </c>
      <c r="E4" s="44" t="s">
        <v>18</v>
      </c>
    </row>
    <row r="5" spans="1:5" x14ac:dyDescent="0.25">
      <c r="A5" s="45" t="s">
        <v>23</v>
      </c>
      <c r="B5" s="46"/>
      <c r="C5" s="47"/>
      <c r="D5" s="45" t="s">
        <v>23</v>
      </c>
    </row>
    <row r="6" spans="1:5" x14ac:dyDescent="0.25">
      <c r="A6" s="43" t="s">
        <v>24</v>
      </c>
      <c r="B6" s="43" t="s">
        <v>25</v>
      </c>
      <c r="D6" s="48" t="s">
        <v>26</v>
      </c>
      <c r="E6" s="48" t="s">
        <v>27</v>
      </c>
    </row>
    <row r="8" spans="1:5" x14ac:dyDescent="0.25">
      <c r="A8" s="45" t="s">
        <v>28</v>
      </c>
      <c r="B8" s="49"/>
      <c r="D8" s="45" t="s">
        <v>28</v>
      </c>
    </row>
    <row r="9" spans="1:5" hidden="1" outlineLevel="1" x14ac:dyDescent="0.25">
      <c r="A9" s="50">
        <v>18238141</v>
      </c>
      <c r="B9" s="48" t="s">
        <v>29</v>
      </c>
      <c r="D9" s="50">
        <v>18238142</v>
      </c>
      <c r="E9" s="48" t="s">
        <v>30</v>
      </c>
    </row>
    <row r="10" spans="1:5" hidden="1" outlineLevel="1" x14ac:dyDescent="0.25">
      <c r="A10" s="50">
        <v>18238151</v>
      </c>
      <c r="B10" s="48" t="s">
        <v>31</v>
      </c>
      <c r="D10" s="50">
        <v>18238152</v>
      </c>
      <c r="E10" s="48" t="s">
        <v>32</v>
      </c>
    </row>
    <row r="11" spans="1:5" hidden="1" outlineLevel="1" x14ac:dyDescent="0.25">
      <c r="A11" s="50">
        <v>18238181</v>
      </c>
      <c r="B11" s="48" t="s">
        <v>33</v>
      </c>
      <c r="D11" s="50">
        <v>18238232</v>
      </c>
      <c r="E11" s="48" t="s">
        <v>34</v>
      </c>
    </row>
    <row r="12" spans="1:5" hidden="1" outlineLevel="1" x14ac:dyDescent="0.25">
      <c r="A12" s="50">
        <v>18238191</v>
      </c>
      <c r="B12" s="48" t="s">
        <v>35</v>
      </c>
      <c r="D12" s="51">
        <v>18237292</v>
      </c>
      <c r="E12" s="43" t="s">
        <v>36</v>
      </c>
    </row>
    <row r="13" spans="1:5" hidden="1" outlineLevel="1" x14ac:dyDescent="0.25">
      <c r="A13" s="51">
        <v>18237201</v>
      </c>
      <c r="B13" s="43" t="s">
        <v>37</v>
      </c>
      <c r="D13" s="51">
        <v>18237302</v>
      </c>
      <c r="E13" s="43" t="s">
        <v>38</v>
      </c>
    </row>
    <row r="14" spans="1:5" hidden="1" outlineLevel="1" x14ac:dyDescent="0.25">
      <c r="A14" s="50">
        <v>18237211</v>
      </c>
      <c r="B14" s="48" t="s">
        <v>39</v>
      </c>
    </row>
    <row r="15" spans="1:5" hidden="1" outlineLevel="1" x14ac:dyDescent="0.25">
      <c r="A15" s="50">
        <v>18237221</v>
      </c>
      <c r="B15" s="43" t="s">
        <v>40</v>
      </c>
    </row>
    <row r="16" spans="1:5" hidden="1" outlineLevel="1" x14ac:dyDescent="0.25">
      <c r="A16" s="50">
        <v>18237161</v>
      </c>
      <c r="B16" s="43" t="s">
        <v>41</v>
      </c>
    </row>
    <row r="17" spans="1:5" hidden="1" outlineLevel="1" x14ac:dyDescent="0.25">
      <c r="A17" s="50"/>
      <c r="B17" s="48"/>
    </row>
    <row r="18" spans="1:5" hidden="1" outlineLevel="1" x14ac:dyDescent="0.25">
      <c r="A18" s="50">
        <v>18238161</v>
      </c>
      <c r="B18" s="48" t="s">
        <v>42</v>
      </c>
      <c r="C18" s="52"/>
      <c r="D18" s="50">
        <v>18238162</v>
      </c>
      <c r="E18" s="48" t="s">
        <v>43</v>
      </c>
    </row>
    <row r="19" spans="1:5" hidden="1" outlineLevel="1" x14ac:dyDescent="0.25">
      <c r="A19" s="50">
        <v>18238171</v>
      </c>
      <c r="B19" s="48" t="s">
        <v>44</v>
      </c>
      <c r="C19" s="52"/>
      <c r="D19" s="50">
        <v>18238172</v>
      </c>
      <c r="E19" s="48" t="s">
        <v>45</v>
      </c>
    </row>
    <row r="20" spans="1:5" hidden="1" outlineLevel="1" x14ac:dyDescent="0.25">
      <c r="A20" s="50">
        <v>18238211</v>
      </c>
      <c r="B20" s="48" t="s">
        <v>46</v>
      </c>
      <c r="C20" s="52"/>
      <c r="D20" s="50">
        <v>18237402</v>
      </c>
      <c r="E20" s="43" t="s">
        <v>47</v>
      </c>
    </row>
    <row r="21" spans="1:5" hidden="1" outlineLevel="1" x14ac:dyDescent="0.25">
      <c r="A21" s="50">
        <v>18238221</v>
      </c>
      <c r="B21" s="48" t="s">
        <v>48</v>
      </c>
      <c r="C21" s="52"/>
      <c r="D21" s="50">
        <v>18237412</v>
      </c>
      <c r="E21" s="43" t="s">
        <v>49</v>
      </c>
    </row>
    <row r="22" spans="1:5" hidden="1" outlineLevel="1" x14ac:dyDescent="0.25">
      <c r="A22" s="51">
        <v>18237311</v>
      </c>
      <c r="B22" s="43" t="s">
        <v>50</v>
      </c>
      <c r="C22" s="52"/>
      <c r="D22" s="52"/>
    </row>
    <row r="23" spans="1:5" hidden="1" outlineLevel="1" x14ac:dyDescent="0.25">
      <c r="A23" s="51">
        <v>18237321</v>
      </c>
      <c r="B23" s="43" t="s">
        <v>51</v>
      </c>
      <c r="C23" s="52"/>
      <c r="D23" s="52"/>
    </row>
    <row r="24" spans="1:5" hidden="1" outlineLevel="1" x14ac:dyDescent="0.25">
      <c r="A24" s="51">
        <v>18237331</v>
      </c>
      <c r="B24" s="43" t="s">
        <v>52</v>
      </c>
      <c r="C24" s="52"/>
      <c r="D24" s="52"/>
    </row>
    <row r="25" spans="1:5" hidden="1" outlineLevel="1" x14ac:dyDescent="0.25">
      <c r="A25" s="51">
        <v>18237401</v>
      </c>
      <c r="B25" s="43" t="s">
        <v>53</v>
      </c>
      <c r="C25" s="52"/>
      <c r="D25" s="52"/>
    </row>
    <row r="26" spans="1:5" hidden="1" outlineLevel="1" x14ac:dyDescent="0.25">
      <c r="C26" s="52"/>
      <c r="D26" s="52"/>
    </row>
    <row r="27" spans="1:5" hidden="1" outlineLevel="1" x14ac:dyDescent="0.25">
      <c r="A27" s="51">
        <v>18237231</v>
      </c>
      <c r="B27" s="43" t="s">
        <v>54</v>
      </c>
      <c r="C27" s="52"/>
      <c r="D27" s="52"/>
    </row>
    <row r="28" spans="1:5" hidden="1" outlineLevel="1" x14ac:dyDescent="0.25">
      <c r="A28" s="51">
        <v>18237241</v>
      </c>
      <c r="B28" s="43" t="s">
        <v>55</v>
      </c>
      <c r="C28" s="52"/>
      <c r="D28" s="52"/>
    </row>
    <row r="29" spans="1:5" hidden="1" outlineLevel="1" x14ac:dyDescent="0.25">
      <c r="A29" s="51">
        <v>18237251</v>
      </c>
      <c r="B29" s="43" t="s">
        <v>56</v>
      </c>
      <c r="C29" s="52"/>
      <c r="D29" s="52"/>
    </row>
    <row r="30" spans="1:5" hidden="1" outlineLevel="1" x14ac:dyDescent="0.25">
      <c r="A30" s="51">
        <v>18237261</v>
      </c>
      <c r="B30" s="43" t="s">
        <v>57</v>
      </c>
      <c r="C30" s="52"/>
      <c r="D30" s="52"/>
    </row>
    <row r="31" spans="1:5" hidden="1" outlineLevel="1" x14ac:dyDescent="0.25">
      <c r="A31" s="51">
        <v>18237271</v>
      </c>
      <c r="B31" s="43" t="s">
        <v>58</v>
      </c>
      <c r="C31" s="52"/>
      <c r="D31" s="52"/>
    </row>
    <row r="32" spans="1:5" hidden="1" outlineLevel="1" x14ac:dyDescent="0.25">
      <c r="A32" s="51">
        <v>18237281</v>
      </c>
      <c r="B32" s="43" t="s">
        <v>59</v>
      </c>
      <c r="C32" s="52"/>
      <c r="D32" s="52"/>
    </row>
    <row r="33" spans="1:5" hidden="1" outlineLevel="1" x14ac:dyDescent="0.25">
      <c r="A33" s="51">
        <v>18237171</v>
      </c>
      <c r="B33" s="43" t="s">
        <v>60</v>
      </c>
      <c r="C33" s="52"/>
      <c r="D33" s="52"/>
    </row>
    <row r="34" spans="1:5" hidden="1" outlineLevel="1" x14ac:dyDescent="0.25">
      <c r="A34" s="51"/>
      <c r="C34" s="52"/>
      <c r="D34" s="52"/>
    </row>
    <row r="35" spans="1:5" hidden="1" outlineLevel="1" x14ac:dyDescent="0.25">
      <c r="A35" s="51">
        <v>18237341</v>
      </c>
      <c r="B35" s="43" t="s">
        <v>61</v>
      </c>
      <c r="C35" s="52"/>
      <c r="D35" s="52"/>
    </row>
    <row r="36" spans="1:5" hidden="1" outlineLevel="1" x14ac:dyDescent="0.25">
      <c r="A36" s="51">
        <v>18237351</v>
      </c>
      <c r="B36" s="43" t="s">
        <v>62</v>
      </c>
      <c r="C36" s="52"/>
      <c r="D36" s="52"/>
    </row>
    <row r="37" spans="1:5" hidden="1" outlineLevel="1" x14ac:dyDescent="0.25">
      <c r="A37" s="51">
        <v>18237361</v>
      </c>
      <c r="B37" s="43" t="s">
        <v>63</v>
      </c>
      <c r="C37" s="52"/>
      <c r="D37" s="52"/>
    </row>
    <row r="38" spans="1:5" hidden="1" outlineLevel="1" x14ac:dyDescent="0.25">
      <c r="A38" s="51">
        <v>18237371</v>
      </c>
      <c r="B38" s="43" t="s">
        <v>64</v>
      </c>
      <c r="C38" s="52"/>
      <c r="D38" s="52"/>
    </row>
    <row r="39" spans="1:5" hidden="1" outlineLevel="1" x14ac:dyDescent="0.25">
      <c r="A39" s="51">
        <v>18237381</v>
      </c>
      <c r="B39" s="43" t="s">
        <v>65</v>
      </c>
      <c r="C39" s="52"/>
      <c r="D39" s="52"/>
    </row>
    <row r="40" spans="1:5" hidden="1" outlineLevel="1" x14ac:dyDescent="0.25">
      <c r="A40" s="51">
        <v>18237391</v>
      </c>
      <c r="B40" s="43" t="s">
        <v>66</v>
      </c>
      <c r="C40" s="52"/>
      <c r="D40" s="52"/>
    </row>
    <row r="41" spans="1:5" hidden="1" outlineLevel="1" x14ac:dyDescent="0.25">
      <c r="A41" s="51">
        <v>18237181</v>
      </c>
      <c r="B41" s="43" t="s">
        <v>67</v>
      </c>
      <c r="C41" s="52"/>
      <c r="D41" s="52"/>
    </row>
    <row r="42" spans="1:5" hidden="1" outlineLevel="1" x14ac:dyDescent="0.25">
      <c r="C42" s="52"/>
      <c r="D42" s="52"/>
    </row>
    <row r="43" spans="1:5" hidden="1" outlineLevel="1" x14ac:dyDescent="0.25">
      <c r="A43" s="50">
        <v>25400341</v>
      </c>
      <c r="B43" s="48" t="s">
        <v>68</v>
      </c>
      <c r="C43" s="52"/>
      <c r="D43" s="50">
        <v>25400342</v>
      </c>
      <c r="E43" s="48" t="s">
        <v>69</v>
      </c>
    </row>
    <row r="44" spans="1:5" hidden="1" outlineLevel="1" x14ac:dyDescent="0.25">
      <c r="A44" s="50">
        <v>25400351</v>
      </c>
      <c r="B44" s="48" t="s">
        <v>70</v>
      </c>
      <c r="C44" s="52"/>
      <c r="D44" s="50">
        <v>25400352</v>
      </c>
      <c r="E44" s="48" t="s">
        <v>71</v>
      </c>
    </row>
    <row r="45" spans="1:5" hidden="1" outlineLevel="1" x14ac:dyDescent="0.25">
      <c r="A45" s="50">
        <v>25400381</v>
      </c>
      <c r="B45" s="48" t="s">
        <v>72</v>
      </c>
      <c r="C45" s="52"/>
      <c r="D45" s="50">
        <v>25400692</v>
      </c>
      <c r="E45" s="43" t="s">
        <v>73</v>
      </c>
    </row>
    <row r="46" spans="1:5" hidden="1" outlineLevel="1" x14ac:dyDescent="0.25">
      <c r="A46" s="50">
        <v>25400391</v>
      </c>
      <c r="B46" s="48" t="s">
        <v>74</v>
      </c>
      <c r="C46" s="52"/>
      <c r="D46" s="50">
        <v>25400702</v>
      </c>
      <c r="E46" s="43" t="s">
        <v>75</v>
      </c>
    </row>
    <row r="47" spans="1:5" hidden="1" outlineLevel="1" x14ac:dyDescent="0.25">
      <c r="A47" s="51">
        <v>25400601</v>
      </c>
      <c r="B47" s="43" t="s">
        <v>76</v>
      </c>
    </row>
    <row r="48" spans="1:5" hidden="1" outlineLevel="1" x14ac:dyDescent="0.25">
      <c r="A48" s="51">
        <v>25400611</v>
      </c>
      <c r="B48" s="43" t="s">
        <v>77</v>
      </c>
    </row>
    <row r="49" spans="1:5" hidden="1" outlineLevel="1" x14ac:dyDescent="0.25">
      <c r="A49" s="51">
        <v>25400621</v>
      </c>
      <c r="B49" s="43" t="s">
        <v>78</v>
      </c>
    </row>
    <row r="50" spans="1:5" hidden="1" outlineLevel="1" x14ac:dyDescent="0.25"/>
    <row r="51" spans="1:5" hidden="1" outlineLevel="1" x14ac:dyDescent="0.25">
      <c r="A51" s="50">
        <v>25400361</v>
      </c>
      <c r="B51" s="48" t="s">
        <v>79</v>
      </c>
      <c r="C51" s="52"/>
      <c r="D51" s="50">
        <v>25400362</v>
      </c>
      <c r="E51" s="48" t="s">
        <v>80</v>
      </c>
    </row>
    <row r="52" spans="1:5" hidden="1" outlineLevel="1" x14ac:dyDescent="0.25">
      <c r="A52" s="50">
        <v>25400371</v>
      </c>
      <c r="B52" s="48" t="s">
        <v>81</v>
      </c>
      <c r="C52" s="52"/>
      <c r="D52" s="50">
        <v>25400372</v>
      </c>
      <c r="E52" s="48" t="s">
        <v>82</v>
      </c>
    </row>
    <row r="53" spans="1:5" hidden="1" outlineLevel="1" x14ac:dyDescent="0.25">
      <c r="A53" s="50">
        <v>25400451</v>
      </c>
      <c r="B53" s="48" t="s">
        <v>83</v>
      </c>
      <c r="C53" s="52"/>
      <c r="D53" s="50">
        <v>25400802</v>
      </c>
      <c r="E53" s="43" t="s">
        <v>84</v>
      </c>
    </row>
    <row r="54" spans="1:5" hidden="1" outlineLevel="1" x14ac:dyDescent="0.25">
      <c r="A54" s="50">
        <v>25400461</v>
      </c>
      <c r="B54" s="48" t="s">
        <v>85</v>
      </c>
      <c r="C54" s="52"/>
      <c r="D54" s="50">
        <v>25400812</v>
      </c>
      <c r="E54" s="43" t="s">
        <v>86</v>
      </c>
    </row>
    <row r="55" spans="1:5" hidden="1" outlineLevel="1" x14ac:dyDescent="0.25">
      <c r="A55" s="51">
        <v>25400711</v>
      </c>
      <c r="B55" s="43" t="s">
        <v>87</v>
      </c>
      <c r="C55" s="52"/>
      <c r="D55" s="52"/>
    </row>
    <row r="56" spans="1:5" hidden="1" outlineLevel="1" x14ac:dyDescent="0.25">
      <c r="A56" s="51">
        <v>25400721</v>
      </c>
      <c r="B56" s="43" t="s">
        <v>88</v>
      </c>
      <c r="C56" s="52"/>
      <c r="D56" s="52"/>
    </row>
    <row r="57" spans="1:5" hidden="1" outlineLevel="1" x14ac:dyDescent="0.25">
      <c r="A57" s="51">
        <v>25400731</v>
      </c>
      <c r="B57" s="43" t="s">
        <v>89</v>
      </c>
      <c r="C57" s="52"/>
      <c r="D57" s="52"/>
    </row>
    <row r="58" spans="1:5" hidden="1" outlineLevel="1" x14ac:dyDescent="0.25">
      <c r="A58" s="51">
        <v>25400691</v>
      </c>
      <c r="B58" s="43" t="s">
        <v>90</v>
      </c>
      <c r="C58" s="52"/>
      <c r="D58" s="52"/>
    </row>
    <row r="59" spans="1:5" hidden="1" outlineLevel="1" x14ac:dyDescent="0.25">
      <c r="C59" s="52"/>
      <c r="D59" s="52"/>
    </row>
    <row r="60" spans="1:5" hidden="1" outlineLevel="1" x14ac:dyDescent="0.25">
      <c r="A60" s="51">
        <v>25400631</v>
      </c>
      <c r="B60" s="43" t="s">
        <v>91</v>
      </c>
      <c r="C60" s="52"/>
      <c r="D60" s="52"/>
    </row>
    <row r="61" spans="1:5" hidden="1" outlineLevel="1" x14ac:dyDescent="0.25">
      <c r="A61" s="51">
        <v>25400641</v>
      </c>
      <c r="B61" s="43" t="s">
        <v>92</v>
      </c>
      <c r="C61" s="52"/>
      <c r="D61" s="52"/>
    </row>
    <row r="62" spans="1:5" hidden="1" outlineLevel="1" x14ac:dyDescent="0.25">
      <c r="A62" s="51">
        <v>25400651</v>
      </c>
      <c r="B62" s="43" t="s">
        <v>93</v>
      </c>
      <c r="C62" s="52"/>
      <c r="D62" s="52"/>
    </row>
    <row r="63" spans="1:5" hidden="1" outlineLevel="1" x14ac:dyDescent="0.25">
      <c r="A63" s="51">
        <v>25400661</v>
      </c>
      <c r="B63" s="43" t="s">
        <v>94</v>
      </c>
      <c r="C63" s="52"/>
      <c r="D63" s="52"/>
    </row>
    <row r="64" spans="1:5" hidden="1" outlineLevel="1" x14ac:dyDescent="0.25">
      <c r="A64" s="51">
        <v>25400671</v>
      </c>
      <c r="B64" s="43" t="s">
        <v>95</v>
      </c>
      <c r="C64" s="52"/>
      <c r="D64" s="52"/>
    </row>
    <row r="65" spans="1:5" hidden="1" outlineLevel="1" x14ac:dyDescent="0.25">
      <c r="A65" s="51">
        <v>25400681</v>
      </c>
      <c r="B65" s="43" t="s">
        <v>96</v>
      </c>
      <c r="C65" s="52"/>
      <c r="D65" s="52"/>
    </row>
    <row r="66" spans="1:5" hidden="1" outlineLevel="1" x14ac:dyDescent="0.25">
      <c r="A66" s="51"/>
      <c r="C66" s="52"/>
      <c r="D66" s="52"/>
    </row>
    <row r="67" spans="1:5" hidden="1" outlineLevel="1" x14ac:dyDescent="0.25">
      <c r="A67" s="51">
        <v>25400741</v>
      </c>
      <c r="B67" s="43" t="s">
        <v>97</v>
      </c>
      <c r="C67" s="52"/>
      <c r="D67" s="52"/>
    </row>
    <row r="68" spans="1:5" hidden="1" outlineLevel="1" x14ac:dyDescent="0.25">
      <c r="A68" s="51">
        <v>25400751</v>
      </c>
      <c r="B68" s="43" t="s">
        <v>98</v>
      </c>
      <c r="C68" s="52"/>
      <c r="D68" s="52"/>
    </row>
    <row r="69" spans="1:5" hidden="1" outlineLevel="1" x14ac:dyDescent="0.25">
      <c r="A69" s="51">
        <v>25400761</v>
      </c>
      <c r="B69" s="43" t="s">
        <v>99</v>
      </c>
      <c r="C69" s="52"/>
      <c r="D69" s="52"/>
    </row>
    <row r="70" spans="1:5" hidden="1" outlineLevel="1" x14ac:dyDescent="0.25">
      <c r="A70" s="51">
        <v>25400771</v>
      </c>
      <c r="B70" s="43" t="s">
        <v>100</v>
      </c>
      <c r="C70" s="52"/>
      <c r="D70" s="52"/>
    </row>
    <row r="71" spans="1:5" hidden="1" outlineLevel="1" x14ac:dyDescent="0.25">
      <c r="A71" s="51">
        <v>25400781</v>
      </c>
      <c r="B71" s="43" t="s">
        <v>101</v>
      </c>
      <c r="C71" s="52"/>
      <c r="D71" s="52"/>
    </row>
    <row r="72" spans="1:5" hidden="1" outlineLevel="1" x14ac:dyDescent="0.25">
      <c r="A72" s="51">
        <v>25400791</v>
      </c>
      <c r="B72" s="43" t="s">
        <v>102</v>
      </c>
      <c r="C72" s="52"/>
      <c r="D72" s="52"/>
    </row>
    <row r="73" spans="1:5" hidden="1" outlineLevel="1" x14ac:dyDescent="0.25">
      <c r="C73" s="52"/>
      <c r="D73" s="52"/>
    </row>
    <row r="74" spans="1:5" hidden="1" outlineLevel="1" x14ac:dyDescent="0.25">
      <c r="A74" s="50">
        <v>18239081</v>
      </c>
      <c r="B74" s="48" t="s">
        <v>103</v>
      </c>
      <c r="D74" s="50">
        <v>18239082</v>
      </c>
      <c r="E74" s="48" t="s">
        <v>104</v>
      </c>
    </row>
    <row r="75" spans="1:5" hidden="1" outlineLevel="1" x14ac:dyDescent="0.25">
      <c r="A75" s="50">
        <v>18239091</v>
      </c>
      <c r="B75" s="48" t="s">
        <v>105</v>
      </c>
      <c r="D75" s="50">
        <v>18239092</v>
      </c>
      <c r="E75" s="48" t="s">
        <v>106</v>
      </c>
    </row>
    <row r="76" spans="1:5" hidden="1" outlineLevel="1" x14ac:dyDescent="0.25">
      <c r="A76" s="50">
        <v>18239101</v>
      </c>
      <c r="B76" s="48" t="s">
        <v>107</v>
      </c>
      <c r="D76" s="51">
        <v>18237502</v>
      </c>
      <c r="E76" s="43" t="s">
        <v>108</v>
      </c>
    </row>
    <row r="77" spans="1:5" hidden="1" outlineLevel="1" x14ac:dyDescent="0.25">
      <c r="A77" s="50">
        <v>18239111</v>
      </c>
      <c r="B77" s="48" t="s">
        <v>109</v>
      </c>
      <c r="D77" s="51">
        <v>18237512</v>
      </c>
      <c r="E77" s="43" t="s">
        <v>110</v>
      </c>
    </row>
    <row r="78" spans="1:5" hidden="1" outlineLevel="1" x14ac:dyDescent="0.25">
      <c r="A78" s="51">
        <v>18237421</v>
      </c>
      <c r="B78" s="43" t="s">
        <v>111</v>
      </c>
    </row>
    <row r="79" spans="1:5" hidden="1" outlineLevel="1" x14ac:dyDescent="0.25">
      <c r="A79" s="51">
        <v>18237431</v>
      </c>
      <c r="B79" s="43" t="s">
        <v>112</v>
      </c>
    </row>
    <row r="80" spans="1:5" hidden="1" outlineLevel="1" x14ac:dyDescent="0.25">
      <c r="A80" s="51">
        <v>18237441</v>
      </c>
      <c r="B80" s="43" t="s">
        <v>113</v>
      </c>
    </row>
    <row r="81" spans="1:7" hidden="1" outlineLevel="1" x14ac:dyDescent="0.25">
      <c r="A81" s="51">
        <v>18237411</v>
      </c>
      <c r="B81" s="43" t="s">
        <v>114</v>
      </c>
    </row>
    <row r="82" spans="1:7" hidden="1" outlineLevel="1" x14ac:dyDescent="0.25"/>
    <row r="83" spans="1:7" hidden="1" outlineLevel="1" x14ac:dyDescent="0.25">
      <c r="A83" s="51">
        <v>18237451</v>
      </c>
      <c r="B83" s="43" t="s">
        <v>115</v>
      </c>
    </row>
    <row r="84" spans="1:7" hidden="1" outlineLevel="1" x14ac:dyDescent="0.25">
      <c r="A84" s="51">
        <v>18237461</v>
      </c>
      <c r="B84" s="43" t="s">
        <v>116</v>
      </c>
    </row>
    <row r="85" spans="1:7" hidden="1" outlineLevel="1" x14ac:dyDescent="0.25">
      <c r="A85" s="51">
        <v>18237471</v>
      </c>
      <c r="B85" s="43" t="s">
        <v>117</v>
      </c>
    </row>
    <row r="86" spans="1:7" hidden="1" outlineLevel="1" x14ac:dyDescent="0.25">
      <c r="A86" s="51">
        <v>18237481</v>
      </c>
      <c r="B86" s="43" t="s">
        <v>118</v>
      </c>
    </row>
    <row r="87" spans="1:7" hidden="1" outlineLevel="1" x14ac:dyDescent="0.25">
      <c r="A87" s="51">
        <v>18237491</v>
      </c>
      <c r="B87" s="43" t="s">
        <v>119</v>
      </c>
    </row>
    <row r="88" spans="1:7" hidden="1" outlineLevel="1" x14ac:dyDescent="0.25">
      <c r="A88" s="51">
        <v>18237501</v>
      </c>
      <c r="B88" s="43" t="s">
        <v>120</v>
      </c>
    </row>
    <row r="89" spans="1:7" hidden="1" outlineLevel="1" x14ac:dyDescent="0.25">
      <c r="A89" s="51">
        <v>18237191</v>
      </c>
      <c r="B89" s="43" t="s">
        <v>121</v>
      </c>
    </row>
    <row r="90" spans="1:7" collapsed="1" x14ac:dyDescent="0.25"/>
    <row r="91" spans="1:7" x14ac:dyDescent="0.25">
      <c r="A91" s="50">
        <v>25400411</v>
      </c>
      <c r="B91" s="48" t="s">
        <v>122</v>
      </c>
      <c r="D91" s="50">
        <v>25400412</v>
      </c>
      <c r="E91" s="48" t="s">
        <v>123</v>
      </c>
    </row>
    <row r="92" spans="1:7" x14ac:dyDescent="0.25">
      <c r="A92" s="50">
        <v>25400421</v>
      </c>
      <c r="B92" s="48" t="s">
        <v>124</v>
      </c>
      <c r="D92" s="50">
        <v>25400422</v>
      </c>
      <c r="E92" s="48" t="s">
        <v>125</v>
      </c>
    </row>
    <row r="93" spans="1:7" x14ac:dyDescent="0.25">
      <c r="A93" s="50">
        <v>25400471</v>
      </c>
      <c r="B93" s="48" t="s">
        <v>126</v>
      </c>
      <c r="D93" s="51">
        <v>25400902</v>
      </c>
      <c r="E93" s="43" t="s">
        <v>127</v>
      </c>
    </row>
    <row r="94" spans="1:7" x14ac:dyDescent="0.25">
      <c r="A94" s="50">
        <v>25400481</v>
      </c>
      <c r="B94" s="48" t="s">
        <v>128</v>
      </c>
      <c r="D94" s="51">
        <v>25400912</v>
      </c>
      <c r="E94" s="43" t="s">
        <v>129</v>
      </c>
    </row>
    <row r="95" spans="1:7" ht="15.75" thickBot="1" x14ac:dyDescent="0.3">
      <c r="A95" s="51">
        <v>25400821</v>
      </c>
      <c r="B95" s="43" t="s">
        <v>130</v>
      </c>
    </row>
    <row r="96" spans="1:7" x14ac:dyDescent="0.25">
      <c r="A96" s="51">
        <v>25400831</v>
      </c>
      <c r="B96" s="43" t="s">
        <v>131</v>
      </c>
      <c r="F96" s="56" t="s">
        <v>215</v>
      </c>
      <c r="G96" s="57"/>
    </row>
    <row r="97" spans="1:7" x14ac:dyDescent="0.25">
      <c r="A97" s="51">
        <v>25400841</v>
      </c>
      <c r="B97" s="43" t="s">
        <v>132</v>
      </c>
      <c r="F97" s="58"/>
      <c r="G97" s="59"/>
    </row>
    <row r="98" spans="1:7" x14ac:dyDescent="0.25">
      <c r="A98" s="51">
        <v>25400911</v>
      </c>
      <c r="B98" s="43" t="s">
        <v>133</v>
      </c>
      <c r="F98" s="58"/>
      <c r="G98" s="59"/>
    </row>
    <row r="99" spans="1:7" x14ac:dyDescent="0.25">
      <c r="F99" s="58"/>
      <c r="G99" s="59"/>
    </row>
    <row r="100" spans="1:7" x14ac:dyDescent="0.25">
      <c r="A100" s="51">
        <v>25400851</v>
      </c>
      <c r="B100" s="43" t="s">
        <v>134</v>
      </c>
      <c r="F100" s="58"/>
      <c r="G100" s="59"/>
    </row>
    <row r="101" spans="1:7" x14ac:dyDescent="0.25">
      <c r="A101" s="51">
        <v>25400861</v>
      </c>
      <c r="B101" s="43" t="s">
        <v>135</v>
      </c>
      <c r="F101" s="58"/>
      <c r="G101" s="59"/>
    </row>
    <row r="102" spans="1:7" x14ac:dyDescent="0.25">
      <c r="A102" s="51">
        <v>25400871</v>
      </c>
      <c r="B102" s="43" t="s">
        <v>136</v>
      </c>
      <c r="F102" s="58"/>
      <c r="G102" s="59"/>
    </row>
    <row r="103" spans="1:7" x14ac:dyDescent="0.25">
      <c r="A103" s="51">
        <v>25400881</v>
      </c>
      <c r="B103" s="43" t="s">
        <v>137</v>
      </c>
      <c r="F103" s="58"/>
      <c r="G103" s="59"/>
    </row>
    <row r="104" spans="1:7" x14ac:dyDescent="0.25">
      <c r="A104" s="51">
        <v>25400891</v>
      </c>
      <c r="B104" s="43" t="s">
        <v>138</v>
      </c>
      <c r="F104" s="58"/>
      <c r="G104" s="59"/>
    </row>
    <row r="105" spans="1:7" x14ac:dyDescent="0.25">
      <c r="A105" s="51">
        <v>25400901</v>
      </c>
      <c r="B105" s="43" t="s">
        <v>139</v>
      </c>
      <c r="F105" s="58"/>
      <c r="G105" s="59"/>
    </row>
    <row r="106" spans="1:7" x14ac:dyDescent="0.25">
      <c r="F106" s="58"/>
      <c r="G106" s="59"/>
    </row>
    <row r="107" spans="1:7" x14ac:dyDescent="0.25">
      <c r="A107" s="45" t="s">
        <v>140</v>
      </c>
      <c r="B107" s="49"/>
      <c r="D107" s="45" t="s">
        <v>140</v>
      </c>
      <c r="F107" s="58" t="s">
        <v>140</v>
      </c>
      <c r="G107" s="59" t="s">
        <v>238</v>
      </c>
    </row>
    <row r="108" spans="1:7" x14ac:dyDescent="0.25">
      <c r="A108" s="53">
        <v>45600321</v>
      </c>
      <c r="B108" s="54" t="s">
        <v>141</v>
      </c>
      <c r="D108" s="53">
        <v>49500102</v>
      </c>
      <c r="E108" s="54" t="s">
        <v>142</v>
      </c>
      <c r="F108" s="58" t="s">
        <v>216</v>
      </c>
      <c r="G108" s="60">
        <v>11906261.529999999</v>
      </c>
    </row>
    <row r="109" spans="1:7" x14ac:dyDescent="0.25">
      <c r="A109" s="53">
        <v>45600331</v>
      </c>
      <c r="B109" s="54" t="s">
        <v>143</v>
      </c>
      <c r="D109" s="53">
        <v>49500112</v>
      </c>
      <c r="E109" s="54" t="s">
        <v>144</v>
      </c>
      <c r="F109" s="58" t="s">
        <v>217</v>
      </c>
      <c r="G109" s="60">
        <v>-4185120.37</v>
      </c>
    </row>
    <row r="110" spans="1:7" x14ac:dyDescent="0.25">
      <c r="A110" s="53">
        <v>45600325</v>
      </c>
      <c r="B110" s="54" t="s">
        <v>145</v>
      </c>
      <c r="D110" s="53">
        <v>49500063</v>
      </c>
      <c r="E110" s="55" t="s">
        <v>146</v>
      </c>
      <c r="F110" s="58" t="s">
        <v>218</v>
      </c>
      <c r="G110" s="60">
        <v>-1710595.82</v>
      </c>
    </row>
    <row r="111" spans="1:7" x14ac:dyDescent="0.25">
      <c r="A111" s="53">
        <v>45600326</v>
      </c>
      <c r="B111" s="54" t="s">
        <v>147</v>
      </c>
      <c r="D111" s="53">
        <v>49500064</v>
      </c>
      <c r="E111" s="55" t="s">
        <v>148</v>
      </c>
      <c r="F111" s="58" t="s">
        <v>219</v>
      </c>
      <c r="G111" s="60">
        <v>-742116.39</v>
      </c>
    </row>
    <row r="112" spans="1:7" x14ac:dyDescent="0.25">
      <c r="A112" s="53">
        <v>45600102</v>
      </c>
      <c r="B112" s="54" t="s">
        <v>149</v>
      </c>
      <c r="F112" s="58" t="s">
        <v>220</v>
      </c>
      <c r="G112" s="60">
        <v>-2084821.08</v>
      </c>
    </row>
    <row r="113" spans="1:7" x14ac:dyDescent="0.25">
      <c r="A113" s="53">
        <v>45600103</v>
      </c>
      <c r="B113" s="54" t="s">
        <v>150</v>
      </c>
      <c r="F113" s="58" t="s">
        <v>221</v>
      </c>
      <c r="G113" s="60">
        <v>477465.61</v>
      </c>
    </row>
    <row r="114" spans="1:7" x14ac:dyDescent="0.25">
      <c r="A114" s="53">
        <v>45600104</v>
      </c>
      <c r="B114" s="54" t="s">
        <v>151</v>
      </c>
      <c r="F114" s="58" t="s">
        <v>222</v>
      </c>
      <c r="G114" s="60">
        <v>-914684.04</v>
      </c>
    </row>
    <row r="115" spans="1:7" x14ac:dyDescent="0.25">
      <c r="F115" s="58" t="s">
        <v>223</v>
      </c>
      <c r="G115" s="60">
        <v>2332894.9300000002</v>
      </c>
    </row>
    <row r="116" spans="1:7" x14ac:dyDescent="0.25">
      <c r="A116" s="53">
        <v>45600105</v>
      </c>
      <c r="B116" s="55" t="s">
        <v>152</v>
      </c>
      <c r="F116" s="58" t="s">
        <v>224</v>
      </c>
      <c r="G116" s="60">
        <v>-764771.32</v>
      </c>
    </row>
    <row r="117" spans="1:7" x14ac:dyDescent="0.25">
      <c r="A117" s="53">
        <v>45600106</v>
      </c>
      <c r="B117" s="55" t="s">
        <v>153</v>
      </c>
      <c r="F117" s="58" t="s">
        <v>225</v>
      </c>
      <c r="G117" s="60">
        <v>2566226.2000000002</v>
      </c>
    </row>
    <row r="118" spans="1:7" x14ac:dyDescent="0.25">
      <c r="A118" s="53">
        <v>45600107</v>
      </c>
      <c r="B118" s="55" t="s">
        <v>154</v>
      </c>
      <c r="F118" s="58" t="s">
        <v>226</v>
      </c>
      <c r="G118" s="60">
        <v>-1372115.8</v>
      </c>
    </row>
    <row r="119" spans="1:7" x14ac:dyDescent="0.25">
      <c r="A119" s="53">
        <v>45600108</v>
      </c>
      <c r="B119" s="55" t="s">
        <v>155</v>
      </c>
      <c r="F119" s="58" t="s">
        <v>228</v>
      </c>
      <c r="G119" s="60">
        <v>-90075.96</v>
      </c>
    </row>
    <row r="120" spans="1:7" x14ac:dyDescent="0.25">
      <c r="A120" s="53">
        <v>45600109</v>
      </c>
      <c r="B120" s="55" t="s">
        <v>156</v>
      </c>
      <c r="F120" s="58" t="s">
        <v>229</v>
      </c>
      <c r="G120" s="60">
        <v>869932.4</v>
      </c>
    </row>
    <row r="121" spans="1:7" x14ac:dyDescent="0.25">
      <c r="A121" s="53">
        <v>45600110</v>
      </c>
      <c r="B121" s="55" t="s">
        <v>157</v>
      </c>
      <c r="F121" s="58" t="s">
        <v>227</v>
      </c>
      <c r="G121" s="60">
        <v>6288479.8899999997</v>
      </c>
    </row>
    <row r="122" spans="1:7" ht="15.75" thickBot="1" x14ac:dyDescent="0.3">
      <c r="F122" s="61" t="s">
        <v>5</v>
      </c>
      <c r="G122" s="62">
        <v>6288479.8899999997</v>
      </c>
    </row>
    <row r="123" spans="1:7" x14ac:dyDescent="0.25">
      <c r="A123" s="50">
        <v>41900081</v>
      </c>
      <c r="B123" s="48" t="s">
        <v>158</v>
      </c>
      <c r="D123" s="50">
        <v>41900083</v>
      </c>
      <c r="E123" s="48" t="s">
        <v>159</v>
      </c>
      <c r="F123" s="43" t="s">
        <v>460</v>
      </c>
      <c r="G123" s="63">
        <f>SUM(G115:G120)</f>
        <v>3542090.4500000007</v>
      </c>
    </row>
    <row r="124" spans="1:7" x14ac:dyDescent="0.25">
      <c r="A124" s="50">
        <v>41900082</v>
      </c>
      <c r="B124" s="48" t="s">
        <v>160</v>
      </c>
      <c r="D124" s="50">
        <v>41900084</v>
      </c>
      <c r="E124" s="48" t="s">
        <v>161</v>
      </c>
      <c r="F124" s="48" t="s">
        <v>461</v>
      </c>
      <c r="G124" s="63">
        <f>SUM(G108:G114)</f>
        <v>2746389.439999999</v>
      </c>
    </row>
    <row r="125" spans="1:7" ht="15.75" thickBot="1" x14ac:dyDescent="0.3">
      <c r="A125" s="50">
        <v>41900065</v>
      </c>
      <c r="B125" s="48" t="s">
        <v>162</v>
      </c>
      <c r="D125" s="50">
        <v>41900067</v>
      </c>
      <c r="E125" s="43" t="s">
        <v>163</v>
      </c>
    </row>
    <row r="126" spans="1:7" ht="15.75" thickBot="1" x14ac:dyDescent="0.3">
      <c r="A126" s="50">
        <v>41900066</v>
      </c>
      <c r="B126" s="48" t="s">
        <v>164</v>
      </c>
      <c r="D126" s="50">
        <v>41900068</v>
      </c>
      <c r="E126" s="43" t="s">
        <v>165</v>
      </c>
      <c r="F126" s="77" t="s">
        <v>233</v>
      </c>
      <c r="G126" s="78">
        <v>24054569</v>
      </c>
    </row>
    <row r="127" spans="1:7" x14ac:dyDescent="0.25">
      <c r="A127" s="50">
        <v>41900052</v>
      </c>
      <c r="B127" s="48" t="s">
        <v>166</v>
      </c>
    </row>
    <row r="128" spans="1:7" x14ac:dyDescent="0.25">
      <c r="A128" s="50">
        <v>41900053</v>
      </c>
      <c r="B128" s="48" t="s">
        <v>167</v>
      </c>
    </row>
    <row r="129" spans="1:5" x14ac:dyDescent="0.25">
      <c r="A129" s="50">
        <v>41900054</v>
      </c>
      <c r="B129" s="48" t="s">
        <v>168</v>
      </c>
    </row>
    <row r="130" spans="1:5" x14ac:dyDescent="0.25">
      <c r="A130" s="50">
        <v>41900063</v>
      </c>
      <c r="B130" s="48" t="s">
        <v>169</v>
      </c>
    </row>
    <row r="132" spans="1:5" hidden="1" outlineLevel="1" x14ac:dyDescent="0.25">
      <c r="A132" s="50">
        <v>41900055</v>
      </c>
      <c r="B132" s="43" t="s">
        <v>170</v>
      </c>
    </row>
    <row r="133" spans="1:5" hidden="1" outlineLevel="1" x14ac:dyDescent="0.25">
      <c r="A133" s="50">
        <v>41900056</v>
      </c>
      <c r="B133" s="43" t="s">
        <v>171</v>
      </c>
    </row>
    <row r="134" spans="1:5" hidden="1" outlineLevel="1" x14ac:dyDescent="0.25">
      <c r="A134" s="50">
        <v>41900057</v>
      </c>
      <c r="B134" s="43" t="s">
        <v>172</v>
      </c>
    </row>
    <row r="135" spans="1:5" hidden="1" outlineLevel="1" x14ac:dyDescent="0.25">
      <c r="A135" s="50">
        <v>41900058</v>
      </c>
      <c r="B135" s="43" t="s">
        <v>173</v>
      </c>
    </row>
    <row r="136" spans="1:5" hidden="1" outlineLevel="1" x14ac:dyDescent="0.25">
      <c r="A136" s="50">
        <v>41900059</v>
      </c>
      <c r="B136" s="43" t="s">
        <v>174</v>
      </c>
    </row>
    <row r="137" spans="1:5" hidden="1" outlineLevel="1" x14ac:dyDescent="0.25">
      <c r="A137" s="50">
        <v>41900060</v>
      </c>
      <c r="B137" s="43" t="s">
        <v>175</v>
      </c>
    </row>
    <row r="138" spans="1:5" hidden="1" outlineLevel="1" x14ac:dyDescent="0.25">
      <c r="A138" s="50">
        <v>41900069</v>
      </c>
      <c r="B138" s="43" t="s">
        <v>176</v>
      </c>
    </row>
    <row r="139" spans="1:5" hidden="1" outlineLevel="1" x14ac:dyDescent="0.25"/>
    <row r="140" spans="1:5" hidden="1" outlineLevel="1" x14ac:dyDescent="0.25">
      <c r="A140" s="50">
        <v>43100201</v>
      </c>
      <c r="B140" s="48" t="s">
        <v>177</v>
      </c>
      <c r="D140" s="50">
        <v>43100412</v>
      </c>
      <c r="E140" s="48" t="s">
        <v>178</v>
      </c>
    </row>
    <row r="141" spans="1:5" hidden="1" outlineLevel="1" x14ac:dyDescent="0.25">
      <c r="A141" s="50">
        <v>43100211</v>
      </c>
      <c r="B141" s="48" t="s">
        <v>179</v>
      </c>
      <c r="D141" s="50">
        <v>43100422</v>
      </c>
      <c r="E141" s="48" t="s">
        <v>180</v>
      </c>
    </row>
    <row r="142" spans="1:5" hidden="1" outlineLevel="1" x14ac:dyDescent="0.25">
      <c r="A142" s="50">
        <v>43100215</v>
      </c>
      <c r="B142" s="48" t="s">
        <v>181</v>
      </c>
      <c r="D142" s="50">
        <v>43100323</v>
      </c>
      <c r="E142" s="43" t="s">
        <v>182</v>
      </c>
    </row>
    <row r="143" spans="1:5" hidden="1" outlineLevel="1" x14ac:dyDescent="0.25">
      <c r="A143" s="50">
        <v>43100216</v>
      </c>
      <c r="B143" s="48" t="s">
        <v>183</v>
      </c>
      <c r="D143" s="50">
        <v>43100324</v>
      </c>
      <c r="E143" s="43" t="s">
        <v>184</v>
      </c>
    </row>
    <row r="144" spans="1:5" hidden="1" outlineLevel="1" x14ac:dyDescent="0.25">
      <c r="A144" s="50">
        <v>43100220</v>
      </c>
      <c r="B144" s="48" t="s">
        <v>185</v>
      </c>
    </row>
    <row r="145" spans="1:5" hidden="1" outlineLevel="1" x14ac:dyDescent="0.25">
      <c r="A145" s="50">
        <v>43100222</v>
      </c>
      <c r="B145" s="48" t="s">
        <v>186</v>
      </c>
    </row>
    <row r="146" spans="1:5" hidden="1" outlineLevel="1" x14ac:dyDescent="0.25">
      <c r="A146" s="50">
        <v>43100223</v>
      </c>
      <c r="B146" s="48" t="s">
        <v>187</v>
      </c>
    </row>
    <row r="147" spans="1:5" hidden="1" outlineLevel="1" x14ac:dyDescent="0.25">
      <c r="A147" s="50">
        <v>43100230</v>
      </c>
      <c r="B147" s="48" t="s">
        <v>188</v>
      </c>
    </row>
    <row r="148" spans="1:5" hidden="1" outlineLevel="1" x14ac:dyDescent="0.25">
      <c r="B148" s="48"/>
    </row>
    <row r="149" spans="1:5" hidden="1" outlineLevel="1" x14ac:dyDescent="0.25">
      <c r="A149" s="50">
        <v>43100224</v>
      </c>
      <c r="B149" s="48" t="s">
        <v>189</v>
      </c>
    </row>
    <row r="150" spans="1:5" hidden="1" outlineLevel="1" x14ac:dyDescent="0.25">
      <c r="A150" s="50">
        <v>43100225</v>
      </c>
      <c r="B150" s="48" t="s">
        <v>190</v>
      </c>
    </row>
    <row r="151" spans="1:5" hidden="1" outlineLevel="1" x14ac:dyDescent="0.25">
      <c r="A151" s="50">
        <v>43100226</v>
      </c>
      <c r="B151" s="48" t="s">
        <v>191</v>
      </c>
    </row>
    <row r="152" spans="1:5" hidden="1" outlineLevel="1" x14ac:dyDescent="0.25">
      <c r="A152" s="50">
        <v>43100227</v>
      </c>
      <c r="B152" s="48" t="s">
        <v>192</v>
      </c>
    </row>
    <row r="153" spans="1:5" hidden="1" outlineLevel="1" x14ac:dyDescent="0.25">
      <c r="A153" s="50">
        <v>43100228</v>
      </c>
      <c r="B153" s="48" t="s">
        <v>193</v>
      </c>
    </row>
    <row r="154" spans="1:5" hidden="1" outlineLevel="1" x14ac:dyDescent="0.25">
      <c r="A154" s="50">
        <v>43100229</v>
      </c>
      <c r="B154" s="48" t="s">
        <v>194</v>
      </c>
    </row>
    <row r="155" spans="1:5" hidden="1" outlineLevel="1" x14ac:dyDescent="0.25">
      <c r="A155" s="50">
        <v>43100219</v>
      </c>
      <c r="B155" s="48" t="s">
        <v>195</v>
      </c>
    </row>
    <row r="156" spans="1:5" hidden="1" outlineLevel="1" x14ac:dyDescent="0.25">
      <c r="A156" s="50"/>
      <c r="B156" s="48"/>
    </row>
    <row r="157" spans="1:5" hidden="1" outlineLevel="1" x14ac:dyDescent="0.25">
      <c r="A157" s="50">
        <v>45600361</v>
      </c>
      <c r="B157" s="48" t="s">
        <v>196</v>
      </c>
      <c r="D157" s="50">
        <v>49500122</v>
      </c>
      <c r="E157" s="48" t="s">
        <v>197</v>
      </c>
    </row>
    <row r="158" spans="1:5" hidden="1" outlineLevel="1" x14ac:dyDescent="0.25">
      <c r="A158" s="50">
        <v>45600371</v>
      </c>
      <c r="B158" s="48" t="s">
        <v>198</v>
      </c>
      <c r="D158" s="50">
        <v>49500132</v>
      </c>
      <c r="E158" s="48" t="s">
        <v>199</v>
      </c>
    </row>
    <row r="159" spans="1:5" hidden="1" outlineLevel="1" x14ac:dyDescent="0.25">
      <c r="A159" s="50">
        <v>45600335</v>
      </c>
      <c r="B159" s="48" t="s">
        <v>200</v>
      </c>
      <c r="D159" s="50">
        <v>49500066</v>
      </c>
      <c r="E159" s="43" t="s">
        <v>201</v>
      </c>
    </row>
    <row r="160" spans="1:5" hidden="1" outlineLevel="1" x14ac:dyDescent="0.25">
      <c r="A160" s="50">
        <v>45600336</v>
      </c>
      <c r="B160" s="48" t="s">
        <v>202</v>
      </c>
      <c r="D160" s="50">
        <v>49500067</v>
      </c>
      <c r="E160" s="43" t="s">
        <v>203</v>
      </c>
    </row>
    <row r="161" spans="1:2" hidden="1" outlineLevel="1" x14ac:dyDescent="0.25">
      <c r="A161" s="50">
        <v>45600139</v>
      </c>
      <c r="B161" s="48" t="s">
        <v>204</v>
      </c>
    </row>
    <row r="162" spans="1:2" hidden="1" outlineLevel="1" x14ac:dyDescent="0.25">
      <c r="A162" s="50">
        <v>45600141</v>
      </c>
      <c r="B162" s="48" t="s">
        <v>205</v>
      </c>
    </row>
    <row r="163" spans="1:2" hidden="1" outlineLevel="1" x14ac:dyDescent="0.25">
      <c r="A163" s="50">
        <v>45600142</v>
      </c>
      <c r="B163" s="48" t="s">
        <v>206</v>
      </c>
    </row>
    <row r="164" spans="1:2" hidden="1" outlineLevel="1" x14ac:dyDescent="0.25">
      <c r="A164" s="50">
        <v>45600149</v>
      </c>
      <c r="B164" s="48" t="s">
        <v>207</v>
      </c>
    </row>
    <row r="165" spans="1:2" hidden="1" outlineLevel="1" x14ac:dyDescent="0.25"/>
    <row r="166" spans="1:2" hidden="1" outlineLevel="1" x14ac:dyDescent="0.25">
      <c r="A166" s="50">
        <v>45600143</v>
      </c>
      <c r="B166" s="43" t="s">
        <v>208</v>
      </c>
    </row>
    <row r="167" spans="1:2" hidden="1" outlineLevel="1" x14ac:dyDescent="0.25">
      <c r="A167" s="50">
        <v>45600144</v>
      </c>
      <c r="B167" s="43" t="s">
        <v>209</v>
      </c>
    </row>
    <row r="168" spans="1:2" hidden="1" outlineLevel="1" x14ac:dyDescent="0.25">
      <c r="A168" s="50">
        <v>45600145</v>
      </c>
      <c r="B168" s="43" t="s">
        <v>210</v>
      </c>
    </row>
    <row r="169" spans="1:2" hidden="1" outlineLevel="1" x14ac:dyDescent="0.25">
      <c r="A169" s="50">
        <v>45600146</v>
      </c>
      <c r="B169" s="43" t="s">
        <v>211</v>
      </c>
    </row>
    <row r="170" spans="1:2" hidden="1" outlineLevel="1" x14ac:dyDescent="0.25">
      <c r="A170" s="50">
        <v>45600147</v>
      </c>
      <c r="B170" s="43" t="s">
        <v>212</v>
      </c>
    </row>
    <row r="171" spans="1:2" hidden="1" outlineLevel="1" x14ac:dyDescent="0.25">
      <c r="A171" s="50">
        <v>45600148</v>
      </c>
      <c r="B171" s="43" t="s">
        <v>213</v>
      </c>
    </row>
    <row r="172" spans="1:2" hidden="1" outlineLevel="1" x14ac:dyDescent="0.25">
      <c r="A172" s="50">
        <v>45600151</v>
      </c>
      <c r="B172" s="43" t="s">
        <v>214</v>
      </c>
    </row>
    <row r="173" spans="1:2" collapsed="1" x14ac:dyDescent="0.25"/>
  </sheetData>
  <pageMargins left="0.7" right="0.7" top="0.5" bottom="0.5" header="0.3" footer="0.3"/>
  <pageSetup scale="78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10" workbookViewId="0">
      <selection activeCell="B22" sqref="B22"/>
    </sheetView>
  </sheetViews>
  <sheetFormatPr defaultRowHeight="15" x14ac:dyDescent="0.25"/>
  <cols>
    <col min="1" max="1" width="48.85546875" style="70" bestFit="1" customWidth="1"/>
    <col min="2" max="2" width="21" style="70" customWidth="1"/>
    <col min="3" max="6" width="9.140625" style="70"/>
    <col min="7" max="7" width="11.28515625" style="70" bestFit="1" customWidth="1"/>
    <col min="8" max="16384" width="9.140625" style="70"/>
  </cols>
  <sheetData>
    <row r="1" spans="1:2" x14ac:dyDescent="0.25">
      <c r="A1" s="70" t="s">
        <v>215</v>
      </c>
    </row>
    <row r="4" spans="1:2" x14ac:dyDescent="0.25">
      <c r="A4" s="70" t="s">
        <v>140</v>
      </c>
      <c r="B4" s="70" t="s">
        <v>238</v>
      </c>
    </row>
    <row r="5" spans="1:2" x14ac:dyDescent="0.25">
      <c r="A5" s="70" t="s">
        <v>239</v>
      </c>
      <c r="B5" s="71">
        <v>-15707.14</v>
      </c>
    </row>
    <row r="6" spans="1:2" x14ac:dyDescent="0.25">
      <c r="A6" s="70" t="s">
        <v>240</v>
      </c>
      <c r="B6" s="71">
        <v>-6992733.8899999997</v>
      </c>
    </row>
    <row r="7" spans="1:2" x14ac:dyDescent="0.25">
      <c r="A7" s="70" t="s">
        <v>241</v>
      </c>
      <c r="B7" s="71">
        <v>-332297.28000000003</v>
      </c>
    </row>
    <row r="8" spans="1:2" x14ac:dyDescent="0.25">
      <c r="A8" s="70" t="s">
        <v>242</v>
      </c>
      <c r="B8" s="71">
        <v>-4575.96</v>
      </c>
    </row>
    <row r="9" spans="1:2" x14ac:dyDescent="0.25">
      <c r="A9" s="70" t="s">
        <v>243</v>
      </c>
      <c r="B9" s="71">
        <v>-102773.83</v>
      </c>
    </row>
    <row r="10" spans="1:2" x14ac:dyDescent="0.25">
      <c r="A10" s="70" t="s">
        <v>244</v>
      </c>
      <c r="B10" s="71">
        <v>0</v>
      </c>
    </row>
    <row r="11" spans="1:2" x14ac:dyDescent="0.25">
      <c r="A11" s="70" t="s">
        <v>245</v>
      </c>
      <c r="B11" s="71">
        <v>-505885.18</v>
      </c>
    </row>
    <row r="12" spans="1:2" x14ac:dyDescent="0.25">
      <c r="A12" s="70" t="s">
        <v>246</v>
      </c>
      <c r="B12" s="71">
        <v>-75199.59</v>
      </c>
    </row>
    <row r="13" spans="1:2" x14ac:dyDescent="0.25">
      <c r="A13" s="70" t="s">
        <v>247</v>
      </c>
      <c r="B13" s="71">
        <v>-57216.75</v>
      </c>
    </row>
    <row r="14" spans="1:2" x14ac:dyDescent="0.25">
      <c r="A14" s="70" t="s">
        <v>248</v>
      </c>
      <c r="B14" s="71">
        <v>-6407.75</v>
      </c>
    </row>
    <row r="15" spans="1:2" x14ac:dyDescent="0.25">
      <c r="A15" s="70" t="s">
        <v>249</v>
      </c>
      <c r="B15" s="71">
        <v>-3049.2</v>
      </c>
    </row>
    <row r="16" spans="1:2" x14ac:dyDescent="0.25">
      <c r="A16" s="70" t="s">
        <v>250</v>
      </c>
      <c r="B16" s="71">
        <v>-77737.64</v>
      </c>
    </row>
    <row r="17" spans="1:7" x14ac:dyDescent="0.25">
      <c r="A17" s="70" t="s">
        <v>251</v>
      </c>
      <c r="B17" s="71">
        <v>-278926.12</v>
      </c>
    </row>
    <row r="18" spans="1:7" x14ac:dyDescent="0.25">
      <c r="A18" s="70" t="s">
        <v>252</v>
      </c>
      <c r="B18" s="71">
        <v>-84896.58</v>
      </c>
    </row>
    <row r="19" spans="1:7" x14ac:dyDescent="0.25">
      <c r="A19" s="70" t="s">
        <v>253</v>
      </c>
      <c r="B19" s="71">
        <v>-271390.96000000002</v>
      </c>
    </row>
    <row r="20" spans="1:7" x14ac:dyDescent="0.25">
      <c r="A20" s="70" t="s">
        <v>254</v>
      </c>
      <c r="B20" s="71">
        <v>-82602.06</v>
      </c>
    </row>
    <row r="21" spans="1:7" x14ac:dyDescent="0.25">
      <c r="A21" s="72" t="s">
        <v>255</v>
      </c>
      <c r="B21" s="73">
        <v>-6454258.8399999999</v>
      </c>
    </row>
    <row r="22" spans="1:7" x14ac:dyDescent="0.25">
      <c r="A22" s="70" t="s">
        <v>256</v>
      </c>
      <c r="B22" s="71">
        <v>4606.4799999999996</v>
      </c>
    </row>
    <row r="23" spans="1:7" x14ac:dyDescent="0.25">
      <c r="A23" s="70" t="s">
        <v>257</v>
      </c>
      <c r="B23" s="71">
        <v>-2324146.13</v>
      </c>
    </row>
    <row r="24" spans="1:7" x14ac:dyDescent="0.25">
      <c r="A24" s="70" t="s">
        <v>258</v>
      </c>
      <c r="B24" s="71">
        <v>-339995.76</v>
      </c>
      <c r="F24"/>
      <c r="G24"/>
    </row>
    <row r="25" spans="1:7" x14ac:dyDescent="0.25">
      <c r="A25" s="70" t="s">
        <v>259</v>
      </c>
      <c r="B25" s="71">
        <v>-3372312.72</v>
      </c>
      <c r="F25"/>
      <c r="G25"/>
    </row>
    <row r="26" spans="1:7" x14ac:dyDescent="0.25">
      <c r="A26" s="70" t="s">
        <v>261</v>
      </c>
      <c r="B26" s="71">
        <v>-2270241.91</v>
      </c>
      <c r="F26"/>
      <c r="G26"/>
    </row>
    <row r="27" spans="1:7" x14ac:dyDescent="0.25">
      <c r="A27" s="70" t="s">
        <v>263</v>
      </c>
      <c r="B27" s="71">
        <v>-1705747.5</v>
      </c>
      <c r="F27"/>
      <c r="G27"/>
    </row>
    <row r="28" spans="1:7" x14ac:dyDescent="0.25">
      <c r="A28" s="70" t="s">
        <v>265</v>
      </c>
      <c r="B28" s="71">
        <v>0</v>
      </c>
      <c r="F28"/>
      <c r="G28"/>
    </row>
    <row r="29" spans="1:7" x14ac:dyDescent="0.25">
      <c r="A29" s="72" t="s">
        <v>260</v>
      </c>
      <c r="B29" s="73">
        <v>-208832.51</v>
      </c>
      <c r="F29"/>
      <c r="G29"/>
    </row>
    <row r="30" spans="1:7" x14ac:dyDescent="0.25">
      <c r="A30" s="72" t="s">
        <v>262</v>
      </c>
      <c r="B30" s="73">
        <v>-17794.66</v>
      </c>
      <c r="F30"/>
      <c r="G30"/>
    </row>
    <row r="31" spans="1:7" x14ac:dyDescent="0.25">
      <c r="A31" s="72" t="s">
        <v>264</v>
      </c>
      <c r="B31" s="73">
        <v>-360002.44</v>
      </c>
      <c r="F31"/>
      <c r="G31"/>
    </row>
    <row r="32" spans="1:7" x14ac:dyDescent="0.25">
      <c r="A32" s="72" t="s">
        <v>266</v>
      </c>
      <c r="B32" s="73">
        <v>-392274.43</v>
      </c>
      <c r="F32"/>
      <c r="G32"/>
    </row>
    <row r="33" spans="1:3" x14ac:dyDescent="0.25">
      <c r="A33" s="72" t="s">
        <v>267</v>
      </c>
      <c r="B33" s="73">
        <v>-381672.48</v>
      </c>
    </row>
    <row r="34" spans="1:3" x14ac:dyDescent="0.25">
      <c r="A34" s="70" t="s">
        <v>269</v>
      </c>
      <c r="B34" s="71">
        <v>-6069.59</v>
      </c>
    </row>
    <row r="35" spans="1:3" x14ac:dyDescent="0.25">
      <c r="A35" s="75" t="s">
        <v>268</v>
      </c>
      <c r="B35" s="76">
        <v>-751783.05</v>
      </c>
      <c r="C35" s="75"/>
    </row>
    <row r="36" spans="1:3" x14ac:dyDescent="0.25">
      <c r="A36" s="70" t="s">
        <v>270</v>
      </c>
      <c r="B36" s="71">
        <v>-1293614.54</v>
      </c>
    </row>
    <row r="37" spans="1:3" x14ac:dyDescent="0.25">
      <c r="A37" s="70" t="s">
        <v>271</v>
      </c>
      <c r="B37" s="71">
        <v>0</v>
      </c>
    </row>
    <row r="38" spans="1:3" x14ac:dyDescent="0.25">
      <c r="A38" s="70" t="s">
        <v>272</v>
      </c>
      <c r="B38" s="71">
        <v>-28765540.010000002</v>
      </c>
    </row>
    <row r="39" spans="1:3" x14ac:dyDescent="0.25">
      <c r="A39" s="70" t="s">
        <v>227</v>
      </c>
      <c r="B39" s="71">
        <v>-28765540.010000002</v>
      </c>
    </row>
    <row r="40" spans="1:3" x14ac:dyDescent="0.25">
      <c r="A40" s="70" t="s">
        <v>5</v>
      </c>
      <c r="B40" s="71">
        <v>-28765540.010000002</v>
      </c>
    </row>
    <row r="41" spans="1:3" x14ac:dyDescent="0.25">
      <c r="B41" s="71"/>
    </row>
    <row r="42" spans="1:3" ht="15.75" thickBot="1" x14ac:dyDescent="0.3">
      <c r="B42" s="74">
        <f>SUM(B21,B29:B33)</f>
        <v>-7814835.3599999994</v>
      </c>
    </row>
    <row r="43" spans="1:3" ht="15.75" thickTop="1" x14ac:dyDescent="0.25"/>
  </sheetData>
  <pageMargins left="0.7" right="0.7" top="0.75" bottom="0.75" header="0.3" footer="0.3"/>
  <pageSetup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44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8" sqref="C8"/>
    </sheetView>
  </sheetViews>
  <sheetFormatPr defaultRowHeight="15" x14ac:dyDescent="0.25"/>
  <cols>
    <col min="1" max="1" width="20.42578125" style="79" bestFit="1" customWidth="1"/>
    <col min="2" max="7" width="18.7109375" style="79" customWidth="1"/>
    <col min="8" max="8" width="1.85546875" style="79" bestFit="1" customWidth="1"/>
    <col min="22" max="16384" width="9.140625" style="79"/>
  </cols>
  <sheetData>
    <row r="2" spans="1:8" x14ac:dyDescent="0.25">
      <c r="D2" s="80"/>
      <c r="G2" s="80"/>
    </row>
    <row r="3" spans="1:8" x14ac:dyDescent="0.25">
      <c r="C3" s="81" t="s">
        <v>273</v>
      </c>
      <c r="D3" s="82"/>
      <c r="E3" s="81" t="s">
        <v>274</v>
      </c>
      <c r="F3" s="81"/>
      <c r="G3" s="82"/>
    </row>
    <row r="4" spans="1:8" x14ac:dyDescent="0.25">
      <c r="B4" s="81" t="s">
        <v>275</v>
      </c>
      <c r="C4" s="81" t="s">
        <v>276</v>
      </c>
      <c r="D4" s="82"/>
      <c r="E4" s="81" t="s">
        <v>276</v>
      </c>
      <c r="F4" s="81" t="s">
        <v>277</v>
      </c>
      <c r="G4" s="83" t="s">
        <v>5</v>
      </c>
    </row>
    <row r="5" spans="1:8" x14ac:dyDescent="0.25">
      <c r="A5" s="84" t="s">
        <v>278</v>
      </c>
      <c r="B5" s="85" t="s">
        <v>279</v>
      </c>
      <c r="C5" s="85" t="s">
        <v>280</v>
      </c>
      <c r="D5" s="86" t="s">
        <v>446</v>
      </c>
      <c r="E5" s="85" t="s">
        <v>280</v>
      </c>
      <c r="F5" s="85" t="s">
        <v>281</v>
      </c>
      <c r="G5" s="86" t="s">
        <v>282</v>
      </c>
    </row>
    <row r="6" spans="1:8" x14ac:dyDescent="0.25">
      <c r="A6" s="87"/>
      <c r="B6" s="88"/>
      <c r="C6" s="88"/>
      <c r="D6" s="83"/>
      <c r="E6" s="88"/>
      <c r="F6" s="88"/>
      <c r="G6" s="83"/>
    </row>
    <row r="7" spans="1:8" x14ac:dyDescent="0.25">
      <c r="A7" s="79" t="s">
        <v>283</v>
      </c>
      <c r="B7" s="81"/>
      <c r="C7" s="81"/>
      <c r="D7" s="83"/>
      <c r="E7" s="81"/>
      <c r="F7" s="81"/>
      <c r="G7" s="83"/>
    </row>
    <row r="8" spans="1:8" x14ac:dyDescent="0.25">
      <c r="A8" s="89" t="s">
        <v>284</v>
      </c>
      <c r="B8" s="90">
        <f>'Annualize  FPC'!R38</f>
        <v>547636232.10096443</v>
      </c>
      <c r="C8" s="90">
        <f>-'Annualize  FPC'!R48</f>
        <v>-7313211.1809644364</v>
      </c>
      <c r="D8" s="91">
        <f>SUM(B8:C8)</f>
        <v>540323020.91999996</v>
      </c>
      <c r="E8" s="90"/>
      <c r="F8" s="90"/>
      <c r="G8" s="91">
        <f>SUM(D8:F8)</f>
        <v>540323020.91999996</v>
      </c>
    </row>
    <row r="9" spans="1:8" x14ac:dyDescent="0.25">
      <c r="A9" s="89" t="s">
        <v>285</v>
      </c>
      <c r="B9" s="92">
        <f>'Annualize  FPC'!R55</f>
        <v>19149753.807514817</v>
      </c>
      <c r="C9" s="92"/>
      <c r="D9" s="93">
        <f>SUM(B9:C9)</f>
        <v>19149753.807514817</v>
      </c>
      <c r="E9" s="92"/>
      <c r="F9" s="92"/>
      <c r="G9" s="93">
        <f>SUM(D9:F9)</f>
        <v>19149753.807514817</v>
      </c>
    </row>
    <row r="10" spans="1:8" x14ac:dyDescent="0.25">
      <c r="A10" s="89" t="s">
        <v>286</v>
      </c>
      <c r="B10" s="92"/>
      <c r="C10" s="92"/>
      <c r="D10" s="93">
        <f>SUM(B10:C10)</f>
        <v>0</v>
      </c>
      <c r="E10" s="92">
        <f>E37</f>
        <v>6992733.8899999997</v>
      </c>
      <c r="F10" s="92"/>
      <c r="G10" s="93">
        <f>SUM(D10:F10)</f>
        <v>6992733.8899999997</v>
      </c>
    </row>
    <row r="11" spans="1:8" x14ac:dyDescent="0.25">
      <c r="A11" s="89" t="s">
        <v>287</v>
      </c>
      <c r="B11" s="92"/>
      <c r="C11" s="92"/>
      <c r="D11" s="93"/>
      <c r="E11" s="92">
        <f>+E40</f>
        <v>13961272.427181887</v>
      </c>
      <c r="F11" s="92">
        <f>'456 &amp; 447'!B34</f>
        <v>61442897.548596002</v>
      </c>
      <c r="G11" s="93">
        <f>SUM(D11:F11)</f>
        <v>75404169.975777894</v>
      </c>
    </row>
    <row r="12" spans="1:8" x14ac:dyDescent="0.25">
      <c r="A12" s="89" t="s">
        <v>288</v>
      </c>
      <c r="B12" s="92">
        <f>+'Annualize VC rev component'!R18</f>
        <v>724521412.41610289</v>
      </c>
      <c r="C12" s="92"/>
      <c r="D12" s="93">
        <f>SUM(B12:C12)</f>
        <v>724521412.41610289</v>
      </c>
      <c r="E12" s="92"/>
      <c r="F12" s="92"/>
      <c r="G12" s="93">
        <f>SUM(D12:F12)</f>
        <v>724521412.41610289</v>
      </c>
      <c r="H12" s="220"/>
    </row>
    <row r="13" spans="1:8" x14ac:dyDescent="0.25">
      <c r="A13" s="89" t="s">
        <v>289</v>
      </c>
      <c r="B13" s="94">
        <f t="shared" ref="B13:G13" si="0">SUM(B8:B12)</f>
        <v>1291307398.3245821</v>
      </c>
      <c r="C13" s="94">
        <f t="shared" si="0"/>
        <v>-7313211.1809644364</v>
      </c>
      <c r="D13" s="95">
        <f t="shared" si="0"/>
        <v>1283994187.1436176</v>
      </c>
      <c r="E13" s="94">
        <f t="shared" si="0"/>
        <v>20954006.317181885</v>
      </c>
      <c r="F13" s="94">
        <f t="shared" si="0"/>
        <v>61442897.548596002</v>
      </c>
      <c r="G13" s="95">
        <f t="shared" si="0"/>
        <v>1366391091.0093956</v>
      </c>
    </row>
    <row r="14" spans="1:8" x14ac:dyDescent="0.25">
      <c r="B14" s="92"/>
      <c r="C14" s="92"/>
      <c r="D14" s="93"/>
      <c r="E14" s="92"/>
      <c r="F14" s="92"/>
      <c r="G14" s="93"/>
    </row>
    <row r="15" spans="1:8" x14ac:dyDescent="0.25">
      <c r="A15" s="79" t="s">
        <v>290</v>
      </c>
      <c r="B15" s="92">
        <f>B19-B13-B17</f>
        <v>734732360.17657876</v>
      </c>
      <c r="C15" s="92"/>
      <c r="D15" s="93">
        <f>SUM(B15:C15)</f>
        <v>734732360.17657876</v>
      </c>
      <c r="E15" s="92">
        <f>E42-E10-E39-E11</f>
        <v>48644793.569999918</v>
      </c>
      <c r="F15" s="92"/>
      <c r="G15" s="93">
        <f>SUM(D15:F15)</f>
        <v>783377153.74657869</v>
      </c>
    </row>
    <row r="16" spans="1:8" x14ac:dyDescent="0.25">
      <c r="B16" s="92"/>
      <c r="C16" s="92"/>
      <c r="D16" s="93"/>
      <c r="E16" s="92"/>
      <c r="F16" s="92"/>
      <c r="G16" s="93"/>
    </row>
    <row r="17" spans="1:9" x14ac:dyDescent="0.25">
      <c r="A17" s="79" t="s">
        <v>291</v>
      </c>
      <c r="B17" s="92">
        <f>+'[2]Summary kWh &amp; Ann Rev'!$K$22</f>
        <v>329856</v>
      </c>
      <c r="C17" s="92"/>
      <c r="D17" s="93">
        <f>SUM(B17:C17)</f>
        <v>329856</v>
      </c>
      <c r="E17" s="92"/>
      <c r="F17" s="92"/>
      <c r="G17" s="93">
        <f>SUM(D17:F17)</f>
        <v>329856</v>
      </c>
    </row>
    <row r="18" spans="1:9" x14ac:dyDescent="0.25">
      <c r="B18" s="96"/>
      <c r="C18" s="96"/>
      <c r="D18" s="97"/>
      <c r="E18" s="96"/>
      <c r="F18" s="96"/>
      <c r="G18" s="97"/>
    </row>
    <row r="19" spans="1:9" ht="15.75" thickBot="1" x14ac:dyDescent="0.3">
      <c r="A19" s="79" t="s">
        <v>292</v>
      </c>
      <c r="B19" s="98">
        <f>+'[2]Summary kWh &amp; Ann Rev'!$K$23</f>
        <v>2026369614.5011609</v>
      </c>
      <c r="C19" s="98">
        <f>SUM(C13:C18)</f>
        <v>-7313211.1809644364</v>
      </c>
      <c r="D19" s="99">
        <f>SUM(D13:D18)</f>
        <v>2019056403.3201964</v>
      </c>
      <c r="E19" s="98">
        <f t="shared" ref="E19:G19" si="1">SUM(E13:E18)</f>
        <v>69598799.887181804</v>
      </c>
      <c r="F19" s="98">
        <f t="shared" si="1"/>
        <v>61442897.548596002</v>
      </c>
      <c r="G19" s="99">
        <f t="shared" si="1"/>
        <v>2150098100.7559743</v>
      </c>
    </row>
    <row r="20" spans="1:9" ht="15.75" thickTop="1" x14ac:dyDescent="0.25">
      <c r="B20" s="100" t="s">
        <v>293</v>
      </c>
      <c r="D20" s="82"/>
      <c r="G20" s="101" t="s">
        <v>293</v>
      </c>
    </row>
    <row r="21" spans="1:9" x14ac:dyDescent="0.25">
      <c r="B21" s="100" t="s">
        <v>294</v>
      </c>
      <c r="D21" s="102"/>
      <c r="G21" s="103" t="s">
        <v>294</v>
      </c>
    </row>
    <row r="22" spans="1:9" x14ac:dyDescent="0.25">
      <c r="B22" s="100" t="s">
        <v>295</v>
      </c>
      <c r="G22" s="100" t="s">
        <v>296</v>
      </c>
    </row>
    <row r="23" spans="1:9" x14ac:dyDescent="0.25">
      <c r="B23" s="218">
        <f>SUM('[1]ERF Main Summary'!$I$12:$I$13)-C8-B19</f>
        <v>0</v>
      </c>
      <c r="G23" s="218">
        <f>'[1]ERF Main Summary'!$I$16-G19</f>
        <v>-0.25</v>
      </c>
    </row>
    <row r="24" spans="1:9" x14ac:dyDescent="0.25">
      <c r="B24" s="81"/>
    </row>
    <row r="25" spans="1:9" x14ac:dyDescent="0.25">
      <c r="A25" s="79" t="s">
        <v>448</v>
      </c>
      <c r="B25" s="221">
        <f>SUM(B8:B10,B15,B17)</f>
        <v>1301848202.085058</v>
      </c>
      <c r="C25" s="221">
        <f t="shared" ref="C25:G25" si="2">SUM(C8:C10,C15,C17)</f>
        <v>-7313211.1809644364</v>
      </c>
      <c r="D25" s="221">
        <f t="shared" si="2"/>
        <v>1294534990.9040935</v>
      </c>
      <c r="E25" s="221">
        <f t="shared" si="2"/>
        <v>55637527.459999919</v>
      </c>
      <c r="F25" s="221">
        <f t="shared" si="2"/>
        <v>0</v>
      </c>
      <c r="G25" s="221">
        <f t="shared" si="2"/>
        <v>1350172518.3640933</v>
      </c>
      <c r="H25" s="224">
        <f>'[1]ERF Main Summary'!$K$16-G25</f>
        <v>-4.999995231628418E-2</v>
      </c>
      <c r="I25" s="225" t="s">
        <v>449</v>
      </c>
    </row>
    <row r="26" spans="1:9" x14ac:dyDescent="0.25">
      <c r="A26" s="79" t="s">
        <v>447</v>
      </c>
      <c r="B26" s="222">
        <f>B11+B12</f>
        <v>724521412.41610289</v>
      </c>
      <c r="C26" s="222">
        <f t="shared" ref="C26:G26" si="3">C11+C12</f>
        <v>0</v>
      </c>
      <c r="D26" s="222">
        <f t="shared" si="3"/>
        <v>724521412.41610289</v>
      </c>
      <c r="E26" s="222">
        <f t="shared" si="3"/>
        <v>13961272.427181887</v>
      </c>
      <c r="F26" s="222">
        <f t="shared" si="3"/>
        <v>61442897.548596002</v>
      </c>
      <c r="G26" s="222">
        <f t="shared" si="3"/>
        <v>799925582.39188075</v>
      </c>
      <c r="H26" s="224">
        <f>-'[1]ERF Main Summary'!$J$16-G26</f>
        <v>-0.19999969005584717</v>
      </c>
      <c r="I26" s="225" t="s">
        <v>449</v>
      </c>
    </row>
    <row r="27" spans="1:9" ht="15.75" thickBot="1" x14ac:dyDescent="0.3">
      <c r="B27" s="223">
        <f>SUM(B25:B26)</f>
        <v>2026369614.5011609</v>
      </c>
      <c r="C27" s="223">
        <f t="shared" ref="C27:G27" si="4">SUM(C25:C26)</f>
        <v>-7313211.1809644364</v>
      </c>
      <c r="D27" s="223">
        <f t="shared" si="4"/>
        <v>2019056403.3201964</v>
      </c>
      <c r="E27" s="223">
        <f t="shared" si="4"/>
        <v>69598799.887181804</v>
      </c>
      <c r="F27" s="223">
        <f t="shared" si="4"/>
        <v>61442897.548596002</v>
      </c>
      <c r="G27" s="223">
        <f t="shared" si="4"/>
        <v>2150098100.7559738</v>
      </c>
    </row>
    <row r="28" spans="1:9" ht="15.75" thickTop="1" x14ac:dyDescent="0.25">
      <c r="B28" s="224">
        <f>B19-B27</f>
        <v>0</v>
      </c>
      <c r="C28" s="224">
        <f t="shared" ref="C28:G28" si="5">C19-C27</f>
        <v>0</v>
      </c>
      <c r="D28" s="224">
        <f t="shared" si="5"/>
        <v>0</v>
      </c>
      <c r="E28" s="224">
        <f t="shared" si="5"/>
        <v>0</v>
      </c>
      <c r="F28" s="224">
        <f t="shared" si="5"/>
        <v>0</v>
      </c>
      <c r="G28" s="224">
        <f t="shared" si="5"/>
        <v>0</v>
      </c>
    </row>
    <row r="29" spans="1:9" x14ac:dyDescent="0.25">
      <c r="B29" s="219"/>
    </row>
    <row r="30" spans="1:9" x14ac:dyDescent="0.25">
      <c r="B30" s="219"/>
    </row>
    <row r="31" spans="1:9" x14ac:dyDescent="0.25">
      <c r="B31" s="219"/>
    </row>
    <row r="32" spans="1:9" ht="15.75" thickBot="1" x14ac:dyDescent="0.3">
      <c r="B32" s="79" t="s">
        <v>297</v>
      </c>
      <c r="E32" s="104">
        <f>E19+C19</f>
        <v>62285588.706217363</v>
      </c>
      <c r="G32" s="105"/>
    </row>
    <row r="33" spans="2:5" ht="15.75" thickTop="1" x14ac:dyDescent="0.25"/>
    <row r="34" spans="2:5" x14ac:dyDescent="0.25">
      <c r="B34" s="79" t="s">
        <v>298</v>
      </c>
      <c r="E34" s="105">
        <f>[3]Detail!$G$28</f>
        <v>2507056.83</v>
      </c>
    </row>
    <row r="35" spans="2:5" x14ac:dyDescent="0.25">
      <c r="B35" s="79" t="s">
        <v>299</v>
      </c>
      <c r="E35" s="92">
        <f>[3]Detail!$G$29</f>
        <v>12066284.759999899</v>
      </c>
    </row>
    <row r="36" spans="2:5" x14ac:dyDescent="0.25">
      <c r="B36" s="79" t="s">
        <v>300</v>
      </c>
      <c r="E36" s="92">
        <f>[3]Detail!$G$30</f>
        <v>18412581.52</v>
      </c>
    </row>
    <row r="37" spans="2:5" x14ac:dyDescent="0.25">
      <c r="B37" s="79" t="s">
        <v>301</v>
      </c>
      <c r="E37" s="92">
        <f>-'456 &amp; 447'!B3</f>
        <v>6992733.8899999997</v>
      </c>
    </row>
    <row r="38" spans="2:5" x14ac:dyDescent="0.25">
      <c r="B38" s="79" t="s">
        <v>302</v>
      </c>
      <c r="E38" s="92">
        <f>'456 &amp; 447'!B11</f>
        <v>13957970.760000013</v>
      </c>
    </row>
    <row r="39" spans="2:5" x14ac:dyDescent="0.25">
      <c r="B39" s="79" t="s">
        <v>303</v>
      </c>
      <c r="E39" s="92">
        <f>+C19</f>
        <v>-7313211.1809644364</v>
      </c>
    </row>
    <row r="40" spans="2:5" x14ac:dyDescent="0.25">
      <c r="B40" s="79" t="s">
        <v>304</v>
      </c>
      <c r="E40" s="92">
        <f>'456 &amp; 447'!B28</f>
        <v>13961272.427181887</v>
      </c>
    </row>
    <row r="41" spans="2:5" x14ac:dyDescent="0.25">
      <c r="B41" s="79" t="s">
        <v>305</v>
      </c>
      <c r="E41" s="92">
        <f>'456 &amp; 447'!B22</f>
        <v>1700899.6999999993</v>
      </c>
    </row>
    <row r="42" spans="2:5" ht="15.75" thickBot="1" x14ac:dyDescent="0.3">
      <c r="B42" s="79" t="s">
        <v>297</v>
      </c>
      <c r="E42" s="106">
        <f>SUM(E34:E41)</f>
        <v>62285588.706217363</v>
      </c>
    </row>
    <row r="43" spans="2:5" ht="15.75" thickTop="1" x14ac:dyDescent="0.25"/>
    <row r="44" spans="2:5" x14ac:dyDescent="0.25">
      <c r="D44" s="107" t="s">
        <v>306</v>
      </c>
      <c r="E44" s="105">
        <f>E42-E32</f>
        <v>0</v>
      </c>
    </row>
  </sheetData>
  <conditionalFormatting sqref="E44">
    <cfRule type="cellIs" dxfId="0" priority="1" operator="notEqual">
      <formula>0</formula>
    </cfRule>
  </conditionalFormatting>
  <printOptions horizontalCentered="1"/>
  <pageMargins left="0.25" right="0.25" top="0.75" bottom="0.75" header="0.3" footer="0.3"/>
  <pageSetup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18"/>
  <sheetViews>
    <sheetView workbookViewId="0">
      <pane xSplit="5" ySplit="3" topLeftCell="F4" activePane="bottomRight" state="frozen"/>
      <selection activeCell="B17" sqref="B17"/>
      <selection pane="topRight" activeCell="B17" sqref="B17"/>
      <selection pane="bottomLeft" activeCell="B17" sqref="B17"/>
      <selection pane="bottomRight" activeCell="J8" sqref="J8"/>
    </sheetView>
  </sheetViews>
  <sheetFormatPr defaultRowHeight="15" x14ac:dyDescent="0.25"/>
  <cols>
    <col min="1" max="1" width="4.7109375" style="120" customWidth="1"/>
    <col min="2" max="4" width="9.140625" style="120"/>
    <col min="5" max="5" width="15.5703125" style="120" customWidth="1"/>
    <col min="6" max="6" width="16" style="120" bestFit="1" customWidth="1"/>
    <col min="7" max="10" width="15" style="120" bestFit="1" customWidth="1"/>
    <col min="11" max="11" width="14.7109375" style="120" bestFit="1" customWidth="1"/>
    <col min="12" max="13" width="14.85546875" style="120" customWidth="1"/>
    <col min="14" max="14" width="15.7109375" style="120" customWidth="1"/>
    <col min="15" max="17" width="14.28515625" style="120" bestFit="1" customWidth="1"/>
    <col min="18" max="18" width="15.28515625" style="120" bestFit="1" customWidth="1"/>
    <col min="19" max="19" width="17.28515625" style="120" bestFit="1" customWidth="1"/>
    <col min="20" max="20" width="5.140625" style="120" bestFit="1" customWidth="1"/>
    <col min="21" max="16384" width="9.140625" style="120"/>
  </cols>
  <sheetData>
    <row r="3" spans="1:20" x14ac:dyDescent="0.25">
      <c r="F3" s="126" t="s">
        <v>307</v>
      </c>
      <c r="G3" s="126" t="s">
        <v>308</v>
      </c>
      <c r="H3" s="126" t="s">
        <v>309</v>
      </c>
      <c r="I3" s="126" t="s">
        <v>310</v>
      </c>
      <c r="J3" s="126" t="s">
        <v>311</v>
      </c>
      <c r="K3" s="126" t="s">
        <v>312</v>
      </c>
      <c r="L3" s="126" t="s">
        <v>313</v>
      </c>
      <c r="M3" s="126" t="s">
        <v>314</v>
      </c>
      <c r="N3" s="126" t="s">
        <v>315</v>
      </c>
      <c r="O3" s="126" t="s">
        <v>316</v>
      </c>
      <c r="P3" s="126" t="s">
        <v>317</v>
      </c>
      <c r="Q3" s="126" t="s">
        <v>318</v>
      </c>
      <c r="R3" s="126" t="s">
        <v>319</v>
      </c>
    </row>
    <row r="4" spans="1:20" x14ac:dyDescent="0.25">
      <c r="A4" s="120" t="s">
        <v>320</v>
      </c>
      <c r="F4" s="235">
        <f>ROUND('A-1 UE-180284'!G43/1000,6)</f>
        <v>3.4540000000000001E-2</v>
      </c>
      <c r="G4" s="236"/>
    </row>
    <row r="6" spans="1:20" x14ac:dyDescent="0.25">
      <c r="A6" s="120" t="s">
        <v>459</v>
      </c>
      <c r="S6" s="120" t="s">
        <v>450</v>
      </c>
    </row>
    <row r="7" spans="1:20" x14ac:dyDescent="0.25">
      <c r="B7" s="229">
        <v>7</v>
      </c>
      <c r="F7" s="228">
        <f>'Annualize  FPC'!F19</f>
        <v>1217809396.3717051</v>
      </c>
      <c r="G7" s="228">
        <f>'Annualize  FPC'!G19</f>
        <v>1029221052.455801</v>
      </c>
      <c r="H7" s="228">
        <f>'Annualize  FPC'!H19</f>
        <v>1042285607.8058866</v>
      </c>
      <c r="I7" s="228">
        <f>'Annualize  FPC'!I19</f>
        <v>848382820.3486625</v>
      </c>
      <c r="J7" s="228">
        <f>'Annualize  FPC'!J19</f>
        <v>682087265.04118538</v>
      </c>
      <c r="K7" s="228">
        <f>'Annualize  FPC'!K19</f>
        <v>662181951.97669625</v>
      </c>
      <c r="L7" s="228">
        <f>'Annualize  FPC'!L19</f>
        <v>683028854.42198575</v>
      </c>
      <c r="M7" s="228">
        <f>'Annualize  FPC'!M19</f>
        <v>689494898.41436493</v>
      </c>
      <c r="N7" s="228">
        <f>'Annualize  FPC'!N19</f>
        <v>658439734.18934715</v>
      </c>
      <c r="O7" s="228">
        <f>'Annualize  FPC'!O19</f>
        <v>840421026.72084284</v>
      </c>
      <c r="P7" s="228">
        <f>'Annualize  FPC'!P19</f>
        <v>1034613281.7917739</v>
      </c>
      <c r="Q7" s="228">
        <f>'Annualize  FPC'!Q19</f>
        <v>1269374170.1103554</v>
      </c>
      <c r="R7" s="227">
        <f>SUM(F7:Q7)</f>
        <v>10657340059.648607</v>
      </c>
      <c r="S7" s="227">
        <f>'Annualize  FPC'!S19</f>
        <v>10657340059.648607</v>
      </c>
      <c r="T7" s="227">
        <f t="shared" ref="T7:T8" si="0">+S7-R7</f>
        <v>0</v>
      </c>
    </row>
    <row r="8" spans="1:20" x14ac:dyDescent="0.25">
      <c r="B8" s="120" t="s">
        <v>321</v>
      </c>
      <c r="F8" s="228">
        <f>'Annualize  FPC'!F20</f>
        <v>268307038.57199278</v>
      </c>
      <c r="G8" s="228">
        <f>'Annualize  FPC'!G20</f>
        <v>227207898.53795847</v>
      </c>
      <c r="H8" s="228">
        <f>'Annualize  FPC'!H20</f>
        <v>244652400.50093108</v>
      </c>
      <c r="I8" s="228">
        <f>'Annualize  FPC'!I20</f>
        <v>211402682.75275233</v>
      </c>
      <c r="J8" s="228">
        <f>'Annualize  FPC'!J20</f>
        <v>207943010.22681922</v>
      </c>
      <c r="K8" s="228">
        <f>'Annualize  FPC'!K20</f>
        <v>200088798.37976211</v>
      </c>
      <c r="L8" s="228">
        <f>'Annualize  FPC'!L20</f>
        <v>224981849.41511604</v>
      </c>
      <c r="M8" s="228">
        <f>'Annualize  FPC'!M20</f>
        <v>236629518.22228226</v>
      </c>
      <c r="N8" s="228">
        <f>'Annualize  FPC'!N20</f>
        <v>211269345.82597348</v>
      </c>
      <c r="O8" s="228">
        <f>'Annualize  FPC'!O20</f>
        <v>222924321.4157142</v>
      </c>
      <c r="P8" s="228">
        <f>'Annualize  FPC'!P20</f>
        <v>241969138.58819419</v>
      </c>
      <c r="Q8" s="228">
        <f>'Annualize  FPC'!Q20</f>
        <v>272598280.9598729</v>
      </c>
      <c r="R8" s="227">
        <f t="shared" ref="R8:R14" si="1">SUM(F8:Q8)</f>
        <v>2769974283.3973689</v>
      </c>
      <c r="S8" s="227">
        <f>'Annualize  FPC'!S20</f>
        <v>2769974283.3973689</v>
      </c>
      <c r="T8" s="227">
        <f t="shared" si="0"/>
        <v>0</v>
      </c>
    </row>
    <row r="9" spans="1:20" x14ac:dyDescent="0.25">
      <c r="B9" s="120" t="s">
        <v>322</v>
      </c>
      <c r="F9" s="228">
        <f>'Annualize  FPC'!F21</f>
        <v>283862215.19315606</v>
      </c>
      <c r="G9" s="228">
        <f>'Annualize  FPC'!G21</f>
        <v>262024120.92486566</v>
      </c>
      <c r="H9" s="228">
        <f>'Annualize  FPC'!H21</f>
        <v>277745663.5656966</v>
      </c>
      <c r="I9" s="228">
        <f>'Annualize  FPC'!I21</f>
        <v>250222352.4840396</v>
      </c>
      <c r="J9" s="228">
        <f>'Annualize  FPC'!J21</f>
        <v>257053131.41416478</v>
      </c>
      <c r="K9" s="228">
        <f>'Annualize  FPC'!K21</f>
        <v>239676309.07878903</v>
      </c>
      <c r="L9" s="228">
        <f>'Annualize  FPC'!L21</f>
        <v>250744317.60794047</v>
      </c>
      <c r="M9" s="228">
        <f>'Annualize  FPC'!M21</f>
        <v>265696179.81656981</v>
      </c>
      <c r="N9" s="228">
        <f>'Annualize  FPC'!N21</f>
        <v>238697893.00688696</v>
      </c>
      <c r="O9" s="228">
        <f>'Annualize  FPC'!O21</f>
        <v>246709067.32583916</v>
      </c>
      <c r="P9" s="228">
        <f>'Annualize  FPC'!P21</f>
        <v>257220758.2833263</v>
      </c>
      <c r="Q9" s="228">
        <f>'Annualize  FPC'!Q21</f>
        <v>278091552.8520931</v>
      </c>
      <c r="R9" s="227">
        <f t="shared" si="1"/>
        <v>3107743561.5533671</v>
      </c>
      <c r="S9" s="227">
        <f>'Annualize  FPC'!S21</f>
        <v>3107743561.5533671</v>
      </c>
      <c r="T9" s="227">
        <f>+S9-R9</f>
        <v>0</v>
      </c>
    </row>
    <row r="10" spans="1:20" x14ac:dyDescent="0.25">
      <c r="B10" s="229">
        <v>40</v>
      </c>
      <c r="F10" s="228">
        <f>'Annualize  FPC'!F22</f>
        <v>43421693.337666631</v>
      </c>
      <c r="G10" s="228">
        <f>'Annualize  FPC'!G22</f>
        <v>39770860.813243046</v>
      </c>
      <c r="H10" s="228">
        <f>'Annualize  FPC'!H22</f>
        <v>40691019.266715772</v>
      </c>
      <c r="I10" s="228">
        <f>'Annualize  FPC'!I22</f>
        <v>44812754.65020173</v>
      </c>
      <c r="J10" s="228">
        <f>'Annualize  FPC'!J22</f>
        <v>41305701.634680897</v>
      </c>
      <c r="K10" s="228">
        <f>'Annualize  FPC'!K22</f>
        <v>38069361.050450101</v>
      </c>
      <c r="L10" s="228">
        <f>'Annualize  FPC'!L22</f>
        <v>50913265.541981056</v>
      </c>
      <c r="M10" s="228">
        <f>'Annualize  FPC'!M22</f>
        <v>50212645.794358425</v>
      </c>
      <c r="N10" s="228">
        <f>'Annualize  FPC'!N22</f>
        <v>48165570.860954307</v>
      </c>
      <c r="O10" s="228">
        <f>'Annualize  FPC'!O22</f>
        <v>46776939.313044958</v>
      </c>
      <c r="P10" s="228">
        <f>'Annualize  FPC'!P22</f>
        <v>43352576.854941517</v>
      </c>
      <c r="Q10" s="228">
        <f>'Annualize  FPC'!Q22</f>
        <v>47275047.485829301</v>
      </c>
      <c r="R10" s="227">
        <f t="shared" si="1"/>
        <v>534767436.60406774</v>
      </c>
      <c r="S10" s="227">
        <f>'Annualize  FPC'!S22</f>
        <v>534767436.60406774</v>
      </c>
      <c r="T10" s="227">
        <f t="shared" ref="T10:T12" si="2">+S10-R10</f>
        <v>0</v>
      </c>
    </row>
    <row r="11" spans="1:20" x14ac:dyDescent="0.25">
      <c r="B11" s="120" t="s">
        <v>323</v>
      </c>
      <c r="F11" s="228">
        <f>'Annualize  FPC'!F23</f>
        <v>139346518.61467844</v>
      </c>
      <c r="G11" s="228">
        <f>'Annualize  FPC'!G23</f>
        <v>169196589.8632482</v>
      </c>
      <c r="H11" s="228">
        <f>'Annualize  FPC'!H23</f>
        <v>150010041.24672765</v>
      </c>
      <c r="I11" s="228">
        <f>'Annualize  FPC'!I23</f>
        <v>147880845.09164891</v>
      </c>
      <c r="J11" s="228">
        <f>'Annualize  FPC'!J23</f>
        <v>157388825.39053777</v>
      </c>
      <c r="K11" s="228">
        <f>'Annualize  FPC'!K23</f>
        <v>158782240.87865049</v>
      </c>
      <c r="L11" s="228">
        <f>'Annualize  FPC'!L23</f>
        <v>161963003.24104062</v>
      </c>
      <c r="M11" s="228">
        <f>'Annualize  FPC'!M23</f>
        <v>172512622.08313176</v>
      </c>
      <c r="N11" s="228">
        <f>'Annualize  FPC'!N23</f>
        <v>151286265.25392488</v>
      </c>
      <c r="O11" s="228">
        <f>'Annualize  FPC'!O23</f>
        <v>155619020.68197143</v>
      </c>
      <c r="P11" s="228">
        <f>'Annualize  FPC'!P23</f>
        <v>149475216.60872561</v>
      </c>
      <c r="Q11" s="228">
        <f>'Annualize  FPC'!Q23</f>
        <v>159044673.9783285</v>
      </c>
      <c r="R11" s="227">
        <f t="shared" si="1"/>
        <v>1872505862.9326141</v>
      </c>
      <c r="S11" s="227">
        <f>'Annualize  FPC'!S23</f>
        <v>1872505862.9326141</v>
      </c>
      <c r="T11" s="227">
        <f t="shared" si="2"/>
        <v>0</v>
      </c>
    </row>
    <row r="12" spans="1:20" x14ac:dyDescent="0.25">
      <c r="B12" s="120" t="s">
        <v>324</v>
      </c>
      <c r="F12" s="228">
        <f>'Annualize  FPC'!F24</f>
        <v>116357804.31682949</v>
      </c>
      <c r="G12" s="228">
        <f>'Annualize  FPC'!G24</f>
        <v>106799823.63999447</v>
      </c>
      <c r="H12" s="228">
        <f>'Annualize  FPC'!H24</f>
        <v>108370141.19940454</v>
      </c>
      <c r="I12" s="228">
        <f>'Annualize  FPC'!I24</f>
        <v>108232520.85807905</v>
      </c>
      <c r="J12" s="228">
        <f>'Annualize  FPC'!J24</f>
        <v>107369808.52671531</v>
      </c>
      <c r="K12" s="228">
        <f>'Annualize  FPC'!K24</f>
        <v>110261534.35019031</v>
      </c>
      <c r="L12" s="228">
        <f>'Annualize  FPC'!L24</f>
        <v>108136883.26298967</v>
      </c>
      <c r="M12" s="228">
        <f>'Annualize  FPC'!M24</f>
        <v>122980590.99953152</v>
      </c>
      <c r="N12" s="228">
        <f>'Annualize  FPC'!N24</f>
        <v>103000251.73436414</v>
      </c>
      <c r="O12" s="228">
        <f>'Annualize  FPC'!O24</f>
        <v>111145932.18776457</v>
      </c>
      <c r="P12" s="228">
        <f>'Annualize  FPC'!P24</f>
        <v>107430707.51726645</v>
      </c>
      <c r="Q12" s="228">
        <f>'Annualize  FPC'!Q24</f>
        <v>111095418.96248728</v>
      </c>
      <c r="R12" s="227">
        <f t="shared" si="1"/>
        <v>1321181417.5556166</v>
      </c>
      <c r="S12" s="227">
        <f>'Annualize  FPC'!S24</f>
        <v>1321181417.5556166</v>
      </c>
      <c r="T12" s="227">
        <f t="shared" si="2"/>
        <v>0</v>
      </c>
    </row>
    <row r="13" spans="1:20" x14ac:dyDescent="0.25">
      <c r="B13" s="120" t="s">
        <v>325</v>
      </c>
      <c r="F13" s="237">
        <f>SUM(F7:F12)</f>
        <v>2069104666.4060285</v>
      </c>
      <c r="G13" s="237">
        <f t="shared" ref="G13:Q13" si="3">SUM(G7:G12)</f>
        <v>1834220346.2351108</v>
      </c>
      <c r="H13" s="237">
        <f t="shared" si="3"/>
        <v>1863754873.5853622</v>
      </c>
      <c r="I13" s="237">
        <f t="shared" si="3"/>
        <v>1610933976.185384</v>
      </c>
      <c r="J13" s="237">
        <f t="shared" si="3"/>
        <v>1453147742.2341034</v>
      </c>
      <c r="K13" s="237">
        <f t="shared" si="3"/>
        <v>1409060195.7145383</v>
      </c>
      <c r="L13" s="237">
        <f t="shared" si="3"/>
        <v>1479768173.4910538</v>
      </c>
      <c r="M13" s="237">
        <f t="shared" si="3"/>
        <v>1537526455.3302388</v>
      </c>
      <c r="N13" s="237">
        <f t="shared" si="3"/>
        <v>1410859060.8714509</v>
      </c>
      <c r="O13" s="237">
        <f t="shared" si="3"/>
        <v>1623596307.6451774</v>
      </c>
      <c r="P13" s="237">
        <f t="shared" si="3"/>
        <v>1834061679.6442282</v>
      </c>
      <c r="Q13" s="237">
        <f t="shared" si="3"/>
        <v>2137479144.3489664</v>
      </c>
      <c r="R13" s="238">
        <f t="shared" si="1"/>
        <v>20263512621.691643</v>
      </c>
      <c r="T13" s="227"/>
    </row>
    <row r="14" spans="1:20" x14ac:dyDescent="0.25">
      <c r="B14" s="120" t="s">
        <v>326</v>
      </c>
      <c r="D14" s="120" t="s">
        <v>327</v>
      </c>
      <c r="F14" s="228">
        <f>'Annualize  FPC'!F26</f>
        <v>58202434.521185569</v>
      </c>
      <c r="G14" s="228">
        <f>'Annualize  FPC'!G26</f>
        <v>102071845.82448532</v>
      </c>
      <c r="H14" s="228">
        <f>'Annualize  FPC'!H26</f>
        <v>12488088.517453386</v>
      </c>
      <c r="I14" s="228">
        <f>'Annualize  FPC'!I26</f>
        <v>53491403.097388923</v>
      </c>
      <c r="J14" s="228">
        <f>'Annualize  FPC'!J26</f>
        <v>68372912.4110526</v>
      </c>
      <c r="K14" s="228">
        <f>'Annualize  FPC'!K26</f>
        <v>57264778.521442577</v>
      </c>
      <c r="L14" s="228">
        <f>'Annualize  FPC'!L26</f>
        <v>66649395.478944756</v>
      </c>
      <c r="M14" s="228">
        <f>'Annualize  FPC'!M26</f>
        <v>58302010.363637269</v>
      </c>
      <c r="N14" s="228">
        <f>'Annualize  FPC'!N26</f>
        <v>59849180.553512596</v>
      </c>
      <c r="O14" s="228">
        <f>'Annualize  FPC'!O26</f>
        <v>62053779.89913547</v>
      </c>
      <c r="P14" s="228">
        <f>'Annualize  FPC'!P26</f>
        <v>53666114.04856614</v>
      </c>
      <c r="Q14" s="228">
        <f>'Annualize  FPC'!Q26</f>
        <v>60375736.63793727</v>
      </c>
      <c r="R14" s="227">
        <f t="shared" si="1"/>
        <v>712787679.87474179</v>
      </c>
      <c r="S14" s="227">
        <f>'Annualize  FPC'!S26</f>
        <v>712787679.87474191</v>
      </c>
      <c r="T14" s="227">
        <f t="shared" ref="T14" si="4">+S14-R14</f>
        <v>0</v>
      </c>
    </row>
    <row r="15" spans="1:20" x14ac:dyDescent="0.25">
      <c r="B15" s="120" t="s">
        <v>328</v>
      </c>
      <c r="F15" s="227">
        <f>+F14+F13</f>
        <v>2127307100.9272141</v>
      </c>
      <c r="G15" s="227">
        <f t="shared" ref="G15:R15" si="5">+G14+G13</f>
        <v>1936292192.0595961</v>
      </c>
      <c r="H15" s="227">
        <f t="shared" si="5"/>
        <v>1876242962.1028156</v>
      </c>
      <c r="I15" s="227">
        <f t="shared" si="5"/>
        <v>1664425379.282773</v>
      </c>
      <c r="J15" s="227">
        <f t="shared" si="5"/>
        <v>1521520654.6451561</v>
      </c>
      <c r="K15" s="227">
        <f t="shared" si="5"/>
        <v>1466324974.235981</v>
      </c>
      <c r="L15" s="227">
        <f t="shared" si="5"/>
        <v>1546417568.9699986</v>
      </c>
      <c r="M15" s="227">
        <f t="shared" si="5"/>
        <v>1595828465.693876</v>
      </c>
      <c r="N15" s="227">
        <f t="shared" si="5"/>
        <v>1470708241.4249635</v>
      </c>
      <c r="O15" s="227">
        <f t="shared" si="5"/>
        <v>1685650087.544313</v>
      </c>
      <c r="P15" s="227">
        <f t="shared" si="5"/>
        <v>1887727793.6927943</v>
      </c>
      <c r="Q15" s="227">
        <f t="shared" si="5"/>
        <v>2197854880.9869037</v>
      </c>
      <c r="R15" s="227">
        <f t="shared" si="5"/>
        <v>20976300301.566383</v>
      </c>
      <c r="S15" s="120" t="s">
        <v>329</v>
      </c>
    </row>
    <row r="18" spans="3:18" x14ac:dyDescent="0.25">
      <c r="C18" s="120" t="s">
        <v>330</v>
      </c>
      <c r="F18" s="239">
        <f>+F15*$F$4</f>
        <v>73477187.266025975</v>
      </c>
      <c r="G18" s="240">
        <f t="shared" ref="G18:Q18" si="6">+G15*$F$4</f>
        <v>66879532.31373845</v>
      </c>
      <c r="H18" s="240">
        <f t="shared" si="6"/>
        <v>64805431.911031254</v>
      </c>
      <c r="I18" s="240">
        <f t="shared" si="6"/>
        <v>57489252.600426979</v>
      </c>
      <c r="J18" s="240">
        <f t="shared" si="6"/>
        <v>52553323.411443695</v>
      </c>
      <c r="K18" s="240">
        <f t="shared" si="6"/>
        <v>50646864.610110782</v>
      </c>
      <c r="L18" s="240">
        <f t="shared" si="6"/>
        <v>53413262.832223751</v>
      </c>
      <c r="M18" s="240">
        <f t="shared" si="6"/>
        <v>55119915.20506648</v>
      </c>
      <c r="N18" s="240">
        <f t="shared" si="6"/>
        <v>50798262.658818237</v>
      </c>
      <c r="O18" s="240">
        <f t="shared" si="6"/>
        <v>58222354.023780569</v>
      </c>
      <c r="P18" s="240">
        <f t="shared" si="6"/>
        <v>65202117.994149119</v>
      </c>
      <c r="Q18" s="240">
        <f t="shared" si="6"/>
        <v>75913907.589287654</v>
      </c>
      <c r="R18" s="240">
        <f>SUM(F18:Q18)</f>
        <v>724521412.41610289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5"/>
  <sheetViews>
    <sheetView workbookViewId="0">
      <selection activeCell="B6" sqref="B6"/>
    </sheetView>
  </sheetViews>
  <sheetFormatPr defaultRowHeight="15" x14ac:dyDescent="0.25"/>
  <cols>
    <col min="1" max="1" width="64.85546875" style="79" bestFit="1" customWidth="1"/>
    <col min="2" max="2" width="14" style="121" bestFit="1" customWidth="1"/>
    <col min="3" max="16384" width="9.140625" style="79"/>
  </cols>
  <sheetData>
    <row r="2" spans="1:2" x14ac:dyDescent="0.25">
      <c r="A2" s="79" t="s">
        <v>302</v>
      </c>
      <c r="B2" s="133">
        <f>[3]Detail!$B$31</f>
        <v>28765540.010000002</v>
      </c>
    </row>
    <row r="3" spans="1:2" x14ac:dyDescent="0.25">
      <c r="A3" s="134" t="s">
        <v>349</v>
      </c>
      <c r="B3" s="135">
        <v>-6992733.8899999997</v>
      </c>
    </row>
    <row r="4" spans="1:2" x14ac:dyDescent="0.25">
      <c r="A4" s="136" t="s">
        <v>350</v>
      </c>
    </row>
    <row r="5" spans="1:2" x14ac:dyDescent="0.25">
      <c r="A5" s="79" t="s">
        <v>351</v>
      </c>
      <c r="B5" s="135">
        <v>-6454258.8399999896</v>
      </c>
    </row>
    <row r="6" spans="1:2" x14ac:dyDescent="0.25">
      <c r="A6" s="79" t="s">
        <v>352</v>
      </c>
      <c r="B6" s="135">
        <v>-208832.50999999899</v>
      </c>
    </row>
    <row r="7" spans="1:2" x14ac:dyDescent="0.25">
      <c r="A7" s="79" t="s">
        <v>353</v>
      </c>
      <c r="B7" s="135">
        <v>-17794.659999999902</v>
      </c>
    </row>
    <row r="8" spans="1:2" x14ac:dyDescent="0.25">
      <c r="A8" s="79" t="s">
        <v>354</v>
      </c>
      <c r="B8" s="135">
        <v>-360002.43999999901</v>
      </c>
    </row>
    <row r="9" spans="1:2" x14ac:dyDescent="0.25">
      <c r="A9" s="79" t="s">
        <v>355</v>
      </c>
      <c r="B9" s="135">
        <v>-392274.43</v>
      </c>
    </row>
    <row r="10" spans="1:2" x14ac:dyDescent="0.25">
      <c r="A10" s="79" t="s">
        <v>356</v>
      </c>
      <c r="B10" s="135">
        <v>-381672.48</v>
      </c>
    </row>
    <row r="11" spans="1:2" ht="15.75" thickBot="1" x14ac:dyDescent="0.3">
      <c r="A11" s="79" t="s">
        <v>302</v>
      </c>
      <c r="B11" s="137">
        <f>SUM(B2:B10)</f>
        <v>13957970.760000013</v>
      </c>
    </row>
    <row r="12" spans="1:2" ht="15.75" thickTop="1" x14ac:dyDescent="0.25">
      <c r="B12" s="135"/>
    </row>
    <row r="14" spans="1:2" x14ac:dyDescent="0.25">
      <c r="A14" s="79" t="s">
        <v>305</v>
      </c>
      <c r="B14" s="133">
        <f>[3]Detail!$B$32</f>
        <v>-21926740.300000001</v>
      </c>
    </row>
    <row r="15" spans="1:2" x14ac:dyDescent="0.25">
      <c r="A15" s="136" t="s">
        <v>357</v>
      </c>
      <c r="B15" s="133">
        <v>-9134514</v>
      </c>
    </row>
    <row r="16" spans="1:2" x14ac:dyDescent="0.25">
      <c r="A16" s="136" t="s">
        <v>358</v>
      </c>
      <c r="B16" s="135">
        <v>-1638991</v>
      </c>
    </row>
    <row r="17" spans="1:2" x14ac:dyDescent="0.25">
      <c r="A17" s="136" t="s">
        <v>359</v>
      </c>
      <c r="B17" s="135"/>
    </row>
    <row r="18" spans="1:2" x14ac:dyDescent="0.25">
      <c r="A18" s="138" t="s">
        <v>360</v>
      </c>
      <c r="B18" s="135">
        <v>27972268</v>
      </c>
    </row>
    <row r="19" spans="1:2" x14ac:dyDescent="0.25">
      <c r="A19" s="138" t="s">
        <v>361</v>
      </c>
      <c r="B19" s="135">
        <v>-278270</v>
      </c>
    </row>
    <row r="20" spans="1:2" x14ac:dyDescent="0.25">
      <c r="A20" s="138" t="s">
        <v>362</v>
      </c>
      <c r="B20" s="135">
        <v>418667</v>
      </c>
    </row>
    <row r="21" spans="1:2" x14ac:dyDescent="0.25">
      <c r="A21" s="136" t="s">
        <v>363</v>
      </c>
      <c r="B21" s="135">
        <v>6288480</v>
      </c>
    </row>
    <row r="22" spans="1:2" ht="15.75" thickBot="1" x14ac:dyDescent="0.3">
      <c r="A22" s="79" t="s">
        <v>305</v>
      </c>
      <c r="B22" s="137">
        <f>SUM(B14:B21)</f>
        <v>1700899.6999999993</v>
      </c>
    </row>
    <row r="23" spans="1:2" ht="15.75" thickTop="1" x14ac:dyDescent="0.25">
      <c r="B23" s="135"/>
    </row>
    <row r="24" spans="1:2" x14ac:dyDescent="0.25">
      <c r="B24" s="135"/>
    </row>
    <row r="25" spans="1:2" x14ac:dyDescent="0.25">
      <c r="B25" s="135"/>
    </row>
    <row r="26" spans="1:2" x14ac:dyDescent="0.25">
      <c r="A26" s="79" t="s">
        <v>364</v>
      </c>
      <c r="B26" s="135">
        <f>-B15</f>
        <v>9134514</v>
      </c>
    </row>
    <row r="27" spans="1:2" x14ac:dyDescent="0.25">
      <c r="A27" s="136" t="s">
        <v>365</v>
      </c>
      <c r="B27" s="135">
        <f>'[1]ERF Adj Summary'!$M$14</f>
        <v>4826758.4271818865</v>
      </c>
    </row>
    <row r="28" spans="1:2" ht="15.75" thickBot="1" x14ac:dyDescent="0.3">
      <c r="A28" s="79" t="s">
        <v>364</v>
      </c>
      <c r="B28" s="137">
        <f>SUM(B26:B27)</f>
        <v>13961272.427181887</v>
      </c>
    </row>
    <row r="29" spans="1:2" ht="15.75" thickTop="1" x14ac:dyDescent="0.25">
      <c r="B29" s="135"/>
    </row>
    <row r="30" spans="1:2" x14ac:dyDescent="0.25">
      <c r="B30" s="135"/>
    </row>
    <row r="31" spans="1:2" x14ac:dyDescent="0.25">
      <c r="B31" s="135"/>
    </row>
    <row r="32" spans="1:2" x14ac:dyDescent="0.25">
      <c r="A32" s="139" t="s">
        <v>366</v>
      </c>
      <c r="B32" s="135">
        <v>116721927.84999999</v>
      </c>
    </row>
    <row r="33" spans="1:2" x14ac:dyDescent="0.25">
      <c r="A33" s="136" t="s">
        <v>367</v>
      </c>
      <c r="B33" s="135">
        <f>'[1]ERF Adj Summary'!$M$13</f>
        <v>-55279030.301403992</v>
      </c>
    </row>
    <row r="34" spans="1:2" ht="15.75" thickBot="1" x14ac:dyDescent="0.3">
      <c r="A34" s="139" t="s">
        <v>366</v>
      </c>
      <c r="B34" s="140">
        <f>SUM(B32:B33)</f>
        <v>61442897.548596002</v>
      </c>
    </row>
    <row r="35" spans="1:2" ht="15.75" thickTop="1" x14ac:dyDescent="0.25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workbookViewId="0">
      <selection activeCell="F37" sqref="F37"/>
    </sheetView>
  </sheetViews>
  <sheetFormatPr defaultColWidth="9.28515625" defaultRowHeight="15" x14ac:dyDescent="0.25"/>
  <cols>
    <col min="1" max="1" width="6.7109375" style="143" customWidth="1"/>
    <col min="2" max="2" width="41.85546875" style="143" customWidth="1"/>
    <col min="3" max="3" width="17.42578125" style="143" customWidth="1"/>
    <col min="4" max="4" width="12.7109375" style="143" customWidth="1"/>
    <col min="5" max="5" width="5.140625" style="143" bestFit="1" customWidth="1"/>
    <col min="6" max="6" width="14.85546875" style="143" customWidth="1"/>
    <col min="7" max="7" width="16" style="143" customWidth="1"/>
    <col min="8" max="8" width="9.28515625" style="145"/>
    <col min="9" max="9" width="15.28515625" style="145" bestFit="1" customWidth="1"/>
    <col min="10" max="10" width="13.140625" style="145" bestFit="1" customWidth="1"/>
    <col min="11" max="11" width="9.28515625" style="145"/>
    <col min="12" max="12" width="11.5703125" style="145" bestFit="1" customWidth="1"/>
    <col min="13" max="13" width="5.7109375" style="145" bestFit="1" customWidth="1"/>
    <col min="14" max="14" width="9.28515625" style="145"/>
    <col min="15" max="15" width="5.7109375" style="145" bestFit="1" customWidth="1"/>
    <col min="16" max="16" width="11.5703125" style="145" bestFit="1" customWidth="1"/>
    <col min="17" max="21" width="9.28515625" style="145"/>
    <col min="22" max="16384" width="9.28515625" style="143"/>
  </cols>
  <sheetData>
    <row r="1" spans="1:10" s="145" customFormat="1" ht="18" x14ac:dyDescent="0.25">
      <c r="A1" s="141" t="s">
        <v>368</v>
      </c>
      <c r="B1" s="142"/>
      <c r="C1" s="143"/>
      <c r="D1" s="143"/>
      <c r="E1" s="143"/>
      <c r="F1" s="143"/>
      <c r="G1" s="144" t="s">
        <v>369</v>
      </c>
    </row>
    <row r="2" spans="1:10" s="145" customFormat="1" ht="18" x14ac:dyDescent="0.25">
      <c r="A2" s="146" t="s">
        <v>370</v>
      </c>
      <c r="B2" s="147"/>
      <c r="C2" s="143"/>
      <c r="D2" s="143"/>
      <c r="E2" s="143"/>
      <c r="F2" s="143"/>
      <c r="G2" s="148" t="s">
        <v>371</v>
      </c>
    </row>
    <row r="3" spans="1:10" s="145" customFormat="1" ht="15.75" x14ac:dyDescent="0.25">
      <c r="A3" s="149"/>
      <c r="B3" s="147"/>
      <c r="C3" s="143"/>
      <c r="D3" s="150"/>
      <c r="E3" s="143"/>
      <c r="F3" s="143"/>
      <c r="G3" s="151"/>
    </row>
    <row r="4" spans="1:10" s="145" customFormat="1" x14ac:dyDescent="0.25">
      <c r="A4" s="152" t="s">
        <v>372</v>
      </c>
      <c r="B4" s="153"/>
      <c r="C4" s="154" t="s">
        <v>373</v>
      </c>
      <c r="D4" s="155"/>
      <c r="E4" s="155"/>
      <c r="F4" s="155"/>
      <c r="G4" s="155"/>
    </row>
    <row r="5" spans="1:10" s="145" customFormat="1" x14ac:dyDescent="0.25">
      <c r="A5" s="152">
        <v>3</v>
      </c>
      <c r="B5" s="156" t="s">
        <v>374</v>
      </c>
      <c r="C5" s="157">
        <v>199079031.3739852</v>
      </c>
      <c r="D5" s="143"/>
      <c r="E5" s="158"/>
      <c r="F5" s="158"/>
      <c r="G5" s="158"/>
    </row>
    <row r="6" spans="1:10" s="145" customFormat="1" x14ac:dyDescent="0.25">
      <c r="A6" s="152">
        <v>4</v>
      </c>
      <c r="B6" s="156" t="s">
        <v>375</v>
      </c>
      <c r="C6" s="159">
        <v>85738601.034227908</v>
      </c>
      <c r="D6" s="143"/>
      <c r="E6" s="158"/>
      <c r="F6" s="158"/>
      <c r="G6" s="158"/>
    </row>
    <row r="7" spans="1:10" s="145" customFormat="1" x14ac:dyDescent="0.25">
      <c r="A7" s="152">
        <v>5</v>
      </c>
      <c r="B7" s="156" t="s">
        <v>376</v>
      </c>
      <c r="C7" s="160">
        <v>1961447671.7378278</v>
      </c>
      <c r="D7" s="143"/>
      <c r="E7" s="158"/>
      <c r="F7" s="161"/>
      <c r="G7" s="162"/>
    </row>
    <row r="8" spans="1:10" s="145" customFormat="1" x14ac:dyDescent="0.25">
      <c r="A8" s="152">
        <v>6</v>
      </c>
      <c r="B8" s="163"/>
      <c r="C8" s="164">
        <f>SUM(C5:C7)</f>
        <v>2246265304.1460409</v>
      </c>
      <c r="D8" s="143"/>
      <c r="E8" s="152"/>
      <c r="F8" s="152"/>
      <c r="G8" s="155"/>
    </row>
    <row r="9" spans="1:10" s="145" customFormat="1" x14ac:dyDescent="0.25">
      <c r="A9" s="152">
        <v>7</v>
      </c>
      <c r="B9" s="156" t="s">
        <v>377</v>
      </c>
      <c r="C9" s="165">
        <v>6.9699999999999998E-2</v>
      </c>
      <c r="D9" s="166"/>
      <c r="E9" s="152"/>
      <c r="F9" s="152" t="s">
        <v>378</v>
      </c>
      <c r="G9" s="152" t="s">
        <v>379</v>
      </c>
    </row>
    <row r="10" spans="1:10" s="145" customFormat="1" x14ac:dyDescent="0.25">
      <c r="A10" s="152">
        <v>8</v>
      </c>
      <c r="B10" s="167"/>
      <c r="C10" s="158"/>
      <c r="D10" s="152" t="s">
        <v>380</v>
      </c>
      <c r="E10" s="152"/>
      <c r="F10" s="152" t="s">
        <v>381</v>
      </c>
      <c r="G10" s="152" t="s">
        <v>381</v>
      </c>
    </row>
    <row r="11" spans="1:10" s="145" customFormat="1" x14ac:dyDescent="0.25">
      <c r="A11" s="152">
        <v>9</v>
      </c>
      <c r="B11" s="168"/>
      <c r="C11" s="158"/>
      <c r="D11" s="169" t="s">
        <v>382</v>
      </c>
      <c r="E11" s="170" t="s">
        <v>383</v>
      </c>
      <c r="F11" s="170" t="s">
        <v>384</v>
      </c>
      <c r="G11" s="170" t="s">
        <v>385</v>
      </c>
    </row>
    <row r="12" spans="1:10" s="145" customFormat="1" x14ac:dyDescent="0.25">
      <c r="A12" s="152" t="s">
        <v>386</v>
      </c>
      <c r="B12" s="156"/>
      <c r="C12" s="169" t="s">
        <v>387</v>
      </c>
      <c r="D12" s="169" t="s">
        <v>388</v>
      </c>
      <c r="E12" s="169" t="s">
        <v>389</v>
      </c>
      <c r="F12" s="170" t="s">
        <v>390</v>
      </c>
      <c r="G12" s="170" t="s">
        <v>391</v>
      </c>
    </row>
    <row r="13" spans="1:10" s="145" customFormat="1" x14ac:dyDescent="0.25">
      <c r="A13" s="152">
        <v>10</v>
      </c>
      <c r="B13" s="156" t="s">
        <v>392</v>
      </c>
      <c r="C13" s="157">
        <f>C5*$C$9/(1-0.21)</f>
        <v>17564314.5402111</v>
      </c>
      <c r="D13" s="171">
        <f t="shared" ref="D13:D34" si="0">+C13/$C$39</f>
        <v>0.8475674343154771</v>
      </c>
      <c r="E13" s="172" t="s">
        <v>393</v>
      </c>
      <c r="F13" s="157">
        <f>+C13</f>
        <v>17564314.5402111</v>
      </c>
      <c r="G13" s="173">
        <v>0</v>
      </c>
      <c r="I13" s="174"/>
      <c r="J13" s="175"/>
    </row>
    <row r="14" spans="1:10" s="145" customFormat="1" x14ac:dyDescent="0.25">
      <c r="A14" s="152" t="s">
        <v>394</v>
      </c>
      <c r="B14" s="156" t="s">
        <v>395</v>
      </c>
      <c r="C14" s="159">
        <v>4769481.1386719989</v>
      </c>
      <c r="D14" s="171">
        <f t="shared" si="0"/>
        <v>0.23015170233177235</v>
      </c>
      <c r="E14" s="172" t="s">
        <v>396</v>
      </c>
      <c r="F14" s="158"/>
      <c r="G14" s="161">
        <f>+C14</f>
        <v>4769481.1386719989</v>
      </c>
      <c r="I14" s="174"/>
      <c r="J14" s="175"/>
    </row>
    <row r="15" spans="1:10" s="145" customFormat="1" x14ac:dyDescent="0.25">
      <c r="A15" s="152">
        <v>11</v>
      </c>
      <c r="B15" s="163" t="s">
        <v>397</v>
      </c>
      <c r="C15" s="176">
        <f>+C6*C9/(1-0.21)</f>
        <v>7564532.2684628917</v>
      </c>
      <c r="D15" s="171">
        <f t="shared" si="0"/>
        <v>0.36502712314218622</v>
      </c>
      <c r="E15" s="172" t="s">
        <v>393</v>
      </c>
      <c r="F15" s="161">
        <f>+C15</f>
        <v>7564532.2684628917</v>
      </c>
      <c r="G15" s="158"/>
      <c r="I15" s="174"/>
      <c r="J15" s="175"/>
    </row>
    <row r="16" spans="1:10" s="145" customFormat="1" x14ac:dyDescent="0.25">
      <c r="A16" s="152">
        <v>12</v>
      </c>
      <c r="B16" s="163" t="s">
        <v>398</v>
      </c>
      <c r="C16" s="159">
        <f>C7*$C$9/(1-0.21)</f>
        <v>173054307.24066657</v>
      </c>
      <c r="D16" s="171">
        <f t="shared" si="0"/>
        <v>8.3507497459932871</v>
      </c>
      <c r="E16" s="172" t="s">
        <v>393</v>
      </c>
      <c r="F16" s="159">
        <f>+C16</f>
        <v>173054307.24066657</v>
      </c>
      <c r="G16" s="158"/>
      <c r="I16" s="174"/>
      <c r="J16" s="175"/>
    </row>
    <row r="17" spans="1:10" s="145" customFormat="1" x14ac:dyDescent="0.25">
      <c r="A17" s="152">
        <v>13</v>
      </c>
      <c r="B17" s="163" t="s">
        <v>399</v>
      </c>
      <c r="C17" s="159">
        <v>69962949.456452519</v>
      </c>
      <c r="D17" s="171">
        <f t="shared" si="0"/>
        <v>3.3760678466668006</v>
      </c>
      <c r="E17" s="172" t="s">
        <v>396</v>
      </c>
      <c r="F17" s="159"/>
      <c r="G17" s="159">
        <f>+C17</f>
        <v>69962949.456452519</v>
      </c>
      <c r="I17" s="143"/>
      <c r="J17" s="143"/>
    </row>
    <row r="18" spans="1:10" s="145" customFormat="1" x14ac:dyDescent="0.25">
      <c r="A18" s="152">
        <v>14</v>
      </c>
      <c r="B18" s="163" t="s">
        <v>400</v>
      </c>
      <c r="C18" s="159">
        <v>378349379.60972166</v>
      </c>
      <c r="D18" s="171">
        <f t="shared" si="0"/>
        <v>18.257280249480782</v>
      </c>
      <c r="E18" s="172" t="s">
        <v>396</v>
      </c>
      <c r="F18" s="159"/>
      <c r="G18" s="159">
        <f>+C18</f>
        <v>378349379.60972166</v>
      </c>
      <c r="I18" s="143"/>
      <c r="J18" s="143"/>
    </row>
    <row r="19" spans="1:10" s="145" customFormat="1" x14ac:dyDescent="0.25">
      <c r="A19" s="152">
        <v>15</v>
      </c>
      <c r="B19" s="163" t="s">
        <v>401</v>
      </c>
      <c r="C19" s="159">
        <v>7238267.1874165451</v>
      </c>
      <c r="D19" s="171">
        <f t="shared" si="0"/>
        <v>0.34928317497864692</v>
      </c>
      <c r="E19" s="172" t="s">
        <v>393</v>
      </c>
      <c r="F19" s="159">
        <f>+C19</f>
        <v>7238267.1874165451</v>
      </c>
      <c r="G19" s="158"/>
      <c r="I19" s="143"/>
      <c r="J19" s="143"/>
    </row>
    <row r="20" spans="1:10" s="145" customFormat="1" x14ac:dyDescent="0.25">
      <c r="A20" s="152" t="s">
        <v>402</v>
      </c>
      <c r="B20" s="177" t="s">
        <v>403</v>
      </c>
      <c r="C20" s="159">
        <v>8206061.1260157973</v>
      </c>
      <c r="D20" s="171">
        <f t="shared" si="0"/>
        <v>0.39598415061915598</v>
      </c>
      <c r="E20" s="172" t="s">
        <v>393</v>
      </c>
      <c r="F20" s="159">
        <f>+C20</f>
        <v>8206061.1260157973</v>
      </c>
      <c r="G20" s="158"/>
      <c r="I20" s="143"/>
      <c r="J20" s="143"/>
    </row>
    <row r="21" spans="1:10" s="145" customFormat="1" x14ac:dyDescent="0.25">
      <c r="A21" s="152" t="s">
        <v>404</v>
      </c>
      <c r="B21" s="177" t="s">
        <v>405</v>
      </c>
      <c r="C21" s="159">
        <v>2763777.09</v>
      </c>
      <c r="D21" s="171">
        <f t="shared" si="0"/>
        <v>0.13336628946312651</v>
      </c>
      <c r="E21" s="172" t="s">
        <v>393</v>
      </c>
      <c r="F21" s="159">
        <f>+C21</f>
        <v>2763777.09</v>
      </c>
      <c r="G21" s="158"/>
      <c r="I21" s="143"/>
      <c r="J21" s="143"/>
    </row>
    <row r="22" spans="1:10" s="145" customFormat="1" x14ac:dyDescent="0.25">
      <c r="A22" s="152" t="s">
        <v>406</v>
      </c>
      <c r="B22" s="177" t="s">
        <v>407</v>
      </c>
      <c r="C22" s="159">
        <v>1262663.2680056884</v>
      </c>
      <c r="D22" s="171">
        <f t="shared" si="0"/>
        <v>6.092991924153475E-2</v>
      </c>
      <c r="E22" s="172" t="s">
        <v>396</v>
      </c>
      <c r="F22" s="159"/>
      <c r="G22" s="159">
        <f>+C22</f>
        <v>1262663.2680056884</v>
      </c>
      <c r="I22" s="143"/>
      <c r="J22" s="143"/>
    </row>
    <row r="23" spans="1:10" s="145" customFormat="1" x14ac:dyDescent="0.25">
      <c r="A23" s="152" t="s">
        <v>408</v>
      </c>
      <c r="B23" s="177" t="s">
        <v>409</v>
      </c>
      <c r="C23" s="159">
        <v>2119540.3036357597</v>
      </c>
      <c r="D23" s="171">
        <f t="shared" si="0"/>
        <v>0.1022785906599471</v>
      </c>
      <c r="E23" s="172" t="s">
        <v>393</v>
      </c>
      <c r="F23" s="159">
        <f>+C23</f>
        <v>2119540.3036357597</v>
      </c>
      <c r="G23" s="159"/>
      <c r="I23" s="143"/>
      <c r="J23" s="143"/>
    </row>
    <row r="24" spans="1:10" s="145" customFormat="1" x14ac:dyDescent="0.25">
      <c r="A24" s="152" t="s">
        <v>410</v>
      </c>
      <c r="B24" s="177" t="s">
        <v>411</v>
      </c>
      <c r="C24" s="159">
        <v>313332.07420681993</v>
      </c>
      <c r="D24" s="171">
        <f t="shared" si="0"/>
        <v>1.5119864861007507E-2</v>
      </c>
      <c r="E24" s="172" t="s">
        <v>396</v>
      </c>
      <c r="F24" s="158"/>
      <c r="G24" s="161">
        <f>+C24</f>
        <v>313332.07420681993</v>
      </c>
      <c r="I24" s="143"/>
      <c r="J24" s="143"/>
    </row>
    <row r="25" spans="1:10" s="145" customFormat="1" x14ac:dyDescent="0.25">
      <c r="A25" s="152">
        <v>16</v>
      </c>
      <c r="B25" s="163" t="s">
        <v>412</v>
      </c>
      <c r="C25" s="159">
        <v>171115373.90212974</v>
      </c>
      <c r="D25" s="171">
        <f t="shared" si="0"/>
        <v>8.2571863592018406</v>
      </c>
      <c r="E25" s="172" t="s">
        <v>396</v>
      </c>
      <c r="F25" s="158"/>
      <c r="G25" s="159">
        <f>+C25</f>
        <v>171115373.90212974</v>
      </c>
      <c r="I25" s="143"/>
      <c r="J25" s="143"/>
    </row>
    <row r="26" spans="1:10" s="145" customFormat="1" x14ac:dyDescent="0.25">
      <c r="A26" s="152">
        <v>17</v>
      </c>
      <c r="B26" s="163" t="s">
        <v>413</v>
      </c>
      <c r="C26" s="159">
        <v>108374278.4084733</v>
      </c>
      <c r="D26" s="171">
        <f t="shared" si="0"/>
        <v>5.2296096660175699</v>
      </c>
      <c r="E26" s="172" t="s">
        <v>396</v>
      </c>
      <c r="F26" s="158"/>
      <c r="G26" s="159">
        <f>+C26</f>
        <v>108374278.4084733</v>
      </c>
      <c r="I26" s="143"/>
      <c r="J26" s="143"/>
    </row>
    <row r="27" spans="1:10" s="145" customFormat="1" x14ac:dyDescent="0.25">
      <c r="A27" s="152">
        <v>18</v>
      </c>
      <c r="B27" s="163" t="s">
        <v>414</v>
      </c>
      <c r="C27" s="159">
        <v>-11639833.365925668</v>
      </c>
      <c r="D27" s="171">
        <f t="shared" si="0"/>
        <v>-0.56168111082453498</v>
      </c>
      <c r="E27" s="172" t="s">
        <v>393</v>
      </c>
      <c r="F27" s="159">
        <f>+C27</f>
        <v>-11639833.365925668</v>
      </c>
      <c r="G27" s="159"/>
      <c r="I27" s="143"/>
      <c r="J27" s="143"/>
    </row>
    <row r="28" spans="1:10" s="145" customFormat="1" x14ac:dyDescent="0.25">
      <c r="A28" s="152">
        <v>19</v>
      </c>
      <c r="B28" s="163" t="s">
        <v>415</v>
      </c>
      <c r="C28" s="159">
        <v>138209148.65181684</v>
      </c>
      <c r="D28" s="171">
        <f t="shared" si="0"/>
        <v>6.6692937691116345</v>
      </c>
      <c r="E28" s="172" t="s">
        <v>393</v>
      </c>
      <c r="F28" s="159">
        <f>+C28</f>
        <v>138209148.65181684</v>
      </c>
      <c r="G28" s="159"/>
      <c r="I28" s="143"/>
      <c r="J28" s="143"/>
    </row>
    <row r="29" spans="1:10" s="145" customFormat="1" x14ac:dyDescent="0.25">
      <c r="A29" s="152">
        <v>20</v>
      </c>
      <c r="B29" s="163" t="s">
        <v>416</v>
      </c>
      <c r="C29" s="159">
        <v>-36228866.83523047</v>
      </c>
      <c r="D29" s="171">
        <f t="shared" si="0"/>
        <v>-1.7482269314521348</v>
      </c>
      <c r="E29" s="172" t="s">
        <v>396</v>
      </c>
      <c r="F29" s="159"/>
      <c r="G29" s="159">
        <f>+C29</f>
        <v>-36228866.83523047</v>
      </c>
      <c r="I29" s="143"/>
      <c r="J29" s="143"/>
    </row>
    <row r="30" spans="1:10" s="145" customFormat="1" x14ac:dyDescent="0.25">
      <c r="A30" s="178">
        <v>21</v>
      </c>
      <c r="B30" s="179" t="s">
        <v>417</v>
      </c>
      <c r="C30" s="159">
        <v>-16223873.273980575</v>
      </c>
      <c r="D30" s="171">
        <f t="shared" si="0"/>
        <v>-0.78288433140994562</v>
      </c>
      <c r="E30" s="172" t="s">
        <v>396</v>
      </c>
      <c r="F30" s="159"/>
      <c r="G30" s="159">
        <f>+C30</f>
        <v>-16223873.273980575</v>
      </c>
      <c r="I30" s="143"/>
      <c r="J30" s="143"/>
    </row>
    <row r="31" spans="1:10" s="145" customFormat="1" x14ac:dyDescent="0.25">
      <c r="A31" s="152">
        <v>22</v>
      </c>
      <c r="B31" s="163" t="s">
        <v>418</v>
      </c>
      <c r="C31" s="159">
        <v>662134.87</v>
      </c>
      <c r="D31" s="171">
        <f t="shared" si="0"/>
        <v>3.1951372292491807E-2</v>
      </c>
      <c r="E31" s="172" t="s">
        <v>393</v>
      </c>
      <c r="F31" s="159">
        <f>+C31</f>
        <v>662134.87</v>
      </c>
      <c r="G31" s="158"/>
      <c r="I31" s="143"/>
      <c r="J31" s="143"/>
    </row>
    <row r="32" spans="1:10" s="145" customFormat="1" x14ac:dyDescent="0.25">
      <c r="A32" s="152">
        <v>23</v>
      </c>
      <c r="B32" s="180" t="s">
        <v>419</v>
      </c>
      <c r="C32" s="159">
        <v>161583689.16694248</v>
      </c>
      <c r="D32" s="171">
        <f t="shared" si="0"/>
        <v>7.7972341329301305</v>
      </c>
      <c r="E32" s="172" t="s">
        <v>393</v>
      </c>
      <c r="F32" s="159">
        <f>+C32</f>
        <v>161583689.16694248</v>
      </c>
      <c r="G32" s="158"/>
      <c r="I32" s="143"/>
      <c r="J32" s="143"/>
    </row>
    <row r="33" spans="1:10" s="145" customFormat="1" x14ac:dyDescent="0.25">
      <c r="A33" s="152">
        <v>24</v>
      </c>
      <c r="B33" s="153" t="s">
        <v>420</v>
      </c>
      <c r="C33" s="159">
        <v>3490805.0455442886</v>
      </c>
      <c r="D33" s="171">
        <f t="shared" si="0"/>
        <v>0.16844908290465715</v>
      </c>
      <c r="E33" s="172" t="s">
        <v>393</v>
      </c>
      <c r="F33" s="161">
        <f>+C33</f>
        <v>3490805.0455442886</v>
      </c>
      <c r="G33" s="158"/>
      <c r="I33" s="143"/>
      <c r="J33" s="143"/>
    </row>
    <row r="34" spans="1:10" s="145" customFormat="1" x14ac:dyDescent="0.25">
      <c r="A34" s="152">
        <f t="shared" ref="A34:A45" si="1">+A33+1</f>
        <v>25</v>
      </c>
      <c r="B34" s="153" t="s">
        <v>421</v>
      </c>
      <c r="C34" s="159">
        <f>+F57</f>
        <v>19415532.153878614</v>
      </c>
      <c r="D34" s="171">
        <f t="shared" si="0"/>
        <v>0.93689809163112181</v>
      </c>
      <c r="E34" s="172" t="s">
        <v>393</v>
      </c>
      <c r="F34" s="159">
        <f>+C34</f>
        <v>19415532.153878614</v>
      </c>
      <c r="G34" s="158"/>
      <c r="I34" s="143"/>
      <c r="J34" s="143"/>
    </row>
    <row r="35" spans="1:10" s="145" customFormat="1" x14ac:dyDescent="0.25">
      <c r="A35" s="152">
        <f t="shared" si="1"/>
        <v>26</v>
      </c>
      <c r="B35" s="181" t="s">
        <v>422</v>
      </c>
      <c r="C35" s="182"/>
      <c r="D35" s="182"/>
      <c r="E35" s="172"/>
      <c r="F35" s="182"/>
      <c r="G35" s="182"/>
    </row>
    <row r="36" spans="1:10" s="145" customFormat="1" x14ac:dyDescent="0.25">
      <c r="A36" s="152">
        <f t="shared" si="1"/>
        <v>27</v>
      </c>
      <c r="B36" s="183" t="s">
        <v>423</v>
      </c>
      <c r="C36" s="184">
        <f>SUM(C13:C35)</f>
        <v>1211926994.0271161</v>
      </c>
      <c r="D36" s="185">
        <f>SUM(D13:D35)</f>
        <v>58.48163619215655</v>
      </c>
      <c r="E36" s="185"/>
      <c r="F36" s="184">
        <f>SUM(F13:F35)</f>
        <v>530232276.27866518</v>
      </c>
      <c r="G36" s="184">
        <f>SUM(G13:G35)</f>
        <v>681694717.74845052</v>
      </c>
    </row>
    <row r="37" spans="1:10" s="145" customFormat="1" x14ac:dyDescent="0.25">
      <c r="A37" s="152">
        <f t="shared" si="1"/>
        <v>28</v>
      </c>
      <c r="B37" s="163" t="s">
        <v>424</v>
      </c>
      <c r="C37" s="186">
        <v>0.95238599999999995</v>
      </c>
      <c r="D37" s="186">
        <f>+C37</f>
        <v>0.95238599999999995</v>
      </c>
      <c r="E37" s="186"/>
      <c r="F37" s="187">
        <f>+D37</f>
        <v>0.95238599999999995</v>
      </c>
      <c r="G37" s="187">
        <f>+F37</f>
        <v>0.95238599999999995</v>
      </c>
    </row>
    <row r="38" spans="1:10" s="145" customFormat="1" x14ac:dyDescent="0.25">
      <c r="A38" s="152">
        <f t="shared" si="1"/>
        <v>29</v>
      </c>
      <c r="B38" s="163" t="s">
        <v>425</v>
      </c>
      <c r="C38" s="184">
        <f>+C36/C37</f>
        <v>1272516599.3904951</v>
      </c>
      <c r="D38" s="185">
        <f>+D36/C37</f>
        <v>61.405392553183852</v>
      </c>
      <c r="E38" s="185"/>
      <c r="F38" s="184">
        <f>+F36/F37</f>
        <v>556740939.36561978</v>
      </c>
      <c r="G38" s="184">
        <f>+G36/G37</f>
        <v>715775660.02487493</v>
      </c>
    </row>
    <row r="39" spans="1:10" s="145" customFormat="1" x14ac:dyDescent="0.25">
      <c r="A39" s="152">
        <f t="shared" si="1"/>
        <v>30</v>
      </c>
      <c r="B39" s="163" t="s">
        <v>426</v>
      </c>
      <c r="C39" s="176">
        <v>20723206</v>
      </c>
      <c r="D39" s="188" t="s">
        <v>427</v>
      </c>
      <c r="E39" s="188"/>
      <c r="F39" s="158"/>
      <c r="G39" s="158"/>
    </row>
    <row r="40" spans="1:10" s="145" customFormat="1" x14ac:dyDescent="0.25">
      <c r="A40" s="152">
        <f t="shared" si="1"/>
        <v>31</v>
      </c>
      <c r="B40" s="156"/>
      <c r="C40" s="173"/>
      <c r="D40" s="189" t="s">
        <v>5</v>
      </c>
      <c r="E40" s="189"/>
      <c r="F40" s="189" t="s">
        <v>378</v>
      </c>
      <c r="G40" s="189" t="s">
        <v>428</v>
      </c>
    </row>
    <row r="41" spans="1:10" s="145" customFormat="1" x14ac:dyDescent="0.25">
      <c r="A41" s="152">
        <f t="shared" si="1"/>
        <v>32</v>
      </c>
      <c r="B41" s="163" t="s">
        <v>429</v>
      </c>
      <c r="C41" s="155"/>
      <c r="D41" s="155"/>
      <c r="E41" s="155"/>
      <c r="F41" s="155"/>
      <c r="G41" s="155"/>
    </row>
    <row r="42" spans="1:10" s="145" customFormat="1" x14ac:dyDescent="0.25">
      <c r="A42" s="152">
        <f t="shared" si="1"/>
        <v>33</v>
      </c>
      <c r="B42" s="163" t="s">
        <v>430</v>
      </c>
      <c r="C42" s="190"/>
      <c r="D42" s="191">
        <f>+F42+G42</f>
        <v>58.481636192156543</v>
      </c>
      <c r="E42" s="191"/>
      <c r="F42" s="191">
        <f>+F36/$C$39</f>
        <v>25.586401847217328</v>
      </c>
      <c r="G42" s="191">
        <f>+G36/$C$39</f>
        <v>32.895234344939219</v>
      </c>
    </row>
    <row r="43" spans="1:10" s="145" customFormat="1" x14ac:dyDescent="0.25">
      <c r="A43" s="152">
        <f t="shared" si="1"/>
        <v>34</v>
      </c>
      <c r="B43" s="163" t="s">
        <v>425</v>
      </c>
      <c r="C43" s="155"/>
      <c r="D43" s="191">
        <f>+F43+G43</f>
        <v>61.405392553183837</v>
      </c>
      <c r="E43" s="191"/>
      <c r="F43" s="191">
        <f>+F38/$C$39</f>
        <v>26.865579552006565</v>
      </c>
      <c r="G43" s="191">
        <f>+G38/$C$39</f>
        <v>34.539813001177272</v>
      </c>
    </row>
    <row r="44" spans="1:10" s="145" customFormat="1" x14ac:dyDescent="0.25">
      <c r="A44" s="152">
        <f t="shared" si="1"/>
        <v>35</v>
      </c>
      <c r="B44" s="163"/>
      <c r="C44" s="155"/>
      <c r="D44" s="155"/>
      <c r="E44" s="155"/>
      <c r="F44" s="155"/>
      <c r="G44" s="155"/>
    </row>
    <row r="45" spans="1:10" s="145" customFormat="1" x14ac:dyDescent="0.25">
      <c r="A45" s="152">
        <f t="shared" si="1"/>
        <v>36</v>
      </c>
      <c r="B45" s="163" t="s">
        <v>431</v>
      </c>
      <c r="C45" s="155"/>
      <c r="D45" s="155"/>
      <c r="E45" s="155"/>
      <c r="F45" s="155"/>
      <c r="G45" s="155"/>
    </row>
    <row r="46" spans="1:10" s="145" customFormat="1" x14ac:dyDescent="0.25">
      <c r="A46" s="143"/>
      <c r="B46" s="192"/>
      <c r="C46" s="143"/>
      <c r="D46" s="143"/>
      <c r="E46" s="143"/>
      <c r="F46" s="143"/>
      <c r="G46" s="143"/>
    </row>
    <row r="47" spans="1:10" s="145" customFormat="1" ht="15.75" thickBot="1" x14ac:dyDescent="0.3">
      <c r="A47" s="143"/>
      <c r="B47" s="193"/>
      <c r="C47" s="194"/>
      <c r="D47" s="195" t="s">
        <v>432</v>
      </c>
      <c r="E47" s="195"/>
      <c r="F47" s="195" t="s">
        <v>433</v>
      </c>
      <c r="G47" s="143"/>
    </row>
    <row r="48" spans="1:10" s="145" customFormat="1" x14ac:dyDescent="0.25">
      <c r="A48" s="143"/>
      <c r="B48" s="196" t="s">
        <v>434</v>
      </c>
      <c r="C48" s="197"/>
      <c r="D48" s="198" t="s">
        <v>435</v>
      </c>
      <c r="E48" s="198"/>
      <c r="F48" s="199">
        <v>1</v>
      </c>
      <c r="G48" s="143"/>
    </row>
    <row r="49" spans="1:7" s="145" customFormat="1" x14ac:dyDescent="0.25">
      <c r="A49" s="143"/>
      <c r="B49" s="200" t="s">
        <v>436</v>
      </c>
      <c r="C49" s="201">
        <v>407</v>
      </c>
      <c r="D49" s="202">
        <v>6553640.5497812936</v>
      </c>
      <c r="E49" s="202"/>
      <c r="F49" s="203">
        <f t="shared" ref="F49:F56" si="2">+D49*$F$48</f>
        <v>6553640.5497812936</v>
      </c>
      <c r="G49" s="150"/>
    </row>
    <row r="50" spans="1:7" s="145" customFormat="1" x14ac:dyDescent="0.25">
      <c r="A50" s="143"/>
      <c r="B50" s="204" t="s">
        <v>437</v>
      </c>
      <c r="C50" s="195">
        <v>407.3</v>
      </c>
      <c r="D50" s="205">
        <v>687420</v>
      </c>
      <c r="E50" s="205"/>
      <c r="F50" s="206">
        <f t="shared" si="2"/>
        <v>687420</v>
      </c>
      <c r="G50" s="150"/>
    </row>
    <row r="51" spans="1:7" s="145" customFormat="1" x14ac:dyDescent="0.25">
      <c r="A51" s="143"/>
      <c r="B51" s="204" t="s">
        <v>438</v>
      </c>
      <c r="C51" s="195">
        <v>407.3</v>
      </c>
      <c r="D51" s="205">
        <v>2885052</v>
      </c>
      <c r="E51" s="205"/>
      <c r="F51" s="206">
        <f t="shared" si="2"/>
        <v>2885052</v>
      </c>
      <c r="G51" s="150"/>
    </row>
    <row r="52" spans="1:7" s="145" customFormat="1" x14ac:dyDescent="0.25">
      <c r="A52" s="143"/>
      <c r="B52" s="207" t="s">
        <v>439</v>
      </c>
      <c r="C52" s="195">
        <v>407.3</v>
      </c>
      <c r="D52" s="205">
        <v>4520422.508572978</v>
      </c>
      <c r="E52" s="205"/>
      <c r="F52" s="206">
        <f t="shared" si="2"/>
        <v>4520422.508572978</v>
      </c>
      <c r="G52" s="150"/>
    </row>
    <row r="53" spans="1:7" s="145" customFormat="1" x14ac:dyDescent="0.25">
      <c r="A53" s="143"/>
      <c r="B53" s="207" t="s">
        <v>440</v>
      </c>
      <c r="C53" s="195">
        <v>407.3</v>
      </c>
      <c r="D53" s="205">
        <v>561126.34087998548</v>
      </c>
      <c r="E53" s="205"/>
      <c r="F53" s="206">
        <f t="shared" si="2"/>
        <v>561126.34087998548</v>
      </c>
      <c r="G53" s="150"/>
    </row>
    <row r="54" spans="1:7" s="145" customFormat="1" x14ac:dyDescent="0.25">
      <c r="A54" s="143"/>
      <c r="B54" s="207" t="s">
        <v>441</v>
      </c>
      <c r="C54" s="195">
        <v>407.3</v>
      </c>
      <c r="D54" s="205">
        <v>2203436.1529896799</v>
      </c>
      <c r="E54" s="205"/>
      <c r="F54" s="206">
        <f t="shared" si="2"/>
        <v>2203436.1529896799</v>
      </c>
      <c r="G54" s="150"/>
    </row>
    <row r="55" spans="1:7" s="145" customFormat="1" x14ac:dyDescent="0.25">
      <c r="A55" s="143"/>
      <c r="B55" s="207" t="s">
        <v>442</v>
      </c>
      <c r="C55" s="195">
        <v>407.4</v>
      </c>
      <c r="D55" s="205">
        <v>-1781873.2383453234</v>
      </c>
      <c r="E55" s="205"/>
      <c r="F55" s="206">
        <f t="shared" si="2"/>
        <v>-1781873.2383453234</v>
      </c>
      <c r="G55" s="150"/>
    </row>
    <row r="56" spans="1:7" s="145" customFormat="1" x14ac:dyDescent="0.25">
      <c r="A56" s="143"/>
      <c r="B56" s="207" t="s">
        <v>443</v>
      </c>
      <c r="C56" s="195">
        <v>407</v>
      </c>
      <c r="D56" s="208">
        <v>3786307.8400000003</v>
      </c>
      <c r="E56" s="208"/>
      <c r="F56" s="209">
        <f t="shared" si="2"/>
        <v>3786307.8400000003</v>
      </c>
      <c r="G56" s="150"/>
    </row>
    <row r="57" spans="1:7" s="145" customFormat="1" x14ac:dyDescent="0.25">
      <c r="A57" s="143"/>
      <c r="B57" s="204" t="s">
        <v>444</v>
      </c>
      <c r="C57" s="210"/>
      <c r="D57" s="208">
        <f>SUM(D49:D56)</f>
        <v>19415532.153878614</v>
      </c>
      <c r="E57" s="208"/>
      <c r="F57" s="209">
        <f>SUM(F49:F56)</f>
        <v>19415532.153878614</v>
      </c>
      <c r="G57" s="150">
        <v>0</v>
      </c>
    </row>
    <row r="58" spans="1:7" s="145" customFormat="1" ht="15.75" thickBot="1" x14ac:dyDescent="0.3">
      <c r="A58" s="143"/>
      <c r="B58" s="211"/>
      <c r="C58" s="212" t="s">
        <v>445</v>
      </c>
      <c r="D58" s="213">
        <v>0</v>
      </c>
      <c r="E58" s="213"/>
      <c r="F58" s="214">
        <f>+F57/D57-F48</f>
        <v>0</v>
      </c>
      <c r="G58" s="143"/>
    </row>
    <row r="59" spans="1:7" s="145" customFormat="1" x14ac:dyDescent="0.25">
      <c r="G59" s="143"/>
    </row>
    <row r="60" spans="1:7" s="145" customFormat="1" x14ac:dyDescent="0.25">
      <c r="G60" s="143"/>
    </row>
    <row r="61" spans="1:7" s="145" customFormat="1" x14ac:dyDescent="0.25">
      <c r="A61" s="143"/>
      <c r="B61" s="215"/>
      <c r="C61" s="216"/>
      <c r="D61" s="216"/>
      <c r="E61" s="216"/>
      <c r="F61" s="216"/>
      <c r="G61" s="14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788A88BAE311849B18973A6AC2E559A" ma:contentTypeVersion="76" ma:contentTypeDescription="" ma:contentTypeScope="" ma:versionID="826b4685b6e9866bb690c1e6d103e4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180900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F7E145B-D238-4228-8421-B6EDA4E9C313}"/>
</file>

<file path=customXml/itemProps2.xml><?xml version="1.0" encoding="utf-8"?>
<ds:datastoreItem xmlns:ds="http://schemas.openxmlformats.org/officeDocument/2006/customXml" ds:itemID="{299DEADF-07C4-461B-8262-6B93634918AF}"/>
</file>

<file path=customXml/itemProps3.xml><?xml version="1.0" encoding="utf-8"?>
<ds:datastoreItem xmlns:ds="http://schemas.openxmlformats.org/officeDocument/2006/customXml" ds:itemID="{7FFF7DBC-FAB4-47C4-A3AB-F74D145F36CD}"/>
</file>

<file path=customXml/itemProps4.xml><?xml version="1.0" encoding="utf-8"?>
<ds:datastoreItem xmlns:ds="http://schemas.openxmlformats.org/officeDocument/2006/customXml" ds:itemID="{B3EDD1E0-A5A6-4FAE-A9FE-B0723FFCC8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ERF Revenues Lead Sheet</vt:lpstr>
      <vt:lpstr>Annualize  FPC</vt:lpstr>
      <vt:lpstr>Decoupling Accts 17GRC</vt:lpstr>
      <vt:lpstr>456.1</vt:lpstr>
      <vt:lpstr>Summary of A-1 &amp; Total Revenue</vt:lpstr>
      <vt:lpstr>Annualize VC rev component</vt:lpstr>
      <vt:lpstr>456 &amp; 447</vt:lpstr>
      <vt:lpstr>A-1 UE-180284</vt:lpstr>
      <vt:lpstr>'Decoupling Accts 17GRC'!Print_Area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SFree</dc:creator>
  <cp:lastModifiedBy>NC</cp:lastModifiedBy>
  <cp:lastPrinted>2018-10-13T00:44:20Z</cp:lastPrinted>
  <dcterms:created xsi:type="dcterms:W3CDTF">2018-04-17T16:17:23Z</dcterms:created>
  <dcterms:modified xsi:type="dcterms:W3CDTF">2018-11-05T22:38:46Z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0x0101006E56B4D1795A2E4DB2F0B01679ED314A003788A88BAE311849B18973A6AC2E559A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