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osts" sheetId="2" r:id="rId2"/>
    <sheet name="Sheet4" sheetId="3" r:id="rId3"/>
  </sheets>
  <definedNames>
    <definedName name="_xlnm.Print_Area" localSheetId="0">'Summary'!$A$1:$F$31</definedName>
    <definedName name="_xlnm.Print_Titles" localSheetId="1">'Costs'!$1:$5</definedName>
  </definedNames>
  <calcPr fullCalcOnLoad="1"/>
</workbook>
</file>

<file path=xl/sharedStrings.xml><?xml version="1.0" encoding="utf-8"?>
<sst xmlns="http://schemas.openxmlformats.org/spreadsheetml/2006/main" count="82" uniqueCount="64">
  <si>
    <t>FERC Acct.</t>
  </si>
  <si>
    <t>AVISTA UTILITIES</t>
  </si>
  <si>
    <t>Avista Utilities</t>
  </si>
  <si>
    <t>Depreciation Expense</t>
  </si>
  <si>
    <t>Property Tax @ 1.5% of Gross Plant</t>
  </si>
  <si>
    <t>Total Expenses</t>
  </si>
  <si>
    <t>Net Operating Income Before FIT</t>
  </si>
  <si>
    <t xml:space="preserve">   Net Rate Base</t>
  </si>
  <si>
    <t>Description</t>
  </si>
  <si>
    <t>Wells</t>
  </si>
  <si>
    <t>Lines</t>
  </si>
  <si>
    <t>Compressors</t>
  </si>
  <si>
    <t>Jackson Prairie Capital Additions</t>
  </si>
  <si>
    <t>Jackson Prairie Expansion Projects</t>
  </si>
  <si>
    <t>Estimated Cost</t>
  </si>
  <si>
    <t>Total</t>
  </si>
  <si>
    <t>WA</t>
  </si>
  <si>
    <t>ID</t>
  </si>
  <si>
    <t>Jackson Prairie Deliverability Expansion:</t>
  </si>
  <si>
    <t>WA/ID</t>
  </si>
  <si>
    <t>2008 Budget</t>
  </si>
  <si>
    <t>less normal maint</t>
  </si>
  <si>
    <t>orig budget</t>
  </si>
  <si>
    <t>addn to budget</t>
  </si>
  <si>
    <t>AFUDC 2008</t>
  </si>
  <si>
    <t>AFUDC 06/07</t>
  </si>
  <si>
    <t>pro-forma by JPluth for OR portion of Deliverability Expansion:</t>
  </si>
  <si>
    <t>Rounded</t>
  </si>
  <si>
    <t>all states</t>
  </si>
  <si>
    <t>Project Total, Deliverability</t>
  </si>
  <si>
    <t>reconciliation w/ earlier estimates:</t>
  </si>
  <si>
    <t>est. of 12/31/07 CWIP for '08 budget</t>
  </si>
  <si>
    <t>less capacity - 100% Oregon</t>
  </si>
  <si>
    <t>Deliverability, transfer to plant</t>
  </si>
  <si>
    <t>JP Expansion Project Costs--Deliverability</t>
  </si>
  <si>
    <t>75% WA/ID; 25% OR</t>
  </si>
  <si>
    <t>Gross Plant</t>
  </si>
  <si>
    <t>Tax Depr</t>
  </si>
  <si>
    <t>ADFIT</t>
  </si>
  <si>
    <t>AMA Dec '10</t>
  </si>
  <si>
    <t>AMA Jun '10</t>
  </si>
  <si>
    <t>DFIT</t>
  </si>
  <si>
    <t>Accum</t>
  </si>
  <si>
    <t>Depr</t>
  </si>
  <si>
    <t>Book</t>
  </si>
  <si>
    <t>Tax</t>
  </si>
  <si>
    <t>Temp</t>
  </si>
  <si>
    <t>Deduct</t>
  </si>
  <si>
    <r>
      <t xml:space="preserve">Revenue Requirement - </t>
    </r>
    <r>
      <rPr>
        <b/>
        <sz val="10"/>
        <color indexed="10"/>
        <rFont val="Arial"/>
        <family val="2"/>
      </rPr>
      <t>Idaho</t>
    </r>
  </si>
  <si>
    <r>
      <t xml:space="preserve">Revenue Requirement - </t>
    </r>
    <r>
      <rPr>
        <b/>
        <sz val="10"/>
        <color indexed="17"/>
        <rFont val="Arial"/>
        <family val="2"/>
      </rPr>
      <t>Washington</t>
    </r>
  </si>
  <si>
    <t>Accumulated Depreciation (AMA 2010)</t>
  </si>
  <si>
    <t>Accumulated DFIT (AMA 2010)</t>
  </si>
  <si>
    <t>Accumulated Depreciation (AMA June 2010)</t>
  </si>
  <si>
    <t>Accumulated DFIT (AMA June 2010)</t>
  </si>
  <si>
    <t>Rate</t>
  </si>
  <si>
    <t>% Monthly</t>
  </si>
  <si>
    <t>Spread</t>
  </si>
  <si>
    <t>352-354</t>
  </si>
  <si>
    <t>Account</t>
  </si>
  <si>
    <t>Depr Rate</t>
  </si>
  <si>
    <t>Annual Depr. Exp.</t>
  </si>
  <si>
    <t>Date Placed in Service</t>
  </si>
  <si>
    <t>GD.AN</t>
  </si>
  <si>
    <t>ORIGINAL BUDGET RECON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</si>
</sst>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&quot;/07)&quot;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##&quot;/07&quot;"/>
    <numFmt numFmtId="170" formatCode="##&quot;/08&quot;"/>
    <numFmt numFmtId="171" formatCode="_(* #,##0.000_);_(* \(#,##0.000\);_(* &quot;-&quot;???_);_(@_)"/>
    <numFmt numFmtId="172" formatCode="0.0%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%"/>
    <numFmt numFmtId="177" formatCode="0.00000"/>
    <numFmt numFmtId="178" formatCode="0.0000%"/>
    <numFmt numFmtId="179" formatCode="_(* #,##0.0000_);_(* \(#,##0.0000\);_(* &quot;-&quot;????_);_(@_)"/>
    <numFmt numFmtId="180" formatCode="_(* #,##0.00000_);_(* \(#,##0.00000\);_(* &quot;-&quot;??_);_(@_)"/>
    <numFmt numFmtId="181" formatCode="[$-409]dddd\,\ mmmm\ dd\,\ yyyy"/>
    <numFmt numFmtId="182" formatCode="[$-409]mmm\-yy;@"/>
    <numFmt numFmtId="183" formatCode="#,##0.000"/>
    <numFmt numFmtId="184" formatCode="0.0000"/>
    <numFmt numFmtId="185" formatCode="&quot;$&quot;#,##0"/>
    <numFmt numFmtId="186" formatCode="&quot;$&quot;#,##0.00"/>
    <numFmt numFmtId="187" formatCode="_(* #,##0.0_);_(* \(#,##0.0\);_(* &quot;-&quot;?_);_(@_)"/>
    <numFmt numFmtId="188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medium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/>
    </xf>
    <xf numFmtId="166" fontId="0" fillId="0" borderId="0" xfId="15" applyNumberFormat="1" applyFont="1" applyAlignment="1">
      <alignment/>
    </xf>
    <xf numFmtId="166" fontId="2" fillId="0" borderId="1" xfId="15" applyNumberFormat="1" applyFont="1" applyBorder="1" applyAlignment="1">
      <alignment horizontal="center" wrapText="1"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170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5" fontId="0" fillId="0" borderId="0" xfId="17" applyNumberFormat="1" applyAlignment="1">
      <alignment/>
    </xf>
    <xf numFmtId="175" fontId="0" fillId="0" borderId="3" xfId="17" applyNumberFormat="1" applyBorder="1" applyAlignment="1">
      <alignment/>
    </xf>
    <xf numFmtId="175" fontId="0" fillId="0" borderId="0" xfId="17" applyNumberFormat="1" applyAlignment="1">
      <alignment/>
    </xf>
    <xf numFmtId="175" fontId="0" fillId="0" borderId="1" xfId="17" applyNumberFormat="1" applyBorder="1" applyAlignment="1">
      <alignment/>
    </xf>
    <xf numFmtId="175" fontId="0" fillId="0" borderId="3" xfId="17" applyNumberFormat="1" applyBorder="1" applyAlignment="1">
      <alignment/>
    </xf>
    <xf numFmtId="177" fontId="0" fillId="0" borderId="0" xfId="19" applyNumberFormat="1" applyBorder="1" applyAlignment="1">
      <alignment/>
    </xf>
    <xf numFmtId="172" fontId="0" fillId="0" borderId="0" xfId="0" applyNumberFormat="1" applyAlignment="1">
      <alignment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166" fontId="2" fillId="0" borderId="0" xfId="15" applyNumberFormat="1" applyFont="1" applyAlignment="1">
      <alignment horizontal="right"/>
    </xf>
    <xf numFmtId="166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0" borderId="12" xfId="15" applyNumberFormat="1" applyBorder="1" applyAlignment="1">
      <alignment/>
    </xf>
    <xf numFmtId="166" fontId="0" fillId="2" borderId="13" xfId="15" applyNumberFormat="1" applyFill="1" applyBorder="1" applyAlignment="1">
      <alignment/>
    </xf>
    <xf numFmtId="166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175" fontId="2" fillId="0" borderId="0" xfId="17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" fontId="2" fillId="0" borderId="0" xfId="0" applyNumberFormat="1" applyFont="1" applyAlignment="1">
      <alignment horizontal="right"/>
    </xf>
    <xf numFmtId="175" fontId="7" fillId="0" borderId="0" xfId="17" applyNumberFormat="1" applyFont="1" applyFill="1" applyBorder="1" applyAlignment="1">
      <alignment/>
    </xf>
    <xf numFmtId="175" fontId="7" fillId="0" borderId="1" xfId="17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75" fontId="0" fillId="4" borderId="0" xfId="17" applyNumberFormat="1" applyFill="1" applyAlignment="1">
      <alignment/>
    </xf>
    <xf numFmtId="166" fontId="0" fillId="4" borderId="1" xfId="15" applyNumberFormat="1" applyFill="1" applyBorder="1" applyAlignment="1">
      <alignment/>
    </xf>
    <xf numFmtId="166" fontId="0" fillId="4" borderId="2" xfId="15" applyNumberFormat="1" applyFill="1" applyBorder="1" applyAlignment="1">
      <alignment/>
    </xf>
    <xf numFmtId="166" fontId="0" fillId="4" borderId="0" xfId="15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66" fontId="0" fillId="4" borderId="0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3.00390625" style="0" customWidth="1"/>
    <col min="2" max="2" width="14.7109375" style="0" customWidth="1"/>
    <col min="3" max="3" width="14.7109375" style="23" customWidth="1"/>
    <col min="4" max="4" width="1.7109375" style="0" customWidth="1"/>
    <col min="5" max="6" width="14.7109375" style="23" customWidth="1"/>
  </cols>
  <sheetData>
    <row r="1" ht="12.75">
      <c r="A1" s="77" t="s">
        <v>2</v>
      </c>
    </row>
    <row r="2" ht="12.75">
      <c r="A2" s="77" t="s">
        <v>13</v>
      </c>
    </row>
    <row r="3" ht="12.75">
      <c r="A3" s="77" t="s">
        <v>49</v>
      </c>
    </row>
    <row r="4" spans="1:6" ht="12.75">
      <c r="A4" s="78"/>
      <c r="B4" s="22" t="s">
        <v>15</v>
      </c>
      <c r="C4" s="24" t="s">
        <v>19</v>
      </c>
      <c r="E4" s="24" t="s">
        <v>16</v>
      </c>
      <c r="F4" s="24" t="s">
        <v>17</v>
      </c>
    </row>
    <row r="5" spans="2:6" s="4" customFormat="1" ht="12.75">
      <c r="B5" s="24"/>
      <c r="C5" s="32">
        <v>1</v>
      </c>
      <c r="D5" s="33"/>
      <c r="E5" s="60">
        <v>0.7093</v>
      </c>
      <c r="F5" s="61">
        <f>1-E5</f>
        <v>0.29069999999999996</v>
      </c>
    </row>
    <row r="6" spans="1:6" ht="12.75">
      <c r="A6" t="s">
        <v>3</v>
      </c>
      <c r="B6" s="25">
        <f>Costs!D47</f>
        <v>219176.4899999999</v>
      </c>
      <c r="C6" s="25">
        <f>$B6*C$5</f>
        <v>219176.4899999999</v>
      </c>
      <c r="E6" s="73">
        <f>$C6*E$5</f>
        <v>155461.88435699994</v>
      </c>
      <c r="F6"/>
    </row>
    <row r="7" spans="1:6" ht="12.75">
      <c r="A7" t="s">
        <v>4</v>
      </c>
      <c r="B7" s="17">
        <f>ROUND(Costs!$C$12*0.015,0)</f>
        <v>182160</v>
      </c>
      <c r="C7" s="17">
        <f aca="true" t="shared" si="0" ref="C7:C13">$B7*C$5</f>
        <v>182160</v>
      </c>
      <c r="E7" s="74">
        <f>$C7*E$5</f>
        <v>129206.088</v>
      </c>
      <c r="F7"/>
    </row>
    <row r="8" spans="1:6" ht="12.75">
      <c r="A8" t="s">
        <v>5</v>
      </c>
      <c r="B8" s="18">
        <f>SUM(B6:B7)</f>
        <v>401336.4899999999</v>
      </c>
      <c r="C8" s="18">
        <f>SUM(C6:C7)</f>
        <v>401336.4899999999</v>
      </c>
      <c r="E8" s="75">
        <f>SUM(E6:E7)</f>
        <v>284667.97235699993</v>
      </c>
      <c r="F8"/>
    </row>
    <row r="9" spans="1:6" ht="12.75">
      <c r="A9" t="s">
        <v>6</v>
      </c>
      <c r="B9" s="16">
        <f>-B8</f>
        <v>-401336.4899999999</v>
      </c>
      <c r="C9" s="16">
        <f>-C8</f>
        <v>-401336.4899999999</v>
      </c>
      <c r="E9" s="76">
        <f>-E8</f>
        <v>-284667.97235699993</v>
      </c>
      <c r="F9"/>
    </row>
    <row r="10" spans="1:6" ht="12.75">
      <c r="A10" s="23"/>
      <c r="B10" s="30"/>
      <c r="C10" s="30"/>
      <c r="E10" s="30"/>
      <c r="F10"/>
    </row>
    <row r="11" spans="1:6" ht="12.75">
      <c r="A11" t="s">
        <v>36</v>
      </c>
      <c r="B11" s="25">
        <f>Costs!$C$12</f>
        <v>12144026.579999998</v>
      </c>
      <c r="C11" s="25">
        <f t="shared" si="0"/>
        <v>12144026.579999998</v>
      </c>
      <c r="E11" s="73">
        <f>$C11*E$5</f>
        <v>8613758.053194</v>
      </c>
      <c r="F11"/>
    </row>
    <row r="12" spans="1:6" ht="12.75">
      <c r="A12" t="s">
        <v>50</v>
      </c>
      <c r="B12" s="16">
        <f>Costs!E47</f>
        <v>374426.5037500001</v>
      </c>
      <c r="C12" s="16">
        <f t="shared" si="0"/>
        <v>374426.5037500001</v>
      </c>
      <c r="E12" s="76">
        <f>$C12*E$5</f>
        <v>265580.7191098751</v>
      </c>
      <c r="F12"/>
    </row>
    <row r="13" spans="1:6" ht="12.75">
      <c r="A13" t="s">
        <v>51</v>
      </c>
      <c r="B13" s="17">
        <f>Costs!K47</f>
        <v>-666964</v>
      </c>
      <c r="C13" s="17">
        <f t="shared" si="0"/>
        <v>-666964</v>
      </c>
      <c r="E13" s="74">
        <f>$C13*E$5</f>
        <v>-473077.5652</v>
      </c>
      <c r="F13"/>
    </row>
    <row r="14" spans="1:6" ht="12.75">
      <c r="A14" t="s">
        <v>7</v>
      </c>
      <c r="B14" s="19">
        <f>B11-B12+B13</f>
        <v>11102636.076249998</v>
      </c>
      <c r="C14" s="19">
        <f>C11-C12+C13</f>
        <v>11102636.076249998</v>
      </c>
      <c r="E14" s="79">
        <f>E11-E12+E13</f>
        <v>7875099.768884124</v>
      </c>
      <c r="F14"/>
    </row>
    <row r="15" spans="2:6" ht="12.75">
      <c r="B15" s="19"/>
      <c r="C15" s="19"/>
      <c r="E15" s="19"/>
      <c r="F15" s="19"/>
    </row>
    <row r="16" spans="2:6" ht="12.75">
      <c r="B16" s="19"/>
      <c r="C16" s="19"/>
      <c r="E16" s="19"/>
      <c r="F16" s="19"/>
    </row>
    <row r="17" spans="2:6" ht="12.75">
      <c r="B17" s="19"/>
      <c r="C17" s="19"/>
      <c r="E17" s="19"/>
      <c r="F17" s="19"/>
    </row>
    <row r="18" ht="12.75">
      <c r="A18" s="2" t="s">
        <v>2</v>
      </c>
    </row>
    <row r="19" ht="12.75">
      <c r="A19" s="2" t="s">
        <v>13</v>
      </c>
    </row>
    <row r="20" ht="12.75">
      <c r="A20" s="2" t="s">
        <v>48</v>
      </c>
    </row>
    <row r="21" spans="2:6" ht="12.75">
      <c r="B21" s="22" t="s">
        <v>15</v>
      </c>
      <c r="C21" s="24" t="s">
        <v>19</v>
      </c>
      <c r="E21" s="24" t="s">
        <v>16</v>
      </c>
      <c r="F21" s="24" t="s">
        <v>17</v>
      </c>
    </row>
    <row r="22" spans="2:6" s="4" customFormat="1" ht="12.75">
      <c r="B22" s="24"/>
      <c r="C22" s="62">
        <f>C5</f>
        <v>1</v>
      </c>
      <c r="D22" s="33"/>
      <c r="E22" s="61">
        <f>E5</f>
        <v>0.7093</v>
      </c>
      <c r="F22" s="61">
        <f>F5</f>
        <v>0.29069999999999996</v>
      </c>
    </row>
    <row r="23" spans="1:6" ht="12.75">
      <c r="A23" t="s">
        <v>3</v>
      </c>
      <c r="B23" s="25">
        <f>Costs!D46</f>
        <v>219176.4899999999</v>
      </c>
      <c r="C23" s="25">
        <f>$B23*C$5</f>
        <v>219176.4899999999</v>
      </c>
      <c r="E23"/>
      <c r="F23" s="25">
        <f>$C23*F$5</f>
        <v>63714.605642999966</v>
      </c>
    </row>
    <row r="24" spans="1:6" ht="12.75">
      <c r="A24" t="s">
        <v>4</v>
      </c>
      <c r="B24" s="17">
        <f>ROUND(Costs!$C$12*0.015,0)</f>
        <v>182160</v>
      </c>
      <c r="C24" s="17">
        <f aca="true" t="shared" si="1" ref="C24:C30">$B24*C$5</f>
        <v>182160</v>
      </c>
      <c r="E24"/>
      <c r="F24" s="17">
        <f>$C24*F$5</f>
        <v>52953.91199999999</v>
      </c>
    </row>
    <row r="25" spans="1:6" ht="12.75">
      <c r="A25" t="s">
        <v>5</v>
      </c>
      <c r="B25" s="18">
        <f>SUM(B23:B24)</f>
        <v>401336.4899999999</v>
      </c>
      <c r="C25" s="18">
        <f>SUM(C23:C24)</f>
        <v>401336.4899999999</v>
      </c>
      <c r="E25"/>
      <c r="F25" s="18">
        <f>SUM(F23:F24)</f>
        <v>116668.51764299996</v>
      </c>
    </row>
    <row r="26" spans="1:6" ht="12.75">
      <c r="A26" t="s">
        <v>6</v>
      </c>
      <c r="B26" s="16">
        <f>-B25</f>
        <v>-401336.4899999999</v>
      </c>
      <c r="C26" s="16">
        <f>-C25</f>
        <v>-401336.4899999999</v>
      </c>
      <c r="E26"/>
      <c r="F26" s="16">
        <f>-F25</f>
        <v>-116668.51764299996</v>
      </c>
    </row>
    <row r="27" spans="1:6" ht="12.75">
      <c r="A27" s="23"/>
      <c r="B27" s="30"/>
      <c r="C27" s="30"/>
      <c r="E27"/>
      <c r="F27" s="30"/>
    </row>
    <row r="28" spans="1:6" ht="12.75">
      <c r="A28" t="s">
        <v>36</v>
      </c>
      <c r="B28" s="25">
        <f>Costs!$C$12</f>
        <v>12144026.579999998</v>
      </c>
      <c r="C28" s="25">
        <f t="shared" si="1"/>
        <v>12144026.579999998</v>
      </c>
      <c r="E28"/>
      <c r="F28" s="25">
        <f>$C28*F$5</f>
        <v>3530268.5268059988</v>
      </c>
    </row>
    <row r="29" spans="1:6" ht="12.75">
      <c r="A29" t="s">
        <v>52</v>
      </c>
      <c r="B29" s="16">
        <f>Costs!E46</f>
        <v>264838.25875</v>
      </c>
      <c r="C29" s="16">
        <f t="shared" si="1"/>
        <v>264838.25875</v>
      </c>
      <c r="E29"/>
      <c r="F29" s="16">
        <f>$C29*F$5</f>
        <v>76988.48181862498</v>
      </c>
    </row>
    <row r="30" spans="1:6" ht="12.75">
      <c r="A30" t="s">
        <v>53</v>
      </c>
      <c r="B30" s="17">
        <f>Costs!K46</f>
        <v>-518566</v>
      </c>
      <c r="C30" s="17">
        <f t="shared" si="1"/>
        <v>-518566</v>
      </c>
      <c r="E30"/>
      <c r="F30" s="17">
        <f>$C30*F$5</f>
        <v>-150747.13619999998</v>
      </c>
    </row>
    <row r="31" spans="1:6" ht="12.75">
      <c r="A31" t="s">
        <v>7</v>
      </c>
      <c r="B31" s="19">
        <f>B28-B29+B30</f>
        <v>11360622.32125</v>
      </c>
      <c r="C31" s="19">
        <f>C28-C29+C30</f>
        <v>11360622.32125</v>
      </c>
      <c r="E31"/>
      <c r="F31" s="19">
        <f>F28-F29+F30</f>
        <v>3302532.908787374</v>
      </c>
    </row>
    <row r="32" spans="2:6" ht="12.75">
      <c r="B32" s="19"/>
      <c r="C32" s="19"/>
      <c r="E32" s="19"/>
      <c r="F32" s="19"/>
    </row>
    <row r="33" spans="2:6" ht="12.75">
      <c r="B33" s="19"/>
      <c r="C33" s="19"/>
      <c r="E33" s="19"/>
      <c r="F33" s="19"/>
    </row>
    <row r="34" spans="2:6" ht="12.75">
      <c r="B34" s="19"/>
      <c r="C34" s="19"/>
      <c r="E34" s="19"/>
      <c r="F34" s="19"/>
    </row>
    <row r="35" spans="2:6" ht="12.75">
      <c r="B35" s="19"/>
      <c r="C35" s="19"/>
      <c r="E35" s="19"/>
      <c r="F35" s="19"/>
    </row>
    <row r="36" spans="2:6" ht="12.75">
      <c r="B36" s="19"/>
      <c r="C36" s="19"/>
      <c r="E36" s="19"/>
      <c r="F36" s="19"/>
    </row>
    <row r="37" spans="2:6" ht="12.75">
      <c r="B37" s="19"/>
      <c r="C37" s="19"/>
      <c r="E37" s="19"/>
      <c r="F37" s="19"/>
    </row>
  </sheetData>
  <printOptions/>
  <pageMargins left="0.75" right="0.75" top="1" bottom="1" header="0.5" footer="0.5"/>
  <pageSetup fitToHeight="2" horizontalDpi="600" verticalDpi="600" orientation="landscape" r:id="rId1"/>
  <headerFooter alignWithMargins="0">
    <oddFooter>&amp;L&amp;F  
&amp;A  
&amp;D</oddFooter>
  </headerFooter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.140625" defaultRowHeight="12.75"/>
  <cols>
    <col min="1" max="1" width="12.8515625" style="0" bestFit="1" customWidth="1"/>
    <col min="2" max="2" width="11.7109375" style="4" bestFit="1" customWidth="1"/>
    <col min="3" max="3" width="12.28125" style="1" customWidth="1"/>
    <col min="4" max="4" width="12.00390625" style="5" bestFit="1" customWidth="1"/>
    <col min="5" max="5" width="11.421875" style="6" customWidth="1"/>
    <col min="6" max="6" width="10.7109375" style="15" customWidth="1"/>
    <col min="7" max="13" width="10.7109375" style="0" customWidth="1"/>
  </cols>
  <sheetData>
    <row r="1" ht="15.75">
      <c r="A1" s="3" t="s">
        <v>1</v>
      </c>
    </row>
    <row r="2" spans="1:6" ht="15.75">
      <c r="A2" s="3" t="s">
        <v>12</v>
      </c>
      <c r="F2" s="12"/>
    </row>
    <row r="3" spans="1:10" ht="15.75">
      <c r="A3" s="3"/>
      <c r="F3" s="12"/>
      <c r="I3" s="11"/>
      <c r="J3" s="11"/>
    </row>
    <row r="5" spans="1:14" s="4" customFormat="1" ht="25.5">
      <c r="A5" s="7" t="s">
        <v>0</v>
      </c>
      <c r="B5" s="22" t="s">
        <v>8</v>
      </c>
      <c r="C5" s="8" t="s">
        <v>14</v>
      </c>
      <c r="D5" s="8" t="s">
        <v>61</v>
      </c>
      <c r="E5" s="9" t="s">
        <v>59</v>
      </c>
      <c r="F5" s="13" t="s">
        <v>60</v>
      </c>
      <c r="G5"/>
      <c r="H5"/>
      <c r="I5"/>
      <c r="J5"/>
      <c r="K5"/>
      <c r="L5"/>
      <c r="M5" s="10"/>
      <c r="N5" s="10"/>
    </row>
    <row r="6" spans="3:12" s="4" customFormat="1" ht="12.75">
      <c r="C6" s="5"/>
      <c r="D6" s="5"/>
      <c r="E6" s="6"/>
      <c r="F6" s="14"/>
      <c r="G6"/>
      <c r="H6"/>
      <c r="I6"/>
      <c r="J6"/>
      <c r="K6"/>
      <c r="L6"/>
    </row>
    <row r="7" spans="1:6" ht="12.75">
      <c r="A7" s="2" t="s">
        <v>18</v>
      </c>
      <c r="C7" s="25"/>
      <c r="F7" s="27"/>
    </row>
    <row r="8" spans="1:6" ht="12.75">
      <c r="A8">
        <v>352000</v>
      </c>
      <c r="B8" s="4" t="s">
        <v>9</v>
      </c>
      <c r="C8" s="69">
        <v>2085533.62</v>
      </c>
      <c r="D8" s="20">
        <v>10</v>
      </c>
      <c r="E8" s="44">
        <v>0.0173</v>
      </c>
      <c r="F8" s="27">
        <f>ROUND(C8*E8,2)</f>
        <v>36079.73</v>
      </c>
    </row>
    <row r="9" spans="1:6" ht="12.75">
      <c r="A9">
        <v>353000</v>
      </c>
      <c r="B9" s="4" t="s">
        <v>10</v>
      </c>
      <c r="C9" s="69">
        <f>3130.61+185602.4</f>
        <v>188733.00999999998</v>
      </c>
      <c r="D9" s="20">
        <v>10</v>
      </c>
      <c r="E9" s="44">
        <v>0.0236</v>
      </c>
      <c r="F9" s="27">
        <f>ROUND(C9*E9,2)</f>
        <v>4454.1</v>
      </c>
    </row>
    <row r="10" spans="1:6" ht="12.75">
      <c r="A10">
        <v>354000</v>
      </c>
      <c r="B10" s="4" t="s">
        <v>11</v>
      </c>
      <c r="C10" s="70">
        <v>9869759.95</v>
      </c>
      <c r="D10" s="20">
        <v>10</v>
      </c>
      <c r="E10" s="44">
        <v>0.0181</v>
      </c>
      <c r="F10" s="28">
        <f>ROUND(C10*E10,2)</f>
        <v>178642.66</v>
      </c>
    </row>
    <row r="11" spans="3:6" ht="12.75">
      <c r="C11" s="25"/>
      <c r="F11" s="27"/>
    </row>
    <row r="12" spans="1:6" ht="13.5" thickBot="1">
      <c r="A12" t="s">
        <v>29</v>
      </c>
      <c r="C12" s="26">
        <f>SUM(C8:C10)</f>
        <v>12144026.579999998</v>
      </c>
      <c r="D12" s="21" t="s">
        <v>62</v>
      </c>
      <c r="F12" s="29">
        <f>SUM(F8:F11)</f>
        <v>219176.49</v>
      </c>
    </row>
    <row r="13" spans="3:12" ht="12.75">
      <c r="C13" s="25"/>
      <c r="F13" s="27"/>
      <c r="G13" s="25"/>
      <c r="H13" s="25"/>
      <c r="I13" s="25"/>
      <c r="J13" s="25"/>
      <c r="K13" s="25"/>
      <c r="L13" s="25"/>
    </row>
    <row r="14" spans="2:10" ht="12.75">
      <c r="B14" s="6"/>
      <c r="C14" s="6"/>
      <c r="D14" s="27"/>
      <c r="E14" s="25"/>
      <c r="F14" s="66" t="s">
        <v>58</v>
      </c>
      <c r="G14" s="25"/>
      <c r="H14" s="25"/>
      <c r="I14" s="25"/>
      <c r="J14" s="25"/>
    </row>
    <row r="15" spans="2:6" ht="12.75">
      <c r="B15" s="6"/>
      <c r="C15" s="6"/>
      <c r="D15"/>
      <c r="E15"/>
      <c r="F15" s="67" t="s">
        <v>57</v>
      </c>
    </row>
    <row r="16" spans="2:11" ht="12.75">
      <c r="B16" s="6"/>
      <c r="C16" s="63" t="s">
        <v>55</v>
      </c>
      <c r="D16" s="46" t="s">
        <v>44</v>
      </c>
      <c r="E16" s="46" t="s">
        <v>42</v>
      </c>
      <c r="F16" s="63" t="s">
        <v>37</v>
      </c>
      <c r="G16" s="63" t="s">
        <v>55</v>
      </c>
      <c r="H16" s="46" t="s">
        <v>45</v>
      </c>
      <c r="I16" s="46" t="s">
        <v>46</v>
      </c>
      <c r="J16" s="48">
        <v>0.35</v>
      </c>
      <c r="K16" s="48"/>
    </row>
    <row r="17" spans="2:11" ht="12.75">
      <c r="B17" s="6"/>
      <c r="C17" s="64" t="s">
        <v>56</v>
      </c>
      <c r="D17" s="58" t="s">
        <v>43</v>
      </c>
      <c r="E17" s="59" t="s">
        <v>43</v>
      </c>
      <c r="F17" s="64" t="s">
        <v>54</v>
      </c>
      <c r="G17" s="64" t="s">
        <v>56</v>
      </c>
      <c r="H17" s="59" t="s">
        <v>43</v>
      </c>
      <c r="I17" s="59" t="s">
        <v>47</v>
      </c>
      <c r="J17" s="59" t="s">
        <v>41</v>
      </c>
      <c r="K17" s="59" t="s">
        <v>38</v>
      </c>
    </row>
    <row r="18" spans="2:11" ht="12.75">
      <c r="B18" s="45">
        <v>39722</v>
      </c>
      <c r="C18" s="65">
        <f>1/12*0.5</f>
        <v>0.041666666666666664</v>
      </c>
      <c r="D18" s="15">
        <f>$F$12*C18</f>
        <v>9132.353749999998</v>
      </c>
      <c r="E18" s="47">
        <f>SUM(D$18:D18)</f>
        <v>9132.353749999998</v>
      </c>
      <c r="F18" s="43">
        <v>0.05</v>
      </c>
      <c r="G18" s="65">
        <f>4/12</f>
        <v>0.3333333333333333</v>
      </c>
      <c r="H18" s="15">
        <f>$C$12*F18*G18</f>
        <v>202400.44299999997</v>
      </c>
      <c r="I18" s="47">
        <f aca="true" t="shared" si="0" ref="I18:I44">D18-H18</f>
        <v>-193268.08924999996</v>
      </c>
      <c r="J18" s="47">
        <f>ROUND($J$16*I18,0)</f>
        <v>-67644</v>
      </c>
      <c r="K18" s="47">
        <f>SUM(J$18:J18)</f>
        <v>-67644</v>
      </c>
    </row>
    <row r="19" spans="2:11" ht="12.75">
      <c r="B19" s="45">
        <v>39753</v>
      </c>
      <c r="C19" s="65">
        <f>1/12</f>
        <v>0.08333333333333333</v>
      </c>
      <c r="D19" s="15">
        <f aca="true" t="shared" si="1" ref="D19:D44">$F$12*C19</f>
        <v>18264.707499999997</v>
      </c>
      <c r="E19" s="47">
        <f>SUM(D$18:D19)</f>
        <v>27397.061249999995</v>
      </c>
      <c r="F19" s="43">
        <v>0.05</v>
      </c>
      <c r="G19" s="65">
        <f>4/12</f>
        <v>0.3333333333333333</v>
      </c>
      <c r="H19" s="15">
        <f>$C$12*F19*G19</f>
        <v>202400.44299999997</v>
      </c>
      <c r="I19" s="47">
        <f>D19-H19</f>
        <v>-184135.73549999998</v>
      </c>
      <c r="J19" s="47">
        <f aca="true" t="shared" si="2" ref="J19:J44">ROUND($J$16*I19,0)</f>
        <v>-64448</v>
      </c>
      <c r="K19" s="47">
        <f>SUM(J$18:J19)</f>
        <v>-132092</v>
      </c>
    </row>
    <row r="20" spans="2:11" ht="12.75">
      <c r="B20" s="45">
        <v>39783</v>
      </c>
      <c r="C20" s="65">
        <f>1/12</f>
        <v>0.08333333333333333</v>
      </c>
      <c r="D20" s="15">
        <f t="shared" si="1"/>
        <v>18264.707499999997</v>
      </c>
      <c r="E20" s="47">
        <f>SUM(D$18:D20)</f>
        <v>45661.76874999999</v>
      </c>
      <c r="F20" s="43">
        <v>0.05</v>
      </c>
      <c r="G20" s="65">
        <f>4/12</f>
        <v>0.3333333333333333</v>
      </c>
      <c r="H20" s="15">
        <f aca="true" t="shared" si="3" ref="H20:H44">$C$12*F20*G20</f>
        <v>202400.44299999997</v>
      </c>
      <c r="I20" s="47">
        <f t="shared" si="0"/>
        <v>-184135.73549999998</v>
      </c>
      <c r="J20" s="47">
        <f t="shared" si="2"/>
        <v>-64448</v>
      </c>
      <c r="K20" s="47">
        <f>SUM(J$18:J20)</f>
        <v>-196540</v>
      </c>
    </row>
    <row r="21" spans="2:11" ht="12.75">
      <c r="B21" s="45">
        <v>39814</v>
      </c>
      <c r="C21" s="65">
        <f aca="true" t="shared" si="4" ref="C21:C44">1/12</f>
        <v>0.08333333333333333</v>
      </c>
      <c r="D21" s="15">
        <f t="shared" si="1"/>
        <v>18264.707499999997</v>
      </c>
      <c r="E21" s="47">
        <f>SUM(D$18:D21)</f>
        <v>63926.476249999985</v>
      </c>
      <c r="F21" s="43">
        <v>0.095</v>
      </c>
      <c r="G21" s="65">
        <f aca="true" t="shared" si="5" ref="G21:G44">1/12</f>
        <v>0.08333333333333333</v>
      </c>
      <c r="H21" s="15">
        <f t="shared" si="3"/>
        <v>96140.21042499997</v>
      </c>
      <c r="I21" s="47">
        <f t="shared" si="0"/>
        <v>-77875.50292499998</v>
      </c>
      <c r="J21" s="47">
        <f t="shared" si="2"/>
        <v>-27256</v>
      </c>
      <c r="K21" s="47">
        <f>SUM(J$18:J21)</f>
        <v>-223796</v>
      </c>
    </row>
    <row r="22" spans="2:11" ht="12.75">
      <c r="B22" s="45">
        <v>39845</v>
      </c>
      <c r="C22" s="65">
        <f t="shared" si="4"/>
        <v>0.08333333333333333</v>
      </c>
      <c r="D22" s="15">
        <f t="shared" si="1"/>
        <v>18264.707499999997</v>
      </c>
      <c r="E22" s="47">
        <f>SUM(D$18:D22)</f>
        <v>82191.18374999998</v>
      </c>
      <c r="F22" s="43">
        <v>0.095</v>
      </c>
      <c r="G22" s="65">
        <f t="shared" si="5"/>
        <v>0.08333333333333333</v>
      </c>
      <c r="H22" s="15">
        <f t="shared" si="3"/>
        <v>96140.21042499997</v>
      </c>
      <c r="I22" s="47">
        <f t="shared" si="0"/>
        <v>-77875.50292499998</v>
      </c>
      <c r="J22" s="47">
        <f t="shared" si="2"/>
        <v>-27256</v>
      </c>
      <c r="K22" s="47">
        <f>SUM(J$18:J22)</f>
        <v>-251052</v>
      </c>
    </row>
    <row r="23" spans="2:11" ht="12.75">
      <c r="B23" s="45">
        <v>39873</v>
      </c>
      <c r="C23" s="65">
        <f t="shared" si="4"/>
        <v>0.08333333333333333</v>
      </c>
      <c r="D23" s="15">
        <f t="shared" si="1"/>
        <v>18264.707499999997</v>
      </c>
      <c r="E23" s="47">
        <f>SUM(D$18:D23)</f>
        <v>100455.89124999999</v>
      </c>
      <c r="F23" s="43">
        <v>0.095</v>
      </c>
      <c r="G23" s="65">
        <f t="shared" si="5"/>
        <v>0.08333333333333333</v>
      </c>
      <c r="H23" s="15">
        <f t="shared" si="3"/>
        <v>96140.21042499997</v>
      </c>
      <c r="I23" s="47">
        <f t="shared" si="0"/>
        <v>-77875.50292499998</v>
      </c>
      <c r="J23" s="47">
        <f t="shared" si="2"/>
        <v>-27256</v>
      </c>
      <c r="K23" s="47">
        <f>SUM(J$18:J23)</f>
        <v>-278308</v>
      </c>
    </row>
    <row r="24" spans="2:11" ht="12.75">
      <c r="B24" s="45">
        <v>39904</v>
      </c>
      <c r="C24" s="65">
        <f t="shared" si="4"/>
        <v>0.08333333333333333</v>
      </c>
      <c r="D24" s="15">
        <f t="shared" si="1"/>
        <v>18264.707499999997</v>
      </c>
      <c r="E24" s="47">
        <f>SUM(D$18:D24)</f>
        <v>118720.59874999998</v>
      </c>
      <c r="F24" s="43">
        <v>0.095</v>
      </c>
      <c r="G24" s="65">
        <f t="shared" si="5"/>
        <v>0.08333333333333333</v>
      </c>
      <c r="H24" s="15">
        <f t="shared" si="3"/>
        <v>96140.21042499997</v>
      </c>
      <c r="I24" s="47">
        <f t="shared" si="0"/>
        <v>-77875.50292499998</v>
      </c>
      <c r="J24" s="47">
        <f t="shared" si="2"/>
        <v>-27256</v>
      </c>
      <c r="K24" s="47">
        <f>SUM(J$18:J24)</f>
        <v>-305564</v>
      </c>
    </row>
    <row r="25" spans="2:11" ht="13.5" thickBot="1">
      <c r="B25" s="45">
        <v>39934</v>
      </c>
      <c r="C25" s="65">
        <f t="shared" si="4"/>
        <v>0.08333333333333333</v>
      </c>
      <c r="D25" s="15">
        <f t="shared" si="1"/>
        <v>18264.707499999997</v>
      </c>
      <c r="E25" s="47">
        <f>SUM(D$18:D25)</f>
        <v>136985.30624999997</v>
      </c>
      <c r="F25" s="43">
        <v>0.095</v>
      </c>
      <c r="G25" s="65">
        <f t="shared" si="5"/>
        <v>0.08333333333333333</v>
      </c>
      <c r="H25" s="15">
        <f t="shared" si="3"/>
        <v>96140.21042499997</v>
      </c>
      <c r="I25" s="47">
        <f t="shared" si="0"/>
        <v>-77875.50292499998</v>
      </c>
      <c r="J25" s="47">
        <f t="shared" si="2"/>
        <v>-27256</v>
      </c>
      <c r="K25" s="47">
        <f>SUM(J$18:J25)</f>
        <v>-332820</v>
      </c>
    </row>
    <row r="26" spans="2:11" ht="12.75">
      <c r="B26" s="45">
        <v>39965</v>
      </c>
      <c r="C26" s="65">
        <f t="shared" si="4"/>
        <v>0.08333333333333333</v>
      </c>
      <c r="D26" s="15">
        <f t="shared" si="1"/>
        <v>18264.707499999997</v>
      </c>
      <c r="E26" s="49">
        <f>SUM(D$18:D26)</f>
        <v>155250.01374999995</v>
      </c>
      <c r="F26" s="43">
        <v>0.095</v>
      </c>
      <c r="G26" s="65">
        <f t="shared" si="5"/>
        <v>0.08333333333333333</v>
      </c>
      <c r="H26" s="15">
        <f t="shared" si="3"/>
        <v>96140.21042499997</v>
      </c>
      <c r="I26" s="47">
        <f t="shared" si="0"/>
        <v>-77875.50292499998</v>
      </c>
      <c r="J26" s="47">
        <f t="shared" si="2"/>
        <v>-27256</v>
      </c>
      <c r="K26" s="49">
        <f>SUM(J$18:J26)</f>
        <v>-360076</v>
      </c>
    </row>
    <row r="27" spans="2:11" ht="12.75">
      <c r="B27" s="45">
        <v>39995</v>
      </c>
      <c r="C27" s="65">
        <f t="shared" si="4"/>
        <v>0.08333333333333333</v>
      </c>
      <c r="D27" s="15">
        <f t="shared" si="1"/>
        <v>18264.707499999997</v>
      </c>
      <c r="E27" s="50">
        <f>SUM(D$18:D27)</f>
        <v>173514.72124999994</v>
      </c>
      <c r="F27" s="43">
        <v>0.095</v>
      </c>
      <c r="G27" s="65">
        <f t="shared" si="5"/>
        <v>0.08333333333333333</v>
      </c>
      <c r="H27" s="15">
        <f t="shared" si="3"/>
        <v>96140.21042499997</v>
      </c>
      <c r="I27" s="47">
        <f t="shared" si="0"/>
        <v>-77875.50292499998</v>
      </c>
      <c r="J27" s="47">
        <f t="shared" si="2"/>
        <v>-27256</v>
      </c>
      <c r="K27" s="50">
        <f>SUM(J$18:J27)</f>
        <v>-387332</v>
      </c>
    </row>
    <row r="28" spans="2:11" ht="12.75">
      <c r="B28" s="45">
        <v>40026</v>
      </c>
      <c r="C28" s="65">
        <f t="shared" si="4"/>
        <v>0.08333333333333333</v>
      </c>
      <c r="D28" s="15">
        <f t="shared" si="1"/>
        <v>18264.707499999997</v>
      </c>
      <c r="E28" s="50">
        <f>SUM(D$18:D28)</f>
        <v>191779.42874999993</v>
      </c>
      <c r="F28" s="43">
        <v>0.095</v>
      </c>
      <c r="G28" s="65">
        <f t="shared" si="5"/>
        <v>0.08333333333333333</v>
      </c>
      <c r="H28" s="15">
        <f t="shared" si="3"/>
        <v>96140.21042499997</v>
      </c>
      <c r="I28" s="47">
        <f t="shared" si="0"/>
        <v>-77875.50292499998</v>
      </c>
      <c r="J28" s="47">
        <f t="shared" si="2"/>
        <v>-27256</v>
      </c>
      <c r="K28" s="50">
        <f>SUM(J$18:J28)</f>
        <v>-414588</v>
      </c>
    </row>
    <row r="29" spans="2:11" ht="12.75">
      <c r="B29" s="45">
        <v>40057</v>
      </c>
      <c r="C29" s="65">
        <f t="shared" si="4"/>
        <v>0.08333333333333333</v>
      </c>
      <c r="D29" s="15">
        <f t="shared" si="1"/>
        <v>18264.707499999997</v>
      </c>
      <c r="E29" s="50">
        <f>SUM(D$18:D29)</f>
        <v>210044.13624999992</v>
      </c>
      <c r="F29" s="43">
        <v>0.095</v>
      </c>
      <c r="G29" s="65">
        <f t="shared" si="5"/>
        <v>0.08333333333333333</v>
      </c>
      <c r="H29" s="15">
        <f t="shared" si="3"/>
        <v>96140.21042499997</v>
      </c>
      <c r="I29" s="47">
        <f t="shared" si="0"/>
        <v>-77875.50292499998</v>
      </c>
      <c r="J29" s="47">
        <f t="shared" si="2"/>
        <v>-27256</v>
      </c>
      <c r="K29" s="50">
        <f>SUM(J$18:J29)</f>
        <v>-441844</v>
      </c>
    </row>
    <row r="30" spans="2:11" ht="12.75">
      <c r="B30" s="45">
        <v>40087</v>
      </c>
      <c r="C30" s="65">
        <f t="shared" si="4"/>
        <v>0.08333333333333333</v>
      </c>
      <c r="D30" s="15">
        <f t="shared" si="1"/>
        <v>18264.707499999997</v>
      </c>
      <c r="E30" s="50">
        <f>SUM(D$18:D30)</f>
        <v>228308.8437499999</v>
      </c>
      <c r="F30" s="43">
        <v>0.095</v>
      </c>
      <c r="G30" s="65">
        <f t="shared" si="5"/>
        <v>0.08333333333333333</v>
      </c>
      <c r="H30" s="15">
        <f t="shared" si="3"/>
        <v>96140.21042499997</v>
      </c>
      <c r="I30" s="47">
        <f t="shared" si="0"/>
        <v>-77875.50292499998</v>
      </c>
      <c r="J30" s="47">
        <f t="shared" si="2"/>
        <v>-27256</v>
      </c>
      <c r="K30" s="50">
        <f>SUM(J$18:J30)</f>
        <v>-469100</v>
      </c>
    </row>
    <row r="31" spans="2:11" ht="12.75">
      <c r="B31" s="45">
        <v>40118</v>
      </c>
      <c r="C31" s="65">
        <f t="shared" si="4"/>
        <v>0.08333333333333333</v>
      </c>
      <c r="D31" s="15">
        <f t="shared" si="1"/>
        <v>18264.707499999997</v>
      </c>
      <c r="E31" s="50">
        <f>SUM(D$18:D31)</f>
        <v>246573.5512499999</v>
      </c>
      <c r="F31" s="43">
        <v>0.095</v>
      </c>
      <c r="G31" s="65">
        <f t="shared" si="5"/>
        <v>0.08333333333333333</v>
      </c>
      <c r="H31" s="15">
        <f t="shared" si="3"/>
        <v>96140.21042499997</v>
      </c>
      <c r="I31" s="47">
        <f t="shared" si="0"/>
        <v>-77875.50292499998</v>
      </c>
      <c r="J31" s="47">
        <f t="shared" si="2"/>
        <v>-27256</v>
      </c>
      <c r="K31" s="50">
        <f>SUM(J$18:J31)</f>
        <v>-496356</v>
      </c>
    </row>
    <row r="32" spans="2:11" ht="12.75">
      <c r="B32" s="45">
        <v>40148</v>
      </c>
      <c r="C32" s="65">
        <f t="shared" si="4"/>
        <v>0.08333333333333333</v>
      </c>
      <c r="D32" s="15">
        <f t="shared" si="1"/>
        <v>18264.707499999997</v>
      </c>
      <c r="E32" s="55">
        <f>SUM(D$18:D32)</f>
        <v>264838.2587499999</v>
      </c>
      <c r="F32" s="43">
        <v>0.095</v>
      </c>
      <c r="G32" s="65">
        <f t="shared" si="5"/>
        <v>0.08333333333333333</v>
      </c>
      <c r="H32" s="15">
        <f t="shared" si="3"/>
        <v>96140.21042499997</v>
      </c>
      <c r="I32" s="47">
        <f t="shared" si="0"/>
        <v>-77875.50292499998</v>
      </c>
      <c r="J32" s="47">
        <f t="shared" si="2"/>
        <v>-27256</v>
      </c>
      <c r="K32" s="55">
        <f>SUM(J$18:J32)</f>
        <v>-523612</v>
      </c>
    </row>
    <row r="33" spans="2:11" ht="12.75">
      <c r="B33" s="45">
        <v>40179</v>
      </c>
      <c r="C33" s="65">
        <f t="shared" si="4"/>
        <v>0.08333333333333333</v>
      </c>
      <c r="D33" s="15">
        <f t="shared" si="1"/>
        <v>18264.707499999997</v>
      </c>
      <c r="E33" s="51">
        <f>SUM(D$18:D33)</f>
        <v>283102.96624999994</v>
      </c>
      <c r="F33" s="43">
        <v>0.0855</v>
      </c>
      <c r="G33" s="65">
        <f t="shared" si="5"/>
        <v>0.08333333333333333</v>
      </c>
      <c r="H33" s="15">
        <f t="shared" si="3"/>
        <v>86526.18938249999</v>
      </c>
      <c r="I33" s="47">
        <f t="shared" si="0"/>
        <v>-68261.4818825</v>
      </c>
      <c r="J33" s="47">
        <f t="shared" si="2"/>
        <v>-23892</v>
      </c>
      <c r="K33" s="51">
        <f>SUM(J$18:J33)</f>
        <v>-547504</v>
      </c>
    </row>
    <row r="34" spans="2:11" ht="12.75">
      <c r="B34" s="45">
        <v>40210</v>
      </c>
      <c r="C34" s="65">
        <f t="shared" si="4"/>
        <v>0.08333333333333333</v>
      </c>
      <c r="D34" s="15">
        <f t="shared" si="1"/>
        <v>18264.707499999997</v>
      </c>
      <c r="E34" s="51">
        <f>SUM(D$18:D34)</f>
        <v>301367.67374999996</v>
      </c>
      <c r="F34" s="43">
        <v>0.0855</v>
      </c>
      <c r="G34" s="65">
        <f t="shared" si="5"/>
        <v>0.08333333333333333</v>
      </c>
      <c r="H34" s="15">
        <f t="shared" si="3"/>
        <v>86526.18938249999</v>
      </c>
      <c r="I34" s="47">
        <f t="shared" si="0"/>
        <v>-68261.4818825</v>
      </c>
      <c r="J34" s="47">
        <f t="shared" si="2"/>
        <v>-23892</v>
      </c>
      <c r="K34" s="51">
        <f>SUM(J$18:J34)</f>
        <v>-571396</v>
      </c>
    </row>
    <row r="35" spans="2:11" ht="12.75">
      <c r="B35" s="45">
        <v>40238</v>
      </c>
      <c r="C35" s="65">
        <f t="shared" si="4"/>
        <v>0.08333333333333333</v>
      </c>
      <c r="D35" s="15">
        <f t="shared" si="1"/>
        <v>18264.707499999997</v>
      </c>
      <c r="E35" s="51">
        <f>SUM(D$18:D35)</f>
        <v>319632.38125</v>
      </c>
      <c r="F35" s="43">
        <v>0.0855</v>
      </c>
      <c r="G35" s="65">
        <f t="shared" si="5"/>
        <v>0.08333333333333333</v>
      </c>
      <c r="H35" s="15">
        <f t="shared" si="3"/>
        <v>86526.18938249999</v>
      </c>
      <c r="I35" s="47">
        <f t="shared" si="0"/>
        <v>-68261.4818825</v>
      </c>
      <c r="J35" s="47">
        <f t="shared" si="2"/>
        <v>-23892</v>
      </c>
      <c r="K35" s="51">
        <f>SUM(J$18:J35)</f>
        <v>-595288</v>
      </c>
    </row>
    <row r="36" spans="2:11" ht="12.75">
      <c r="B36" s="45">
        <v>40269</v>
      </c>
      <c r="C36" s="65">
        <f t="shared" si="4"/>
        <v>0.08333333333333333</v>
      </c>
      <c r="D36" s="15">
        <f t="shared" si="1"/>
        <v>18264.707499999997</v>
      </c>
      <c r="E36" s="51">
        <f>SUM(D$18:D36)</f>
        <v>337897.08875</v>
      </c>
      <c r="F36" s="43">
        <v>0.0855</v>
      </c>
      <c r="G36" s="65">
        <f t="shared" si="5"/>
        <v>0.08333333333333333</v>
      </c>
      <c r="H36" s="15">
        <f t="shared" si="3"/>
        <v>86526.18938249999</v>
      </c>
      <c r="I36" s="47">
        <f t="shared" si="0"/>
        <v>-68261.4818825</v>
      </c>
      <c r="J36" s="47">
        <f t="shared" si="2"/>
        <v>-23892</v>
      </c>
      <c r="K36" s="51">
        <f>SUM(J$18:J36)</f>
        <v>-619180</v>
      </c>
    </row>
    <row r="37" spans="2:11" ht="12.75">
      <c r="B37" s="45">
        <v>40299</v>
      </c>
      <c r="C37" s="65">
        <f t="shared" si="4"/>
        <v>0.08333333333333333</v>
      </c>
      <c r="D37" s="15">
        <f t="shared" si="1"/>
        <v>18264.707499999997</v>
      </c>
      <c r="E37" s="51">
        <f>SUM(D$18:D37)</f>
        <v>356161.79625</v>
      </c>
      <c r="F37" s="43">
        <v>0.0855</v>
      </c>
      <c r="G37" s="65">
        <f t="shared" si="5"/>
        <v>0.08333333333333333</v>
      </c>
      <c r="H37" s="15">
        <f t="shared" si="3"/>
        <v>86526.18938249999</v>
      </c>
      <c r="I37" s="47">
        <f t="shared" si="0"/>
        <v>-68261.4818825</v>
      </c>
      <c r="J37" s="47">
        <f t="shared" si="2"/>
        <v>-23892</v>
      </c>
      <c r="K37" s="51">
        <f>SUM(J$18:J37)</f>
        <v>-643072</v>
      </c>
    </row>
    <row r="38" spans="2:11" ht="13.5" thickBot="1">
      <c r="B38" s="45">
        <v>40330</v>
      </c>
      <c r="C38" s="65">
        <f t="shared" si="4"/>
        <v>0.08333333333333333</v>
      </c>
      <c r="D38" s="15">
        <f t="shared" si="1"/>
        <v>18264.707499999997</v>
      </c>
      <c r="E38" s="52">
        <f>SUM(D$18:D38)</f>
        <v>374426.50375000003</v>
      </c>
      <c r="F38" s="43">
        <v>0.0855</v>
      </c>
      <c r="G38" s="65">
        <f t="shared" si="5"/>
        <v>0.08333333333333333</v>
      </c>
      <c r="H38" s="15">
        <f t="shared" si="3"/>
        <v>86526.18938249999</v>
      </c>
      <c r="I38" s="47">
        <f t="shared" si="0"/>
        <v>-68261.4818825</v>
      </c>
      <c r="J38" s="47">
        <f t="shared" si="2"/>
        <v>-23892</v>
      </c>
      <c r="K38" s="52">
        <f>SUM(J$18:J38)</f>
        <v>-666964</v>
      </c>
    </row>
    <row r="39" spans="2:11" ht="12.75">
      <c r="B39" s="45">
        <v>40360</v>
      </c>
      <c r="C39" s="65">
        <f t="shared" si="4"/>
        <v>0.08333333333333333</v>
      </c>
      <c r="D39" s="15">
        <f t="shared" si="1"/>
        <v>18264.707499999997</v>
      </c>
      <c r="E39" s="53">
        <f>SUM(D$18:D39)</f>
        <v>392691.21125000005</v>
      </c>
      <c r="F39" s="43">
        <v>0.0855</v>
      </c>
      <c r="G39" s="65">
        <f t="shared" si="5"/>
        <v>0.08333333333333333</v>
      </c>
      <c r="H39" s="15">
        <f t="shared" si="3"/>
        <v>86526.18938249999</v>
      </c>
      <c r="I39" s="47">
        <f t="shared" si="0"/>
        <v>-68261.4818825</v>
      </c>
      <c r="J39" s="47">
        <f t="shared" si="2"/>
        <v>-23892</v>
      </c>
      <c r="K39" s="53">
        <f>SUM(J$18:J39)</f>
        <v>-690856</v>
      </c>
    </row>
    <row r="40" spans="2:11" ht="12.75">
      <c r="B40" s="45">
        <v>40391</v>
      </c>
      <c r="C40" s="65">
        <f t="shared" si="4"/>
        <v>0.08333333333333333</v>
      </c>
      <c r="D40" s="15">
        <f t="shared" si="1"/>
        <v>18264.707499999997</v>
      </c>
      <c r="E40" s="53">
        <f>SUM(D$18:D40)</f>
        <v>410955.91875000007</v>
      </c>
      <c r="F40" s="43">
        <v>0.0855</v>
      </c>
      <c r="G40" s="65">
        <f t="shared" si="5"/>
        <v>0.08333333333333333</v>
      </c>
      <c r="H40" s="15">
        <f t="shared" si="3"/>
        <v>86526.18938249999</v>
      </c>
      <c r="I40" s="47">
        <f t="shared" si="0"/>
        <v>-68261.4818825</v>
      </c>
      <c r="J40" s="47">
        <f t="shared" si="2"/>
        <v>-23892</v>
      </c>
      <c r="K40" s="53">
        <f>SUM(J$18:J40)</f>
        <v>-714748</v>
      </c>
    </row>
    <row r="41" spans="2:11" ht="12.75">
      <c r="B41" s="45">
        <v>40422</v>
      </c>
      <c r="C41" s="65">
        <f t="shared" si="4"/>
        <v>0.08333333333333333</v>
      </c>
      <c r="D41" s="15">
        <f t="shared" si="1"/>
        <v>18264.707499999997</v>
      </c>
      <c r="E41" s="53">
        <f>SUM(D$18:D41)</f>
        <v>429220.6262500001</v>
      </c>
      <c r="F41" s="43">
        <v>0.0855</v>
      </c>
      <c r="G41" s="65">
        <f t="shared" si="5"/>
        <v>0.08333333333333333</v>
      </c>
      <c r="H41" s="15">
        <f t="shared" si="3"/>
        <v>86526.18938249999</v>
      </c>
      <c r="I41" s="47">
        <f t="shared" si="0"/>
        <v>-68261.4818825</v>
      </c>
      <c r="J41" s="47">
        <f t="shared" si="2"/>
        <v>-23892</v>
      </c>
      <c r="K41" s="53">
        <f>SUM(J$18:J41)</f>
        <v>-738640</v>
      </c>
    </row>
    <row r="42" spans="2:11" ht="12.75">
      <c r="B42" s="45">
        <v>40452</v>
      </c>
      <c r="C42" s="65">
        <f t="shared" si="4"/>
        <v>0.08333333333333333</v>
      </c>
      <c r="D42" s="15">
        <f t="shared" si="1"/>
        <v>18264.707499999997</v>
      </c>
      <c r="E42" s="53">
        <f>SUM(D$18:D42)</f>
        <v>447485.3337500001</v>
      </c>
      <c r="F42" s="43">
        <v>0.0855</v>
      </c>
      <c r="G42" s="65">
        <f t="shared" si="5"/>
        <v>0.08333333333333333</v>
      </c>
      <c r="H42" s="15">
        <f t="shared" si="3"/>
        <v>86526.18938249999</v>
      </c>
      <c r="I42" s="47">
        <f t="shared" si="0"/>
        <v>-68261.4818825</v>
      </c>
      <c r="J42" s="47">
        <f t="shared" si="2"/>
        <v>-23892</v>
      </c>
      <c r="K42" s="53">
        <f>SUM(J$18:J42)</f>
        <v>-762532</v>
      </c>
    </row>
    <row r="43" spans="2:11" ht="12.75">
      <c r="B43" s="45">
        <v>40483</v>
      </c>
      <c r="C43" s="65">
        <f t="shared" si="4"/>
        <v>0.08333333333333333</v>
      </c>
      <c r="D43" s="15">
        <f t="shared" si="1"/>
        <v>18264.707499999997</v>
      </c>
      <c r="E43" s="53">
        <f>SUM(D$18:D43)</f>
        <v>465750.0412500001</v>
      </c>
      <c r="F43" s="43">
        <v>0.0855</v>
      </c>
      <c r="G43" s="65">
        <f t="shared" si="5"/>
        <v>0.08333333333333333</v>
      </c>
      <c r="H43" s="15">
        <f t="shared" si="3"/>
        <v>86526.18938249999</v>
      </c>
      <c r="I43" s="47">
        <f t="shared" si="0"/>
        <v>-68261.4818825</v>
      </c>
      <c r="J43" s="47">
        <f t="shared" si="2"/>
        <v>-23892</v>
      </c>
      <c r="K43" s="53">
        <f>SUM(J$18:J43)</f>
        <v>-786424</v>
      </c>
    </row>
    <row r="44" spans="2:11" ht="12.75">
      <c r="B44" s="45">
        <v>40513</v>
      </c>
      <c r="C44" s="65">
        <f t="shared" si="4"/>
        <v>0.08333333333333333</v>
      </c>
      <c r="D44" s="15">
        <f t="shared" si="1"/>
        <v>18264.707499999997</v>
      </c>
      <c r="E44" s="54">
        <f>SUM(D$18:D44)</f>
        <v>484014.74875000014</v>
      </c>
      <c r="F44" s="43">
        <v>0.0855</v>
      </c>
      <c r="G44" s="65">
        <f t="shared" si="5"/>
        <v>0.08333333333333333</v>
      </c>
      <c r="H44" s="15">
        <f t="shared" si="3"/>
        <v>86526.18938249999</v>
      </c>
      <c r="I44" s="47">
        <f t="shared" si="0"/>
        <v>-68261.4818825</v>
      </c>
      <c r="J44" s="47">
        <f t="shared" si="2"/>
        <v>-23892</v>
      </c>
      <c r="K44" s="54">
        <f>SUM(J$18:J44)</f>
        <v>-810316</v>
      </c>
    </row>
    <row r="45" spans="2:7" ht="13.5" thickBot="1">
      <c r="B45" s="45"/>
      <c r="C45" s="45"/>
      <c r="D45" s="15"/>
      <c r="E45"/>
      <c r="F45"/>
      <c r="G45" s="39"/>
    </row>
    <row r="46" spans="2:11" ht="13.5" thickBot="1">
      <c r="B46" s="68" t="s">
        <v>40</v>
      </c>
      <c r="C46" s="68"/>
      <c r="D46" s="15">
        <f>SUM(D27:D38)</f>
        <v>219176.4899999999</v>
      </c>
      <c r="E46" s="56">
        <f>SUM(0.5*(E26+E38),E27:E37)/12</f>
        <v>264838.25875</v>
      </c>
      <c r="F46"/>
      <c r="H46" s="15"/>
      <c r="I46" s="15"/>
      <c r="J46" s="15"/>
      <c r="K46" s="56">
        <f>SUM(0.5*(K26+K38),K27:K37)/12</f>
        <v>-518566</v>
      </c>
    </row>
    <row r="47" spans="2:11" ht="12.75">
      <c r="B47" s="68" t="s">
        <v>39</v>
      </c>
      <c r="C47" s="68"/>
      <c r="D47" s="15">
        <f>SUM(D33:D44)</f>
        <v>219176.4899999999</v>
      </c>
      <c r="E47" s="57">
        <f>SUM(0.5*(E32+E44),E33:E43)/12</f>
        <v>374426.5037500001</v>
      </c>
      <c r="F47"/>
      <c r="H47" s="15"/>
      <c r="I47" s="15"/>
      <c r="J47" s="15"/>
      <c r="K47" s="57">
        <f>SUM(0.5*(K32+K44),K33:K43)/12</f>
        <v>-666964</v>
      </c>
    </row>
    <row r="48" spans="2:6" ht="12.75">
      <c r="B48" s="6"/>
      <c r="C48" s="6"/>
      <c r="D48" s="15"/>
      <c r="E48"/>
      <c r="F48"/>
    </row>
    <row r="49" spans="2:6" ht="12.75">
      <c r="B49" s="6"/>
      <c r="C49" s="6"/>
      <c r="D49" s="15"/>
      <c r="E49"/>
      <c r="F49"/>
    </row>
    <row r="50" spans="2:6" ht="12.75">
      <c r="B50"/>
      <c r="C50"/>
      <c r="D50" s="15"/>
      <c r="E50"/>
      <c r="F50"/>
    </row>
    <row r="51" spans="2:6" ht="12.75">
      <c r="B51" s="6"/>
      <c r="C51" s="6"/>
      <c r="D51" s="15"/>
      <c r="E51"/>
      <c r="F51"/>
    </row>
    <row r="52" spans="2:6" ht="12.75">
      <c r="B52" s="6"/>
      <c r="C52" s="6"/>
      <c r="D52" s="15"/>
      <c r="E52"/>
      <c r="F52"/>
    </row>
    <row r="53" spans="2:6" ht="12.75">
      <c r="B53" s="6"/>
      <c r="C53" s="6"/>
      <c r="D53" s="15"/>
      <c r="E53"/>
      <c r="F53"/>
    </row>
    <row r="54" spans="3:7" ht="12.75">
      <c r="C54" s="4"/>
      <c r="D54" s="1"/>
      <c r="E54" s="5"/>
      <c r="F54" s="6"/>
      <c r="G54" s="15"/>
    </row>
  </sheetData>
  <printOptions/>
  <pageMargins left="0.5" right="0.5" top="0.5" bottom="1" header="0.5" footer="0.5"/>
  <pageSetup fitToHeight="1" fitToWidth="1" horizontalDpi="600" verticalDpi="600" orientation="landscape" scale="72" r:id="rId1"/>
  <headerFooter alignWithMargins="0">
    <oddFooter>&amp;L&amp;F 
&amp;A 
&amp;D&amp;RPage &amp;P of &amp;N</oddFooter>
  </headerFooter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2" sqref="C2"/>
    </sheetView>
  </sheetViews>
  <sheetFormatPr defaultColWidth="9.140625" defaultRowHeight="12.75"/>
  <cols>
    <col min="1" max="1" width="31.57421875" style="0" bestFit="1" customWidth="1"/>
    <col min="2" max="2" width="12.00390625" style="0" customWidth="1"/>
    <col min="3" max="3" width="10.7109375" style="0" customWidth="1"/>
    <col min="5" max="5" width="10.140625" style="0" bestFit="1" customWidth="1"/>
    <col min="6" max="6" width="10.7109375" style="0" customWidth="1"/>
  </cols>
  <sheetData>
    <row r="1" ht="12.75">
      <c r="A1" s="2" t="s">
        <v>34</v>
      </c>
    </row>
    <row r="2" spans="1:5" ht="12.75">
      <c r="A2" t="s">
        <v>35</v>
      </c>
      <c r="C2" s="71" t="s">
        <v>63</v>
      </c>
      <c r="D2" s="72"/>
      <c r="E2" s="72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spans="1:6" ht="12.75">
      <c r="A5" s="34" t="s">
        <v>20</v>
      </c>
      <c r="B5" s="35">
        <v>14468800</v>
      </c>
      <c r="C5" s="34"/>
      <c r="D5" s="34"/>
      <c r="E5" s="34"/>
      <c r="F5" s="34"/>
    </row>
    <row r="6" spans="1:6" ht="12.75">
      <c r="A6" s="34" t="s">
        <v>31</v>
      </c>
      <c r="B6" s="35">
        <v>3587300</v>
      </c>
      <c r="C6" s="34"/>
      <c r="D6" s="34"/>
      <c r="E6" s="34"/>
      <c r="F6" s="34"/>
    </row>
    <row r="7" spans="1:6" ht="12.75">
      <c r="A7" s="34"/>
      <c r="B7" s="36">
        <f>B5+B6</f>
        <v>18056100</v>
      </c>
      <c r="C7" s="34"/>
      <c r="D7" s="34"/>
      <c r="E7" s="34"/>
      <c r="F7" s="34"/>
    </row>
    <row r="8" spans="1:6" ht="12.75">
      <c r="A8" s="34" t="s">
        <v>32</v>
      </c>
      <c r="B8" s="35">
        <v>1290000</v>
      </c>
      <c r="C8" s="34"/>
      <c r="D8" s="34"/>
      <c r="E8" s="34"/>
      <c r="F8" s="34"/>
    </row>
    <row r="9" spans="1:6" ht="12.75">
      <c r="A9" s="34" t="s">
        <v>21</v>
      </c>
      <c r="B9" s="35">
        <v>527000</v>
      </c>
      <c r="C9" s="34"/>
      <c r="D9" s="34"/>
      <c r="E9" s="34"/>
      <c r="F9" s="34"/>
    </row>
    <row r="10" spans="1:6" ht="13.5" thickBot="1">
      <c r="A10" s="34" t="s">
        <v>33</v>
      </c>
      <c r="B10" s="40">
        <f>B7-B8-B9</f>
        <v>16239100</v>
      </c>
      <c r="C10" s="34"/>
      <c r="D10" s="34"/>
      <c r="E10" s="34"/>
      <c r="F10" s="34"/>
    </row>
    <row r="11" spans="1:6" ht="13.5" thickTop="1">
      <c r="A11" s="34"/>
      <c r="B11" s="34"/>
      <c r="C11" s="34"/>
      <c r="D11" s="34"/>
      <c r="E11" s="34"/>
      <c r="F11" s="34"/>
    </row>
    <row r="12" spans="1:6" ht="12.75">
      <c r="A12" s="41" t="s">
        <v>30</v>
      </c>
      <c r="B12" s="34"/>
      <c r="C12" s="34"/>
      <c r="D12" s="34"/>
      <c r="E12" s="34"/>
      <c r="F12" s="34"/>
    </row>
    <row r="13" spans="1:6" ht="12.75">
      <c r="A13" s="34" t="s">
        <v>22</v>
      </c>
      <c r="B13" s="35">
        <v>14600000</v>
      </c>
      <c r="C13" s="34"/>
      <c r="D13" s="34"/>
      <c r="E13" s="34"/>
      <c r="F13" s="34"/>
    </row>
    <row r="14" spans="1:6" ht="12.75">
      <c r="A14" s="34" t="s">
        <v>23</v>
      </c>
      <c r="B14" s="35">
        <v>700000</v>
      </c>
      <c r="C14" s="34"/>
      <c r="D14" s="34"/>
      <c r="E14" s="34"/>
      <c r="F14" s="34"/>
    </row>
    <row r="15" spans="1:6" ht="12.75">
      <c r="A15" s="34" t="s">
        <v>24</v>
      </c>
      <c r="B15" s="35">
        <v>844000</v>
      </c>
      <c r="C15" s="34"/>
      <c r="D15" s="34"/>
      <c r="E15" s="34"/>
      <c r="F15" s="34"/>
    </row>
    <row r="16" spans="1:6" ht="12.75">
      <c r="A16" s="34" t="s">
        <v>25</v>
      </c>
      <c r="B16" s="35">
        <v>90000</v>
      </c>
      <c r="C16" s="34"/>
      <c r="D16" s="34"/>
      <c r="E16" s="34"/>
      <c r="F16" s="34"/>
    </row>
    <row r="17" spans="1:6" ht="13.5" thickBot="1">
      <c r="A17" s="34"/>
      <c r="B17" s="37">
        <f>SUM(B13:B16)</f>
        <v>16234000</v>
      </c>
      <c r="C17" s="34"/>
      <c r="D17" s="34"/>
      <c r="E17" s="34"/>
      <c r="F17" s="34"/>
    </row>
    <row r="18" spans="1:6" ht="13.5" thickTop="1">
      <c r="A18" s="34"/>
      <c r="B18" s="34"/>
      <c r="C18" s="34"/>
      <c r="D18" s="34"/>
      <c r="E18" s="34"/>
      <c r="F18" s="34"/>
    </row>
    <row r="19" spans="1:6" ht="12.75">
      <c r="A19" s="34"/>
      <c r="B19" s="34"/>
      <c r="C19" s="34"/>
      <c r="D19" s="34"/>
      <c r="E19" s="34"/>
      <c r="F19" s="34"/>
    </row>
    <row r="20" spans="1:6" ht="12.75">
      <c r="A20" s="34"/>
      <c r="B20" s="34"/>
      <c r="C20" s="34"/>
      <c r="D20" s="34"/>
      <c r="E20" s="34"/>
      <c r="F20" s="34"/>
    </row>
    <row r="21" spans="1:5" ht="12.75">
      <c r="A21" s="34" t="s">
        <v>26</v>
      </c>
      <c r="B21" s="34"/>
      <c r="C21" s="34"/>
      <c r="D21" s="34"/>
      <c r="E21" s="34"/>
    </row>
    <row r="22" spans="1:6" ht="12.75">
      <c r="A22" s="34"/>
      <c r="B22" s="34"/>
      <c r="C22" s="34"/>
      <c r="D22" s="34"/>
      <c r="E22" s="34"/>
      <c r="F22" s="39" t="s">
        <v>27</v>
      </c>
    </row>
    <row r="23" spans="1:6" ht="12.75">
      <c r="A23" s="34"/>
      <c r="B23" s="34"/>
      <c r="C23" s="34"/>
      <c r="D23" s="34"/>
      <c r="E23" s="39" t="s">
        <v>15</v>
      </c>
      <c r="F23" s="39" t="s">
        <v>15</v>
      </c>
    </row>
    <row r="24" spans="1:6" ht="12.75">
      <c r="A24" s="38">
        <f>Costs!A8</f>
        <v>352000</v>
      </c>
      <c r="B24" s="34" t="str">
        <f>Costs!B8</f>
        <v>Wells</v>
      </c>
      <c r="C24" s="35">
        <v>825000</v>
      </c>
      <c r="D24" s="31">
        <f>C24/$C$27</f>
        <v>0.22602739726027396</v>
      </c>
      <c r="E24" s="34"/>
      <c r="F24" s="42">
        <f>ROUND($E$27*D24,-3)</f>
        <v>3670000</v>
      </c>
    </row>
    <row r="25" spans="1:6" ht="12.75">
      <c r="A25" s="38">
        <f>Costs!A9</f>
        <v>353000</v>
      </c>
      <c r="B25" s="34" t="str">
        <f>Costs!B9</f>
        <v>Lines</v>
      </c>
      <c r="C25" s="35">
        <v>625000</v>
      </c>
      <c r="D25" s="31">
        <f>C25/$C$27</f>
        <v>0.17123287671232876</v>
      </c>
      <c r="E25" s="34"/>
      <c r="F25" s="42">
        <f>ROUND($E$27*D25,-3)</f>
        <v>2781000</v>
      </c>
    </row>
    <row r="26" spans="1:6" ht="12.75">
      <c r="A26" s="38">
        <f>Costs!A10</f>
        <v>354000</v>
      </c>
      <c r="B26" s="34" t="str">
        <f>Costs!B10</f>
        <v>Compressors</v>
      </c>
      <c r="C26" s="35">
        <v>2200000</v>
      </c>
      <c r="D26" s="31">
        <f>C26/$C$27</f>
        <v>0.6027397260273972</v>
      </c>
      <c r="E26" s="34"/>
      <c r="F26" s="42">
        <f>ROUND($E$27*D26,-3)</f>
        <v>9788000</v>
      </c>
    </row>
    <row r="27" spans="1:6" ht="12.75">
      <c r="A27" s="34"/>
      <c r="B27" s="34"/>
      <c r="C27" s="36">
        <f>SUM(C24:C26)</f>
        <v>3650000</v>
      </c>
      <c r="D27" s="34"/>
      <c r="E27" s="36">
        <f>B10</f>
        <v>16239100</v>
      </c>
      <c r="F27" s="36">
        <f>SUM(F24:F26)</f>
        <v>16239000</v>
      </c>
    </row>
    <row r="28" spans="1:6" ht="12.75">
      <c r="A28" s="34"/>
      <c r="B28" s="34"/>
      <c r="C28" s="34"/>
      <c r="D28" s="34"/>
      <c r="E28" s="34"/>
      <c r="F28" s="39" t="s">
        <v>28</v>
      </c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  <row r="37" spans="1:6" ht="12.75">
      <c r="A37" s="34"/>
      <c r="B37" s="34"/>
      <c r="C37" s="34"/>
      <c r="D37" s="34"/>
      <c r="E37" s="34"/>
      <c r="F37" s="34"/>
    </row>
    <row r="38" spans="1:6" ht="12.75">
      <c r="A38" s="34"/>
      <c r="B38" s="34"/>
      <c r="C38" s="34"/>
      <c r="D38" s="34"/>
      <c r="E38" s="34"/>
      <c r="F38" s="34"/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4"/>
      <c r="C40" s="34"/>
      <c r="D40" s="34"/>
      <c r="E40" s="34"/>
      <c r="F40" s="3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Patrick Ehrbar</cp:lastModifiedBy>
  <cp:lastPrinted>2008-12-11T18:27:50Z</cp:lastPrinted>
  <dcterms:created xsi:type="dcterms:W3CDTF">2007-06-06T18:37:13Z</dcterms:created>
  <dcterms:modified xsi:type="dcterms:W3CDTF">2009-04-30T22:31:09Z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