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465" activeTab="0"/>
  </bookViews>
  <sheets>
    <sheet name="12ME 09.08" sheetId="1" r:id="rId1"/>
    <sheet name="Washington Retail Loads" sheetId="2" r:id="rId2"/>
    <sheet name="Sheet2" sheetId="3" r:id="rId3"/>
    <sheet name="Sheet3" sheetId="4" r:id="rId4"/>
  </sheets>
  <definedNames>
    <definedName name="Nine_Factor">'12ME 09.08'!$F$71</definedName>
    <definedName name="Ten_Factor">'12ME 09.08'!$F$70</definedName>
  </definedNames>
  <calcPr fullCalcOnLoad="1"/>
</workbook>
</file>

<file path=xl/sharedStrings.xml><?xml version="1.0" encoding="utf-8"?>
<sst xmlns="http://schemas.openxmlformats.org/spreadsheetml/2006/main" count="135" uniqueCount="99">
  <si>
    <t>AVISTA UTILITIES</t>
  </si>
  <si>
    <t>Production Factor Adjustment</t>
  </si>
  <si>
    <t>Twelve Months Ended September 30, 2008</t>
  </si>
  <si>
    <t>Pro forma Rate Base</t>
  </si>
  <si>
    <t>Capital Additions</t>
  </si>
  <si>
    <t>Spokane River Relicensing</t>
  </si>
  <si>
    <t>CDA Tribe Settlement</t>
  </si>
  <si>
    <t>Montana Lease</t>
  </si>
  <si>
    <t>Power Supply</t>
  </si>
  <si>
    <t>Labor</t>
  </si>
  <si>
    <t>Transmission</t>
  </si>
  <si>
    <t>Asset Management</t>
  </si>
  <si>
    <t>Mercury Emission</t>
  </si>
  <si>
    <t>Benefits</t>
  </si>
  <si>
    <t>Plant</t>
  </si>
  <si>
    <t>$000's</t>
  </si>
  <si>
    <t>Production Plant O&amp;M</t>
  </si>
  <si>
    <t>Accumulated Depreciation</t>
  </si>
  <si>
    <t>Accumulated Deferred FIT</t>
  </si>
  <si>
    <t>Net Rate Base</t>
  </si>
  <si>
    <t>Production</t>
  </si>
  <si>
    <t>Total</t>
  </si>
  <si>
    <t>Depreciation/Amortization</t>
  </si>
  <si>
    <t>Property Taxes</t>
  </si>
  <si>
    <t>Factor</t>
  </si>
  <si>
    <t>Adjustment</t>
  </si>
  <si>
    <t>Test Year</t>
  </si>
  <si>
    <t>Workpaper</t>
  </si>
  <si>
    <t>References</t>
  </si>
  <si>
    <t xml:space="preserve">PF11 </t>
  </si>
  <si>
    <t xml:space="preserve">PF12 </t>
  </si>
  <si>
    <t xml:space="preserve">PF12  </t>
  </si>
  <si>
    <t xml:space="preserve">PF1  </t>
  </si>
  <si>
    <t xml:space="preserve">PF5  </t>
  </si>
  <si>
    <t xml:space="preserve">PF 3  </t>
  </si>
  <si>
    <t xml:space="preserve">PF13  </t>
  </si>
  <si>
    <t xml:space="preserve">     Total pro formed Depr/Amort</t>
  </si>
  <si>
    <t xml:space="preserve">     Total pro formed DFIT</t>
  </si>
  <si>
    <t xml:space="preserve">     Total pro formed AD</t>
  </si>
  <si>
    <t xml:space="preserve">     Total pro formed Plant</t>
  </si>
  <si>
    <t xml:space="preserve">     Total pro formed Property Tax</t>
  </si>
  <si>
    <t xml:space="preserve">    Total pro formed O&amp;M Expense</t>
  </si>
  <si>
    <t>12 Months Ended December 2009</t>
  </si>
  <si>
    <t>Normalized 12 Months Ended September 2008</t>
  </si>
  <si>
    <t>PF2</t>
  </si>
  <si>
    <t>Pro formed</t>
  </si>
  <si>
    <t>Period Total</t>
  </si>
  <si>
    <t>PF6, 7</t>
  </si>
  <si>
    <t>Retail Forecast</t>
  </si>
  <si>
    <t>Annual Total</t>
  </si>
  <si>
    <t>Total Calendar Energy Usage by State:</t>
  </si>
  <si>
    <t>WA</t>
  </si>
  <si>
    <t>ID</t>
  </si>
  <si>
    <t>Test Year Actual</t>
  </si>
  <si>
    <t>BJH workpapers</t>
  </si>
  <si>
    <t>TOTAL PROFORMA KWHS</t>
  </si>
  <si>
    <t>SCHEDULE 1</t>
  </si>
  <si>
    <t>SCH. 11,12</t>
  </si>
  <si>
    <t>SCH. 21,22</t>
  </si>
  <si>
    <t>SCHEDULE 25</t>
  </si>
  <si>
    <t>Values entered as kWhs, formatted to view as mWhs.</t>
  </si>
  <si>
    <t>PF1</t>
  </si>
  <si>
    <t>O&amp;M Expense</t>
  </si>
  <si>
    <t>Revenue</t>
  </si>
  <si>
    <t>Power Supply - Sales for Resale</t>
  </si>
  <si>
    <t>Power Supply - Other Revenue</t>
  </si>
  <si>
    <t>Transmission - Other Revenue</t>
  </si>
  <si>
    <t xml:space="preserve">     Total pro formed Revenues</t>
  </si>
  <si>
    <t>Net Operating Expense Before Taxes</t>
  </si>
  <si>
    <t>PF 6,7, L and B</t>
  </si>
  <si>
    <t>Power Supply - Purchased Power</t>
  </si>
  <si>
    <t>Washington Retail Loads</t>
  </si>
  <si>
    <t>12 Months Ended December 2010</t>
  </si>
  <si>
    <t>Washington Electric Rate Case</t>
  </si>
  <si>
    <t>2010 Factor</t>
  </si>
  <si>
    <t>2009 Factor</t>
  </si>
  <si>
    <t>Noxon Generation</t>
  </si>
  <si>
    <t>PF8</t>
  </si>
  <si>
    <t>PF11</t>
  </si>
  <si>
    <t>PF12</t>
  </si>
  <si>
    <t xml:space="preserve">PF13 </t>
  </si>
  <si>
    <t>PF13</t>
  </si>
  <si>
    <t>PF9</t>
  </si>
  <si>
    <t xml:space="preserve">PF14 </t>
  </si>
  <si>
    <t xml:space="preserve">PF16 </t>
  </si>
  <si>
    <t xml:space="preserve">PF17 and PF3  </t>
  </si>
  <si>
    <t>PF19</t>
  </si>
  <si>
    <t>Clark Fork PM&amp;E</t>
  </si>
  <si>
    <t>SCH. 30, 31, 32</t>
  </si>
  <si>
    <t>WA028</t>
  </si>
  <si>
    <t>Washington</t>
  </si>
  <si>
    <t>SCH. 41-48</t>
  </si>
  <si>
    <t>Revenue Run Test Year</t>
  </si>
  <si>
    <t>Schedule 28 Actual</t>
  </si>
  <si>
    <t>Test Year Normalized Including Special Contract</t>
  </si>
  <si>
    <t>Forecast Values Copied from 'Electric 2009 - 2013 v4.xls / Calendar Loads"</t>
  </si>
  <si>
    <t>2009 Forecast</t>
  </si>
  <si>
    <t>Forecast includes Special Contract</t>
  </si>
  <si>
    <t>Potlatch Generation is excluded from Power Supply Loads to facilitate direct assignment to Idaho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</si>
</sst>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* #,##0.00000_);_(* \(#,##0.00000\);_(* &quot;-&quot;?????_);_(@_)"/>
    <numFmt numFmtId="177" formatCode="#,###,###,##0"/>
    <numFmt numFmtId="178" formatCode="0.0000%"/>
    <numFmt numFmtId="179" formatCode="_(* #,##0.000_);_(* \(#,##0.000\);_(* &quot;-&quot;??_);_(@_)"/>
    <numFmt numFmtId="180" formatCode="#,##0.0_);[Red]\(#,##0.0\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&quot;$&quot;#,##0.00"/>
    <numFmt numFmtId="185" formatCode="&quot;$&quot;#,##0.0"/>
    <numFmt numFmtId="186" formatCode="&quot;$&quot;#,##0"/>
    <numFmt numFmtId="187" formatCode="0.0000"/>
    <numFmt numFmtId="188" formatCode="0.000"/>
    <numFmt numFmtId="189" formatCode="0.0000000"/>
    <numFmt numFmtId="190" formatCode="0.000000"/>
    <numFmt numFmtId="191" formatCode="#,##0\ ;\(#,##0\)"/>
    <numFmt numFmtId="192" formatCode="###,###,##0.00"/>
    <numFmt numFmtId="193" formatCode="[$-409]dddd\,\ mmmm\ dd\,\ yyyy"/>
    <numFmt numFmtId="194" formatCode="#,###,###,###,##0"/>
    <numFmt numFmtId="195" formatCode="&quot;Sum: &quot;#,###,###,###,##0;&quot;Sum: &quot;\-#,###,###,###,##0"/>
    <numFmt numFmtId="196" formatCode="##,###,###,##0.00"/>
    <numFmt numFmtId="197" formatCode="#,###,###,###,###.00"/>
    <numFmt numFmtId="198" formatCode="#############.00"/>
    <numFmt numFmtId="199" formatCode="#,###,###,###.00"/>
    <numFmt numFmtId="200" formatCode="&quot;$&quot;###,###,##0.00"/>
    <numFmt numFmtId="201" formatCode="##,###,###,###,###,##0"/>
    <numFmt numFmtId="202" formatCode="mmm\ yy"/>
    <numFmt numFmtId="203" formatCode="#,##0,;\-#,##0,"/>
    <numFmt numFmtId="204" formatCode="mmm/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8"/>
      <name val="Geneva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ill="1" applyAlignment="1">
      <alignment/>
    </xf>
    <xf numFmtId="0" fontId="0" fillId="0" borderId="0" xfId="0" applyFill="1" applyAlignment="1">
      <alignment/>
    </xf>
    <xf numFmtId="165" fontId="0" fillId="0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165" fontId="0" fillId="0" borderId="1" xfId="15" applyNumberFormat="1" applyFill="1" applyBorder="1" applyAlignment="1">
      <alignment/>
    </xf>
    <xf numFmtId="0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168" fontId="0" fillId="0" borderId="0" xfId="19" applyNumberFormat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Alignment="1">
      <alignment/>
    </xf>
    <xf numFmtId="203" fontId="0" fillId="0" borderId="0" xfId="0" applyNumberFormat="1" applyAlignment="1">
      <alignment/>
    </xf>
    <xf numFmtId="20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202" fontId="0" fillId="0" borderId="0" xfId="0" applyNumberFormat="1" applyAlignment="1">
      <alignment readingOrder="1"/>
    </xf>
    <xf numFmtId="0" fontId="3" fillId="0" borderId="0" xfId="0" applyFont="1" applyAlignment="1">
      <alignment readingOrder="1"/>
    </xf>
    <xf numFmtId="203" fontId="0" fillId="0" borderId="0" xfId="0" applyNumberFormat="1" applyAlignment="1">
      <alignment readingOrder="1"/>
    </xf>
    <xf numFmtId="0" fontId="0" fillId="0" borderId="0" xfId="0" applyAlignment="1">
      <alignment horizontal="right"/>
    </xf>
    <xf numFmtId="165" fontId="0" fillId="0" borderId="0" xfId="15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readingOrder="1"/>
    </xf>
    <xf numFmtId="0" fontId="5" fillId="0" borderId="0" xfId="0" applyFont="1" applyAlignment="1">
      <alignment horizontal="center"/>
    </xf>
    <xf numFmtId="172" fontId="0" fillId="0" borderId="0" xfId="0" applyNumberFormat="1" applyAlignment="1">
      <alignment/>
    </xf>
    <xf numFmtId="20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19" applyNumberFormat="1" applyFill="1" applyAlignment="1">
      <alignment/>
    </xf>
    <xf numFmtId="165" fontId="0" fillId="2" borderId="0" xfId="15" applyNumberFormat="1" applyFill="1" applyAlignment="1">
      <alignment/>
    </xf>
    <xf numFmtId="165" fontId="1" fillId="2" borderId="1" xfId="15" applyNumberFormat="1" applyFont="1" applyFill="1" applyBorder="1" applyAlignment="1">
      <alignment/>
    </xf>
    <xf numFmtId="165" fontId="1" fillId="2" borderId="0" xfId="15" applyNumberFormat="1" applyFont="1" applyFill="1" applyAlignment="1">
      <alignment/>
    </xf>
    <xf numFmtId="165" fontId="1" fillId="2" borderId="0" xfId="15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G4" sqref="G1:G16384"/>
    </sheetView>
  </sheetViews>
  <sheetFormatPr defaultColWidth="9.140625" defaultRowHeight="12.75"/>
  <cols>
    <col min="1" max="1" width="5.28125" style="0" customWidth="1"/>
    <col min="2" max="2" width="28.7109375" style="0" customWidth="1"/>
    <col min="3" max="3" width="11.28125" style="0" customWidth="1"/>
    <col min="4" max="4" width="11.7109375" style="0" customWidth="1"/>
    <col min="5" max="5" width="14.7109375" style="0" customWidth="1"/>
    <col min="6" max="6" width="9.421875" style="0" customWidth="1"/>
    <col min="7" max="7" width="9.421875" style="31" customWidth="1"/>
    <col min="8" max="8" width="12.00390625" style="0" customWidth="1"/>
    <col min="9" max="9" width="4.8515625" style="0" customWidth="1"/>
    <col min="10" max="10" width="15.140625" style="0" customWidth="1"/>
  </cols>
  <sheetData>
    <row r="1" spans="1:10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5" ht="12.75">
      <c r="A5" t="s">
        <v>73</v>
      </c>
    </row>
    <row r="6" spans="2:10" ht="12.75">
      <c r="B6" t="s">
        <v>15</v>
      </c>
      <c r="C6" t="s">
        <v>20</v>
      </c>
      <c r="D6" t="s">
        <v>10</v>
      </c>
      <c r="E6" s="1" t="s">
        <v>45</v>
      </c>
      <c r="F6" t="s">
        <v>20</v>
      </c>
      <c r="G6" s="32"/>
      <c r="H6" s="1" t="s">
        <v>26</v>
      </c>
      <c r="J6" t="s">
        <v>27</v>
      </c>
    </row>
    <row r="7" spans="5:10" ht="12.75">
      <c r="E7" s="1" t="s">
        <v>46</v>
      </c>
      <c r="F7" s="1" t="s">
        <v>24</v>
      </c>
      <c r="G7" s="32" t="s">
        <v>25</v>
      </c>
      <c r="H7" s="1" t="s">
        <v>21</v>
      </c>
      <c r="I7" s="1"/>
      <c r="J7" t="s">
        <v>28</v>
      </c>
    </row>
    <row r="8" spans="1:7" ht="12.75">
      <c r="A8" t="s">
        <v>3</v>
      </c>
      <c r="F8" s="12"/>
      <c r="G8" s="33"/>
    </row>
    <row r="9" ht="12.75">
      <c r="B9" s="7" t="s">
        <v>14</v>
      </c>
    </row>
    <row r="10" spans="2:10" ht="12.75">
      <c r="B10" t="s">
        <v>4</v>
      </c>
      <c r="C10" s="4">
        <f>656078+18107+24825</f>
        <v>699010</v>
      </c>
      <c r="D10" s="4">
        <f>285760+9165+7245</f>
        <v>302170</v>
      </c>
      <c r="E10" s="4">
        <f>SUM(C10:D10)</f>
        <v>1001180</v>
      </c>
      <c r="F10">
        <f>Nine_Factor</f>
        <v>0.019372</v>
      </c>
      <c r="G10" s="34">
        <f>ROUND(E10*F10,0)</f>
        <v>19395</v>
      </c>
      <c r="H10" s="13">
        <f>E10-G10</f>
        <v>981785</v>
      </c>
      <c r="J10" s="5" t="s">
        <v>47</v>
      </c>
    </row>
    <row r="11" spans="2:10" ht="12.75">
      <c r="B11" t="s">
        <v>76</v>
      </c>
      <c r="C11" s="4">
        <v>5464</v>
      </c>
      <c r="D11" s="4"/>
      <c r="E11" s="4">
        <f>SUM(C11:D11)</f>
        <v>5464</v>
      </c>
      <c r="F11">
        <f>Ten_Factor</f>
        <v>0.047953</v>
      </c>
      <c r="G11" s="34">
        <f>ROUND(E11*F11,0)</f>
        <v>262</v>
      </c>
      <c r="H11" s="13">
        <f>E11-G11</f>
        <v>5202</v>
      </c>
      <c r="J11" s="5" t="s">
        <v>77</v>
      </c>
    </row>
    <row r="12" spans="2:10" ht="12.75">
      <c r="B12" t="s">
        <v>5</v>
      </c>
      <c r="C12" s="4">
        <v>23703</v>
      </c>
      <c r="E12" s="4">
        <f>SUM(C12:D12)</f>
        <v>23703</v>
      </c>
      <c r="F12">
        <f>Ten_Factor</f>
        <v>0.047953</v>
      </c>
      <c r="G12" s="34">
        <f>ROUND(E12*F12,0)</f>
        <v>1137</v>
      </c>
      <c r="H12" s="13">
        <f>E12-G12</f>
        <v>22566</v>
      </c>
      <c r="J12" s="5" t="s">
        <v>29</v>
      </c>
    </row>
    <row r="13" spans="2:10" ht="12.75">
      <c r="B13" t="s">
        <v>6</v>
      </c>
      <c r="C13" s="4">
        <v>25866</v>
      </c>
      <c r="E13" s="4">
        <f>SUM(C13:D13)</f>
        <v>25866</v>
      </c>
      <c r="F13">
        <f>Ten_Factor</f>
        <v>0.047953</v>
      </c>
      <c r="G13" s="34">
        <f>ROUND(E13*F13,0)</f>
        <v>1240</v>
      </c>
      <c r="H13" s="13">
        <f>E13-G13</f>
        <v>24626</v>
      </c>
      <c r="J13" s="5" t="s">
        <v>30</v>
      </c>
    </row>
    <row r="14" spans="2:10" ht="12.75">
      <c r="B14" t="s">
        <v>7</v>
      </c>
      <c r="C14" s="4">
        <v>4398</v>
      </c>
      <c r="E14" s="4">
        <f>SUM(C14:D14)</f>
        <v>4398</v>
      </c>
      <c r="F14">
        <f>Ten_Factor</f>
        <v>0.047953</v>
      </c>
      <c r="G14" s="34">
        <f>ROUND(E14*F14,0)</f>
        <v>211</v>
      </c>
      <c r="H14" s="13">
        <f>E14-G14</f>
        <v>4187</v>
      </c>
      <c r="J14" s="5" t="s">
        <v>81</v>
      </c>
    </row>
    <row r="15" spans="2:10" ht="12.75">
      <c r="B15" t="s">
        <v>39</v>
      </c>
      <c r="C15" s="8">
        <f>SUM(C10:C14)</f>
        <v>758441</v>
      </c>
      <c r="D15" s="8">
        <f>SUM(D10:D14)</f>
        <v>302170</v>
      </c>
      <c r="E15" s="8">
        <f>SUM(E10:E14)</f>
        <v>1060611</v>
      </c>
      <c r="G15" s="35">
        <f>SUM(G10:G14)</f>
        <v>22245</v>
      </c>
      <c r="H15" s="8">
        <f>SUM(H10:H14)</f>
        <v>1038366</v>
      </c>
      <c r="I15" s="4"/>
      <c r="J15" s="5"/>
    </row>
    <row r="16" spans="3:10" ht="12.75">
      <c r="C16" s="4"/>
      <c r="D16" s="4"/>
      <c r="E16" s="4"/>
      <c r="G16" s="34"/>
      <c r="H16" s="5"/>
      <c r="I16" s="4"/>
      <c r="J16" s="5"/>
    </row>
    <row r="17" spans="2:10" ht="12.75">
      <c r="B17" s="7" t="s">
        <v>17</v>
      </c>
      <c r="C17" s="4"/>
      <c r="D17" s="4"/>
      <c r="E17" s="4"/>
      <c r="G17" s="34"/>
      <c r="H17" s="5"/>
      <c r="I17" s="4"/>
      <c r="J17" s="5"/>
    </row>
    <row r="18" spans="2:10" ht="12.75">
      <c r="B18" t="s">
        <v>4</v>
      </c>
      <c r="C18" s="4">
        <f>-241172-12610-16960-245</f>
        <v>-270987</v>
      </c>
      <c r="D18" s="4">
        <f>-94048-5046-5594-40</f>
        <v>-104728</v>
      </c>
      <c r="E18" s="4">
        <f>SUM(C18:D18)</f>
        <v>-375715</v>
      </c>
      <c r="F18">
        <f>Nine_Factor</f>
        <v>0.019372</v>
      </c>
      <c r="G18" s="34">
        <f>ROUND(E18*F18,0)</f>
        <v>-7278</v>
      </c>
      <c r="H18" s="13">
        <f>E18-G18</f>
        <v>-368437</v>
      </c>
      <c r="I18" s="4"/>
      <c r="J18" s="5" t="s">
        <v>47</v>
      </c>
    </row>
    <row r="19" spans="2:10" ht="12.75">
      <c r="B19" t="s">
        <v>76</v>
      </c>
      <c r="C19" s="4">
        <v>-56</v>
      </c>
      <c r="D19" s="4"/>
      <c r="E19" s="4">
        <f>SUM(C19:D19)</f>
        <v>-56</v>
      </c>
      <c r="F19">
        <f>Ten_Factor</f>
        <v>0.047953</v>
      </c>
      <c r="G19" s="34">
        <f>ROUND(E19*F19,0)</f>
        <v>-3</v>
      </c>
      <c r="H19" s="13">
        <f>E19-G19</f>
        <v>-53</v>
      </c>
      <c r="I19" s="4"/>
      <c r="J19" s="5" t="s">
        <v>77</v>
      </c>
    </row>
    <row r="20" spans="2:10" ht="12.75">
      <c r="B20" t="s">
        <v>5</v>
      </c>
      <c r="C20" s="4">
        <v>-663</v>
      </c>
      <c r="D20" s="4"/>
      <c r="E20" s="4">
        <f>SUM(C20:D20)</f>
        <v>-663</v>
      </c>
      <c r="F20">
        <f>Ten_Factor</f>
        <v>0.047953</v>
      </c>
      <c r="G20" s="34">
        <f>ROUND(E20*F20,0)</f>
        <v>-32</v>
      </c>
      <c r="H20" s="13">
        <f>E20-G20</f>
        <v>-631</v>
      </c>
      <c r="I20" s="4"/>
      <c r="J20" s="5" t="s">
        <v>79</v>
      </c>
    </row>
    <row r="21" spans="2:10" ht="12.75">
      <c r="B21" t="s">
        <v>6</v>
      </c>
      <c r="C21" s="4">
        <v>-219</v>
      </c>
      <c r="D21" s="4"/>
      <c r="E21" s="4">
        <f>SUM(C21:D21)</f>
        <v>-219</v>
      </c>
      <c r="F21">
        <f>Ten_Factor</f>
        <v>0.047953</v>
      </c>
      <c r="G21" s="34">
        <f>ROUND(E21*F21,0)</f>
        <v>-11</v>
      </c>
      <c r="H21" s="13">
        <f>E21-G21</f>
        <v>-208</v>
      </c>
      <c r="I21" s="4"/>
      <c r="J21" s="5" t="s">
        <v>29</v>
      </c>
    </row>
    <row r="22" spans="2:10" ht="12.75">
      <c r="B22" t="s">
        <v>38</v>
      </c>
      <c r="C22" s="8">
        <f>SUM(C18:C21)</f>
        <v>-271925</v>
      </c>
      <c r="D22" s="8">
        <f>SUM(D18:D21)</f>
        <v>-104728</v>
      </c>
      <c r="E22" s="8">
        <f>SUM(E18:E21)</f>
        <v>-376653</v>
      </c>
      <c r="G22" s="35">
        <f>SUM(G18:G21)</f>
        <v>-7324</v>
      </c>
      <c r="H22" s="8">
        <f>SUM(H18:H21)</f>
        <v>-369329</v>
      </c>
      <c r="I22" s="4"/>
      <c r="J22" s="5"/>
    </row>
    <row r="23" spans="3:10" ht="12.75">
      <c r="C23" s="4"/>
      <c r="D23" s="4"/>
      <c r="E23" s="4"/>
      <c r="G23" s="34"/>
      <c r="H23" s="5"/>
      <c r="I23" s="4"/>
      <c r="J23" s="5"/>
    </row>
    <row r="24" spans="2:10" ht="12.75">
      <c r="B24" s="7" t="s">
        <v>18</v>
      </c>
      <c r="C24" s="4"/>
      <c r="D24" s="4"/>
      <c r="E24" s="4"/>
      <c r="G24" s="34"/>
      <c r="H24" s="5"/>
      <c r="I24" s="4"/>
      <c r="J24" s="5"/>
    </row>
    <row r="25" spans="2:10" ht="12.75">
      <c r="B25" t="s">
        <v>4</v>
      </c>
      <c r="C25" s="4">
        <f>-60350-2813-2214-240</f>
        <v>-65617</v>
      </c>
      <c r="D25" s="4">
        <f>-26128-613-961-81</f>
        <v>-27783</v>
      </c>
      <c r="E25" s="4">
        <f>SUM(C25:D25)</f>
        <v>-93400</v>
      </c>
      <c r="F25">
        <f>Nine_Factor</f>
        <v>0.019372</v>
      </c>
      <c r="G25" s="34">
        <f>ROUND(E25*F25,0)</f>
        <v>-1809</v>
      </c>
      <c r="H25" s="13">
        <f>E25-G25</f>
        <v>-91591</v>
      </c>
      <c r="I25" s="4"/>
      <c r="J25" s="5" t="s">
        <v>47</v>
      </c>
    </row>
    <row r="26" spans="2:10" ht="12.75">
      <c r="B26" t="s">
        <v>76</v>
      </c>
      <c r="C26" s="4">
        <v>-22</v>
      </c>
      <c r="D26" s="4"/>
      <c r="E26" s="4">
        <f>SUM(C26:D26)</f>
        <v>-22</v>
      </c>
      <c r="F26">
        <f>Ten_Factor</f>
        <v>0.047953</v>
      </c>
      <c r="G26" s="34">
        <f>ROUND(E26*F26,0)</f>
        <v>-1</v>
      </c>
      <c r="H26" s="13">
        <f>E26-G26</f>
        <v>-21</v>
      </c>
      <c r="I26" s="4"/>
      <c r="J26" s="5" t="s">
        <v>77</v>
      </c>
    </row>
    <row r="27" spans="2:10" ht="12.75">
      <c r="B27" t="s">
        <v>5</v>
      </c>
      <c r="C27" s="4">
        <v>-2818</v>
      </c>
      <c r="D27" s="4"/>
      <c r="E27" s="4">
        <f>SUM(C27:D27)</f>
        <v>-2818</v>
      </c>
      <c r="F27">
        <f>Ten_Factor</f>
        <v>0.047953</v>
      </c>
      <c r="G27" s="34">
        <f>ROUND(E27*F27,0)</f>
        <v>-135</v>
      </c>
      <c r="H27" s="13">
        <f>E27-G27</f>
        <v>-2683</v>
      </c>
      <c r="I27" s="4"/>
      <c r="J27" s="5" t="s">
        <v>29</v>
      </c>
    </row>
    <row r="28" spans="2:10" ht="12.75">
      <c r="B28" t="s">
        <v>6</v>
      </c>
      <c r="C28" s="4">
        <v>-8384</v>
      </c>
      <c r="D28" s="4"/>
      <c r="E28" s="4">
        <f>SUM(C28:D28)</f>
        <v>-8384</v>
      </c>
      <c r="F28">
        <f>Ten_Factor</f>
        <v>0.047953</v>
      </c>
      <c r="G28" s="34">
        <f>ROUND(E28*F28,0)</f>
        <v>-402</v>
      </c>
      <c r="H28" s="13">
        <f>E28-G28</f>
        <v>-7982</v>
      </c>
      <c r="I28" s="4"/>
      <c r="J28" s="5" t="s">
        <v>31</v>
      </c>
    </row>
    <row r="29" spans="2:10" ht="12.75">
      <c r="B29" t="s">
        <v>7</v>
      </c>
      <c r="C29" s="4">
        <v>-1539</v>
      </c>
      <c r="D29" s="4"/>
      <c r="E29" s="4">
        <f>SUM(C29:D29)</f>
        <v>-1539</v>
      </c>
      <c r="F29">
        <f>Ten_Factor</f>
        <v>0.047953</v>
      </c>
      <c r="G29" s="34">
        <f>ROUND(E29*F29,0)</f>
        <v>-74</v>
      </c>
      <c r="H29" s="13">
        <f>E29-G29</f>
        <v>-1465</v>
      </c>
      <c r="I29" s="4"/>
      <c r="J29" s="5" t="s">
        <v>35</v>
      </c>
    </row>
    <row r="30" spans="2:10" ht="12.75">
      <c r="B30" t="s">
        <v>37</v>
      </c>
      <c r="C30" s="8">
        <f>SUM(C25:C29)</f>
        <v>-78380</v>
      </c>
      <c r="D30" s="8">
        <f>SUM(D25:D29)</f>
        <v>-27783</v>
      </c>
      <c r="E30" s="8">
        <f>SUM(E25:E29)</f>
        <v>-106163</v>
      </c>
      <c r="G30" s="35">
        <f>SUM(G25:G29)</f>
        <v>-2421</v>
      </c>
      <c r="H30" s="8">
        <f>SUM(H25:H29)</f>
        <v>-103742</v>
      </c>
      <c r="I30" s="4"/>
      <c r="J30" s="5"/>
    </row>
    <row r="31" spans="3:10" ht="12.75">
      <c r="C31" s="4"/>
      <c r="D31" s="4"/>
      <c r="E31" s="4"/>
      <c r="G31" s="34"/>
      <c r="H31" s="5"/>
      <c r="I31" s="4"/>
      <c r="J31" s="5"/>
    </row>
    <row r="32" spans="2:10" ht="12.75">
      <c r="B32" t="s">
        <v>19</v>
      </c>
      <c r="C32" s="4">
        <f>C15+C22+C30</f>
        <v>408136</v>
      </c>
      <c r="D32" s="4">
        <f>D15+D22+D30</f>
        <v>169659</v>
      </c>
      <c r="E32" s="4">
        <f>E15+E22+E30</f>
        <v>577795</v>
      </c>
      <c r="G32" s="36">
        <f>G15+G22+G30</f>
        <v>12500</v>
      </c>
      <c r="H32" s="4">
        <f>H15+H22+H30</f>
        <v>565295</v>
      </c>
      <c r="I32" s="4"/>
      <c r="J32" s="5"/>
    </row>
    <row r="33" spans="3:9" ht="12.75">
      <c r="C33" s="3"/>
      <c r="D33" s="3"/>
      <c r="E33" s="3"/>
      <c r="G33" s="34"/>
      <c r="I33" s="3"/>
    </row>
    <row r="34" spans="2:9" ht="12.75">
      <c r="B34" s="9" t="s">
        <v>22</v>
      </c>
      <c r="C34" s="3"/>
      <c r="D34" s="3"/>
      <c r="E34" s="3"/>
      <c r="G34" s="34"/>
      <c r="I34" s="3"/>
    </row>
    <row r="35" spans="2:10" ht="12.75">
      <c r="B35" t="s">
        <v>4</v>
      </c>
      <c r="C35" s="4">
        <f>16999-111+572</f>
        <v>17460</v>
      </c>
      <c r="D35" s="4">
        <f>5902+34+150</f>
        <v>6086</v>
      </c>
      <c r="E35" s="4">
        <f>SUM(C35:D35)</f>
        <v>23546</v>
      </c>
      <c r="F35">
        <f>Nine_Factor</f>
        <v>0.019372</v>
      </c>
      <c r="G35" s="34">
        <f>ROUND(E35*F35,0)</f>
        <v>456</v>
      </c>
      <c r="H35" s="13">
        <f>E35-G35</f>
        <v>23090</v>
      </c>
      <c r="I35" s="3"/>
      <c r="J35" s="5" t="s">
        <v>47</v>
      </c>
    </row>
    <row r="36" spans="2:10" ht="12.75">
      <c r="B36" t="s">
        <v>76</v>
      </c>
      <c r="C36" s="4">
        <v>158</v>
      </c>
      <c r="D36" s="4"/>
      <c r="E36" s="4">
        <f>SUM(C36:D36)</f>
        <v>158</v>
      </c>
      <c r="F36">
        <f>Ten_Factor</f>
        <v>0.047953</v>
      </c>
      <c r="G36" s="34">
        <f>ROUND(E36*F36,0)</f>
        <v>8</v>
      </c>
      <c r="H36" s="13">
        <f>E36-G36</f>
        <v>150</v>
      </c>
      <c r="I36" s="3"/>
      <c r="J36" s="5" t="s">
        <v>77</v>
      </c>
    </row>
    <row r="37" spans="2:10" ht="12.75">
      <c r="B37" t="s">
        <v>5</v>
      </c>
      <c r="C37" s="4">
        <v>1959</v>
      </c>
      <c r="D37" s="3"/>
      <c r="E37" s="4">
        <f>SUM(C37:D37)</f>
        <v>1959</v>
      </c>
      <c r="F37">
        <f>Ten_Factor</f>
        <v>0.047953</v>
      </c>
      <c r="G37" s="34">
        <f>ROUND(E37*F37,0)</f>
        <v>94</v>
      </c>
      <c r="H37" s="13">
        <f>E37-G37</f>
        <v>1865</v>
      </c>
      <c r="I37" s="3"/>
      <c r="J37" s="5" t="s">
        <v>29</v>
      </c>
    </row>
    <row r="38" spans="2:10" ht="12.75">
      <c r="B38" t="s">
        <v>6</v>
      </c>
      <c r="C38" s="6">
        <v>829</v>
      </c>
      <c r="D38" s="3"/>
      <c r="E38" s="4">
        <f>SUM(C38:D38)</f>
        <v>829</v>
      </c>
      <c r="F38">
        <f>Ten_Factor</f>
        <v>0.047953</v>
      </c>
      <c r="G38" s="34">
        <f>ROUND(E38*F38,0)</f>
        <v>40</v>
      </c>
      <c r="H38" s="13">
        <f>E38-G38</f>
        <v>789</v>
      </c>
      <c r="I38" s="3"/>
      <c r="J38" s="5" t="s">
        <v>31</v>
      </c>
    </row>
    <row r="39" spans="2:10" ht="12.75">
      <c r="B39" t="s">
        <v>7</v>
      </c>
      <c r="C39" s="4">
        <v>3516</v>
      </c>
      <c r="D39" s="3"/>
      <c r="E39" s="4">
        <f>SUM(C39:D39)</f>
        <v>3516</v>
      </c>
      <c r="F39">
        <f>Ten_Factor</f>
        <v>0.047953</v>
      </c>
      <c r="G39" s="34">
        <f>ROUND(E39*F39,0)</f>
        <v>169</v>
      </c>
      <c r="H39" s="13">
        <f>E39-G39</f>
        <v>3347</v>
      </c>
      <c r="I39" s="3"/>
      <c r="J39" s="5" t="s">
        <v>80</v>
      </c>
    </row>
    <row r="40" spans="2:10" ht="12.75">
      <c r="B40" t="s">
        <v>36</v>
      </c>
      <c r="C40" s="8">
        <f>SUM(C35:C39)</f>
        <v>23922</v>
      </c>
      <c r="D40" s="8">
        <f>SUM(D35:D39)</f>
        <v>6086</v>
      </c>
      <c r="E40" s="8">
        <f>SUM(E35:E39)</f>
        <v>30008</v>
      </c>
      <c r="G40" s="35">
        <f>SUM(G35:G39)</f>
        <v>767</v>
      </c>
      <c r="H40" s="8">
        <f>SUM(H35:H39)</f>
        <v>29241</v>
      </c>
      <c r="I40" s="3"/>
      <c r="J40" s="5"/>
    </row>
    <row r="41" spans="3:9" ht="12.75">
      <c r="C41" s="3"/>
      <c r="D41" s="3"/>
      <c r="E41" s="3"/>
      <c r="G41" s="34"/>
      <c r="I41" s="3"/>
    </row>
    <row r="42" spans="2:9" ht="12.75">
      <c r="B42" s="9" t="s">
        <v>23</v>
      </c>
      <c r="C42" s="3"/>
      <c r="D42" s="3"/>
      <c r="E42" s="3"/>
      <c r="G42" s="34"/>
      <c r="I42" s="3"/>
    </row>
    <row r="43" spans="2:10" ht="12.75">
      <c r="B43" t="s">
        <v>4</v>
      </c>
      <c r="C43" s="4">
        <f>4573+2999*0.6459+369</f>
        <v>6879.0541</v>
      </c>
      <c r="D43" s="4">
        <f>3057+228*0.6459+108</f>
        <v>3312.2652</v>
      </c>
      <c r="E43" s="4">
        <f>SUM(C43:D43)</f>
        <v>10191.3193</v>
      </c>
      <c r="F43">
        <f>Nine_Factor</f>
        <v>0.019372</v>
      </c>
      <c r="G43" s="34">
        <f>ROUND(E43*F43,0)</f>
        <v>197</v>
      </c>
      <c r="H43" s="13">
        <f>E43-G43</f>
        <v>9994.3193</v>
      </c>
      <c r="I43" s="3"/>
      <c r="J43" t="s">
        <v>69</v>
      </c>
    </row>
    <row r="44" spans="2:10" ht="12.75">
      <c r="B44" t="s">
        <v>76</v>
      </c>
      <c r="C44" s="4">
        <v>82</v>
      </c>
      <c r="D44" s="4"/>
      <c r="E44" s="4">
        <f>SUM(C44:D44)</f>
        <v>82</v>
      </c>
      <c r="F44">
        <f>Ten_Factor</f>
        <v>0.047953</v>
      </c>
      <c r="G44" s="34">
        <f>ROUND(E44*F44,0)</f>
        <v>4</v>
      </c>
      <c r="H44" s="13">
        <f>E44-G44</f>
        <v>78</v>
      </c>
      <c r="I44" s="3"/>
      <c r="J44" s="5" t="s">
        <v>77</v>
      </c>
    </row>
    <row r="45" spans="2:9" ht="12.75">
      <c r="B45" t="s">
        <v>40</v>
      </c>
      <c r="C45" s="8">
        <f>SUM(C43:C44)</f>
        <v>6961.0541</v>
      </c>
      <c r="D45" s="8">
        <f>SUM(D43:D44)</f>
        <v>3312.2652</v>
      </c>
      <c r="E45" s="8">
        <f>SUM(E43:E44)</f>
        <v>10273.3193</v>
      </c>
      <c r="G45" s="35">
        <f>SUM(G43:G44)</f>
        <v>201</v>
      </c>
      <c r="H45" s="8">
        <f>SUM(H43:H44)</f>
        <v>10072.3193</v>
      </c>
      <c r="I45" s="3"/>
    </row>
    <row r="46" spans="3:9" ht="12.75">
      <c r="C46" s="23"/>
      <c r="D46" s="23"/>
      <c r="E46" s="23"/>
      <c r="G46" s="37"/>
      <c r="H46" s="23"/>
      <c r="I46" s="3"/>
    </row>
    <row r="47" spans="3:9" ht="12.75">
      <c r="C47" s="3"/>
      <c r="D47" s="3"/>
      <c r="E47" s="3"/>
      <c r="G47" s="34"/>
      <c r="I47" s="3"/>
    </row>
    <row r="48" spans="2:9" ht="12.75">
      <c r="B48" s="9" t="s">
        <v>62</v>
      </c>
      <c r="C48" s="3"/>
      <c r="D48" s="3"/>
      <c r="E48" s="3"/>
      <c r="G48" s="34"/>
      <c r="I48" s="3"/>
    </row>
    <row r="49" spans="2:10" ht="12.75">
      <c r="B49" t="s">
        <v>5</v>
      </c>
      <c r="C49" s="4">
        <v>1677</v>
      </c>
      <c r="D49" s="3"/>
      <c r="E49" s="4">
        <f aca="true" t="shared" si="0" ref="E49:E58">SUM(C49:D49)</f>
        <v>1677</v>
      </c>
      <c r="F49">
        <f aca="true" t="shared" si="1" ref="F49:F56">Ten_Factor</f>
        <v>0.047953</v>
      </c>
      <c r="G49" s="34">
        <f aca="true" t="shared" si="2" ref="G49:G58">ROUND(E49*F49,0)</f>
        <v>80</v>
      </c>
      <c r="H49" s="13">
        <f aca="true" t="shared" si="3" ref="H49:H58">E49-G49</f>
        <v>1597</v>
      </c>
      <c r="I49" s="3"/>
      <c r="J49" s="5" t="s">
        <v>78</v>
      </c>
    </row>
    <row r="50" spans="2:10" ht="12.75">
      <c r="B50" t="s">
        <v>70</v>
      </c>
      <c r="C50" s="23">
        <f>ROUND(124587*0.6459,0)</f>
        <v>80471</v>
      </c>
      <c r="D50" s="23"/>
      <c r="E50" s="4">
        <f>SUM(C50:D50)</f>
        <v>80471</v>
      </c>
      <c r="F50">
        <f t="shared" si="1"/>
        <v>0.047953</v>
      </c>
      <c r="G50" s="34">
        <f>ROUND(E50*F50,0)</f>
        <v>3859</v>
      </c>
      <c r="H50" s="13">
        <f>E50-G50</f>
        <v>76612</v>
      </c>
      <c r="I50" s="3"/>
      <c r="J50" t="s">
        <v>61</v>
      </c>
    </row>
    <row r="51" spans="2:10" ht="12.75">
      <c r="B51" t="s">
        <v>8</v>
      </c>
      <c r="C51" s="3">
        <f>ROUND((346114-18524-124587)*0.6459,0)</f>
        <v>131120</v>
      </c>
      <c r="D51" s="4">
        <f>18524*0.6459</f>
        <v>11964.651600000001</v>
      </c>
      <c r="E51" s="4">
        <f t="shared" si="0"/>
        <v>143084.6516</v>
      </c>
      <c r="F51">
        <f t="shared" si="1"/>
        <v>0.047953</v>
      </c>
      <c r="G51" s="34">
        <f t="shared" si="2"/>
        <v>6861</v>
      </c>
      <c r="H51" s="13">
        <f t="shared" si="3"/>
        <v>136223.6516</v>
      </c>
      <c r="I51" s="3"/>
      <c r="J51" t="s">
        <v>32</v>
      </c>
    </row>
    <row r="52" spans="2:10" ht="12.75">
      <c r="B52" t="s">
        <v>9</v>
      </c>
      <c r="C52" s="2">
        <v>9206</v>
      </c>
      <c r="D52" s="4">
        <v>2657</v>
      </c>
      <c r="E52" s="4">
        <f>SUM(C52:D52)</f>
        <v>11863</v>
      </c>
      <c r="F52">
        <f t="shared" si="1"/>
        <v>0.047953</v>
      </c>
      <c r="G52" s="34">
        <f>ROUND(E52*F52,0)</f>
        <v>569</v>
      </c>
      <c r="H52" s="13">
        <f>E52-G52</f>
        <v>11294</v>
      </c>
      <c r="I52" s="3"/>
      <c r="J52" t="s">
        <v>34</v>
      </c>
    </row>
    <row r="53" spans="2:10" ht="12.75">
      <c r="B53" t="s">
        <v>10</v>
      </c>
      <c r="D53" s="3">
        <f>2205*0.6459</f>
        <v>1424.2095000000002</v>
      </c>
      <c r="E53" s="4">
        <f t="shared" si="0"/>
        <v>1424.2095000000002</v>
      </c>
      <c r="F53">
        <f t="shared" si="1"/>
        <v>0.047953</v>
      </c>
      <c r="G53" s="34">
        <f t="shared" si="2"/>
        <v>68</v>
      </c>
      <c r="H53" s="13">
        <f t="shared" si="3"/>
        <v>1356.2095000000002</v>
      </c>
      <c r="I53" s="3"/>
      <c r="J53" t="s">
        <v>33</v>
      </c>
    </row>
    <row r="54" spans="2:10" ht="12.75">
      <c r="B54" t="s">
        <v>11</v>
      </c>
      <c r="D54" s="3">
        <f>ROUND((103249+276526+26590+1326594+874782+146358+186749+331436+360400)/1000,0)*0.6459</f>
        <v>2346.5547</v>
      </c>
      <c r="E54" s="4">
        <f t="shared" si="0"/>
        <v>2346.5547</v>
      </c>
      <c r="F54">
        <f t="shared" si="1"/>
        <v>0.047953</v>
      </c>
      <c r="G54" s="34">
        <f t="shared" si="2"/>
        <v>113</v>
      </c>
      <c r="H54" s="13">
        <f t="shared" si="3"/>
        <v>2233.5547</v>
      </c>
      <c r="I54" s="3"/>
      <c r="J54" t="s">
        <v>82</v>
      </c>
    </row>
    <row r="55" spans="2:10" ht="12.75">
      <c r="B55" t="s">
        <v>12</v>
      </c>
      <c r="C55" s="3">
        <v>1873</v>
      </c>
      <c r="D55" s="3"/>
      <c r="E55" s="4">
        <f t="shared" si="0"/>
        <v>1873</v>
      </c>
      <c r="F55">
        <f t="shared" si="1"/>
        <v>0.047953</v>
      </c>
      <c r="G55" s="34">
        <f t="shared" si="2"/>
        <v>90</v>
      </c>
      <c r="H55" s="13">
        <f t="shared" si="3"/>
        <v>1783</v>
      </c>
      <c r="I55" s="3"/>
      <c r="J55" t="s">
        <v>83</v>
      </c>
    </row>
    <row r="56" spans="2:10" ht="12.75">
      <c r="B56" t="s">
        <v>16</v>
      </c>
      <c r="C56" s="3">
        <f>ROUND((25288551*0.6459)/1000,0)</f>
        <v>16334</v>
      </c>
      <c r="D56" s="3"/>
      <c r="E56" s="4">
        <f t="shared" si="0"/>
        <v>16334</v>
      </c>
      <c r="F56">
        <f t="shared" si="1"/>
        <v>0.047953</v>
      </c>
      <c r="G56" s="34">
        <f t="shared" si="2"/>
        <v>783</v>
      </c>
      <c r="H56" s="13">
        <f t="shared" si="3"/>
        <v>15551</v>
      </c>
      <c r="I56" s="3"/>
      <c r="J56" t="s">
        <v>84</v>
      </c>
    </row>
    <row r="57" spans="2:10" ht="12.75">
      <c r="B57" t="s">
        <v>13</v>
      </c>
      <c r="C57" s="3">
        <f>ROUND(((22200000+17900000)*0.9958*0.29206*(8395686)/32545808)/1000,0)</f>
        <v>3008</v>
      </c>
      <c r="D57" s="3">
        <f>ROUND(((22200000+17900000)*0.9958*0.29206*(2426194)/32545808)/1000,0)</f>
        <v>869</v>
      </c>
      <c r="E57" s="4">
        <f t="shared" si="0"/>
        <v>3877</v>
      </c>
      <c r="F57">
        <f>Nine_Factor</f>
        <v>0.019372</v>
      </c>
      <c r="G57" s="34">
        <f t="shared" si="2"/>
        <v>75</v>
      </c>
      <c r="H57" s="13">
        <f t="shared" si="3"/>
        <v>3802</v>
      </c>
      <c r="I57" s="3"/>
      <c r="J57" t="s">
        <v>85</v>
      </c>
    </row>
    <row r="58" spans="2:10" ht="12.75">
      <c r="B58" t="s">
        <v>87</v>
      </c>
      <c r="C58" s="4">
        <v>2285</v>
      </c>
      <c r="D58" s="3"/>
      <c r="E58" s="4">
        <f t="shared" si="0"/>
        <v>2285</v>
      </c>
      <c r="F58">
        <f>Ten_Factor</f>
        <v>0.047953</v>
      </c>
      <c r="G58" s="34">
        <f t="shared" si="2"/>
        <v>110</v>
      </c>
      <c r="H58" s="13">
        <f t="shared" si="3"/>
        <v>2175</v>
      </c>
      <c r="I58" s="3"/>
      <c r="J58" t="s">
        <v>86</v>
      </c>
    </row>
    <row r="59" spans="2:9" ht="12.75">
      <c r="B59" t="s">
        <v>41</v>
      </c>
      <c r="C59" s="10">
        <f>SUM(C49:C58)</f>
        <v>245974</v>
      </c>
      <c r="D59" s="10">
        <f>SUM(D49:D58)</f>
        <v>19261.415800000002</v>
      </c>
      <c r="E59" s="10">
        <f>SUM(E49:E58)</f>
        <v>265235.4158</v>
      </c>
      <c r="G59" s="38">
        <f>SUM(G49:G58)</f>
        <v>12608</v>
      </c>
      <c r="H59" s="10">
        <f>SUM(H49:H58)</f>
        <v>252627.41580000002</v>
      </c>
      <c r="I59" s="3"/>
    </row>
    <row r="60" spans="3:9" ht="12.75">
      <c r="C60" s="24"/>
      <c r="D60" s="24"/>
      <c r="E60" s="24"/>
      <c r="G60" s="39"/>
      <c r="H60" s="24"/>
      <c r="I60" s="3"/>
    </row>
    <row r="61" spans="2:9" ht="12.75">
      <c r="B61" s="9" t="s">
        <v>63</v>
      </c>
      <c r="C61" s="24"/>
      <c r="D61" s="24"/>
      <c r="E61" s="24"/>
      <c r="G61" s="39"/>
      <c r="H61" s="24"/>
      <c r="I61" s="3"/>
    </row>
    <row r="62" spans="2:10" ht="12.75">
      <c r="B62" t="s">
        <v>64</v>
      </c>
      <c r="C62" s="24">
        <f>ROUND(108153*0.6459,0)</f>
        <v>69856</v>
      </c>
      <c r="D62" s="24"/>
      <c r="E62" s="4">
        <f>SUM(C62:D62)</f>
        <v>69856</v>
      </c>
      <c r="F62">
        <f>Ten_Factor</f>
        <v>0.047953</v>
      </c>
      <c r="G62" s="34">
        <f>ROUND(E62*F62,0)</f>
        <v>3350</v>
      </c>
      <c r="H62" s="13">
        <f>E62-G62</f>
        <v>66506</v>
      </c>
      <c r="I62" s="3"/>
      <c r="J62" t="s">
        <v>32</v>
      </c>
    </row>
    <row r="63" spans="2:10" ht="12.75">
      <c r="B63" t="s">
        <v>65</v>
      </c>
      <c r="C63" s="24">
        <f>ROUND((302+24)*0.6459,0)</f>
        <v>211</v>
      </c>
      <c r="D63" s="24"/>
      <c r="E63" s="4">
        <f>SUM(C63:D63)</f>
        <v>211</v>
      </c>
      <c r="F63">
        <f>Ten_Factor</f>
        <v>0.047953</v>
      </c>
      <c r="G63" s="34">
        <f>ROUND(E63*F63,0)</f>
        <v>10</v>
      </c>
      <c r="H63" s="13">
        <f>E63-G63</f>
        <v>201</v>
      </c>
      <c r="I63" s="3"/>
      <c r="J63" t="s">
        <v>32</v>
      </c>
    </row>
    <row r="64" spans="2:10" ht="12.75">
      <c r="B64" t="s">
        <v>66</v>
      </c>
      <c r="C64" s="24"/>
      <c r="D64" s="24">
        <f>ROUND(9480*0.6459,0)</f>
        <v>6123</v>
      </c>
      <c r="E64" s="4">
        <f>SUM(C64:D64)</f>
        <v>6123</v>
      </c>
      <c r="F64">
        <f>Ten_Factor</f>
        <v>0.047953</v>
      </c>
      <c r="G64" s="34">
        <f>ROUND(E64*F64,0)</f>
        <v>294</v>
      </c>
      <c r="H64" s="13">
        <f>E64-G64</f>
        <v>5829</v>
      </c>
      <c r="I64" s="3"/>
      <c r="J64" t="s">
        <v>33</v>
      </c>
    </row>
    <row r="65" spans="2:8" ht="12.75">
      <c r="B65" t="s">
        <v>67</v>
      </c>
      <c r="C65" s="10">
        <f>SUM(C62:C64)</f>
        <v>70067</v>
      </c>
      <c r="D65" s="10">
        <f>SUM(D62:D64)</f>
        <v>6123</v>
      </c>
      <c r="E65" s="10">
        <f>SUM(E62:E64)</f>
        <v>76190</v>
      </c>
      <c r="G65" s="38">
        <f>SUM(G62:G64)</f>
        <v>3654</v>
      </c>
      <c r="H65" s="10">
        <f>SUM(H62:H64)</f>
        <v>72536</v>
      </c>
    </row>
    <row r="66" ht="12.75">
      <c r="H66" s="11"/>
    </row>
    <row r="67" spans="2:8" ht="12.75">
      <c r="B67" t="s">
        <v>68</v>
      </c>
      <c r="C67" s="25">
        <f>C40+C45+C59-C65</f>
        <v>206790.0541</v>
      </c>
      <c r="D67" s="25">
        <f>D40+D45+D59-D65</f>
        <v>22536.681000000004</v>
      </c>
      <c r="E67" s="25">
        <f>E40+E45+E59-E65</f>
        <v>229326.73510000005</v>
      </c>
      <c r="G67" s="40">
        <f>G40+G45+G59-G65</f>
        <v>9922</v>
      </c>
      <c r="H67" s="25">
        <f>H40+H45+H59-H65</f>
        <v>219404.73510000005</v>
      </c>
    </row>
    <row r="69" spans="2:10" ht="12.75">
      <c r="B69" t="s">
        <v>71</v>
      </c>
      <c r="J69" t="s">
        <v>44</v>
      </c>
    </row>
    <row r="70" spans="2:8" ht="12.75">
      <c r="B70" t="s">
        <v>72</v>
      </c>
      <c r="E70" s="15">
        <f>'Washington Retail Loads'!O4</f>
        <v>5763971394.808476</v>
      </c>
      <c r="F70">
        <f>ROUND(1-E72/E70,6)</f>
        <v>0.047953</v>
      </c>
      <c r="G70" s="31" t="s">
        <v>74</v>
      </c>
      <c r="H70" s="2"/>
    </row>
    <row r="71" spans="2:8" ht="12.75">
      <c r="B71" t="s">
        <v>42</v>
      </c>
      <c r="E71" s="15">
        <f>'Washington Retail Loads'!O15</f>
        <v>5595976548.577017</v>
      </c>
      <c r="F71">
        <f>ROUND(1-E72/E71,6)</f>
        <v>0.019372</v>
      </c>
      <c r="G71" s="31" t="s">
        <v>75</v>
      </c>
      <c r="H71" s="2"/>
    </row>
    <row r="72" spans="2:8" ht="12.75">
      <c r="B72" t="s">
        <v>43</v>
      </c>
      <c r="E72" s="15">
        <f>'Washington Retail Loads'!O31</f>
        <v>5487573820</v>
      </c>
      <c r="H72" s="2"/>
    </row>
  </sheetData>
  <mergeCells count="3">
    <mergeCell ref="A1:J1"/>
    <mergeCell ref="A2:J2"/>
    <mergeCell ref="A3:J3"/>
  </mergeCells>
  <printOptions horizontalCentered="1"/>
  <pageMargins left="0.5" right="0.5" top="0.75" bottom="0.67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workbookViewId="0" topLeftCell="A1">
      <selection activeCell="A1" sqref="A1:IV24"/>
    </sheetView>
  </sheetViews>
  <sheetFormatPr defaultColWidth="9.140625" defaultRowHeight="12.75"/>
  <cols>
    <col min="1" max="1" width="5.00390625" style="0" customWidth="1"/>
    <col min="3" max="3" width="8.7109375" style="0" customWidth="1"/>
    <col min="15" max="15" width="12.00390625" style="0" customWidth="1"/>
  </cols>
  <sheetData>
    <row r="2" spans="1:15" ht="12.75">
      <c r="A2" t="s">
        <v>48</v>
      </c>
      <c r="C2" s="19">
        <v>40179</v>
      </c>
      <c r="D2" s="19">
        <v>40210</v>
      </c>
      <c r="E2" s="19">
        <v>40238</v>
      </c>
      <c r="F2" s="19">
        <v>40269</v>
      </c>
      <c r="G2" s="19">
        <v>40299</v>
      </c>
      <c r="H2" s="19">
        <v>40330</v>
      </c>
      <c r="I2" s="19">
        <v>40360</v>
      </c>
      <c r="J2" s="19">
        <v>40391</v>
      </c>
      <c r="K2" s="19">
        <v>40422</v>
      </c>
      <c r="L2" s="19">
        <v>40452</v>
      </c>
      <c r="M2" s="19">
        <v>40483</v>
      </c>
      <c r="N2" s="19">
        <v>40513</v>
      </c>
      <c r="O2" t="s">
        <v>49</v>
      </c>
    </row>
    <row r="3" spans="1:16" ht="12.75">
      <c r="A3" s="9" t="s">
        <v>50</v>
      </c>
      <c r="P3" s="15"/>
    </row>
    <row r="4" spans="1:16" ht="12.75">
      <c r="A4" s="14" t="s">
        <v>51</v>
      </c>
      <c r="C4" s="15">
        <v>567312316.7548735</v>
      </c>
      <c r="D4" s="15">
        <v>506743581.4024421</v>
      </c>
      <c r="E4" s="15">
        <v>474017016.1419708</v>
      </c>
      <c r="F4" s="15">
        <v>443831207.1176373</v>
      </c>
      <c r="G4" s="15">
        <v>441747558.72296387</v>
      </c>
      <c r="H4" s="15">
        <v>411161629.08237517</v>
      </c>
      <c r="I4" s="15">
        <v>481078428.377882</v>
      </c>
      <c r="J4" s="15">
        <v>496947969.72794193</v>
      </c>
      <c r="K4" s="15">
        <v>422452754.2775099</v>
      </c>
      <c r="L4" s="15">
        <v>464474999.04283834</v>
      </c>
      <c r="M4" s="15">
        <v>488896111.5004327</v>
      </c>
      <c r="N4" s="15">
        <v>565307822.6596086</v>
      </c>
      <c r="O4" s="15">
        <f>SUM(C4:N4)</f>
        <v>5763971394.808476</v>
      </c>
      <c r="P4" s="15"/>
    </row>
    <row r="5" spans="1:15" ht="12.75">
      <c r="A5" s="14" t="s">
        <v>52</v>
      </c>
      <c r="C5" s="15">
        <v>340902142.0223687</v>
      </c>
      <c r="D5" s="15">
        <v>316576855.47304124</v>
      </c>
      <c r="E5" s="15">
        <v>309038780.3791673</v>
      </c>
      <c r="F5" s="15">
        <v>290973452.8215966</v>
      </c>
      <c r="G5" s="15">
        <v>290534001.78455174</v>
      </c>
      <c r="H5" s="15">
        <v>271237919.3096568</v>
      </c>
      <c r="I5" s="15">
        <v>304597623.9067336</v>
      </c>
      <c r="J5" s="15">
        <v>306814786.9896869</v>
      </c>
      <c r="K5" s="15">
        <v>275751895.57641643</v>
      </c>
      <c r="L5" s="15">
        <v>301057040.09689677</v>
      </c>
      <c r="M5" s="15">
        <v>315918486.7730152</v>
      </c>
      <c r="N5" s="15">
        <v>347134868.48958623</v>
      </c>
      <c r="O5" s="15">
        <f>SUM(C5:N5)</f>
        <v>3670537853.6227174</v>
      </c>
    </row>
    <row r="6" spans="3:15" ht="12.75">
      <c r="C6" s="16">
        <f aca="true" t="shared" si="0" ref="C6:O6">SUM(C4:C5)</f>
        <v>908214458.7772422</v>
      </c>
      <c r="D6" s="16">
        <f t="shared" si="0"/>
        <v>823320436.8754833</v>
      </c>
      <c r="E6" s="16">
        <f t="shared" si="0"/>
        <v>783055796.5211382</v>
      </c>
      <c r="F6" s="16">
        <f t="shared" si="0"/>
        <v>734804659.9392339</v>
      </c>
      <c r="G6" s="16">
        <f t="shared" si="0"/>
        <v>732281560.5075157</v>
      </c>
      <c r="H6" s="16">
        <f t="shared" si="0"/>
        <v>682399548.3920319</v>
      </c>
      <c r="I6" s="16">
        <f t="shared" si="0"/>
        <v>785676052.2846155</v>
      </c>
      <c r="J6" s="16">
        <f t="shared" si="0"/>
        <v>803762756.7176288</v>
      </c>
      <c r="K6" s="16">
        <f t="shared" si="0"/>
        <v>698204649.8539264</v>
      </c>
      <c r="L6" s="16">
        <f t="shared" si="0"/>
        <v>765532039.1397351</v>
      </c>
      <c r="M6" s="16">
        <f t="shared" si="0"/>
        <v>804814598.273448</v>
      </c>
      <c r="N6" s="16">
        <f t="shared" si="0"/>
        <v>912442691.1491948</v>
      </c>
      <c r="O6" s="16">
        <f t="shared" si="0"/>
        <v>9434509248.431194</v>
      </c>
    </row>
    <row r="7" ht="12.75">
      <c r="A7" s="14" t="s">
        <v>97</v>
      </c>
    </row>
    <row r="8" spans="1:15" ht="12.75">
      <c r="A8" s="26" t="s">
        <v>89</v>
      </c>
      <c r="B8" s="14"/>
      <c r="C8" s="15">
        <v>0</v>
      </c>
      <c r="D8" s="15">
        <v>24000</v>
      </c>
      <c r="E8" s="15">
        <v>338000</v>
      </c>
      <c r="F8" s="15">
        <v>0</v>
      </c>
      <c r="G8" s="15">
        <v>21000</v>
      </c>
      <c r="H8" s="15">
        <v>0</v>
      </c>
      <c r="I8" s="15">
        <v>59000</v>
      </c>
      <c r="J8" s="15">
        <v>4000</v>
      </c>
      <c r="K8" s="15">
        <v>40000</v>
      </c>
      <c r="L8" s="15">
        <v>8000</v>
      </c>
      <c r="M8" s="15">
        <v>74000</v>
      </c>
      <c r="N8" s="15">
        <v>0</v>
      </c>
      <c r="O8" s="15">
        <f>SUM(C8:N8)</f>
        <v>568000</v>
      </c>
    </row>
    <row r="10" spans="1:14" ht="12.75">
      <c r="A10" t="s">
        <v>98</v>
      </c>
      <c r="I10" s="15"/>
      <c r="J10" s="15"/>
      <c r="K10" s="15"/>
      <c r="L10" s="15"/>
      <c r="M10" s="15"/>
      <c r="N10" s="15"/>
    </row>
    <row r="11" spans="1:15" ht="12.75">
      <c r="A11" t="s">
        <v>53</v>
      </c>
      <c r="C11" s="15">
        <v>39699000</v>
      </c>
      <c r="D11" s="15">
        <v>35305000</v>
      </c>
      <c r="E11" s="15">
        <v>37463000</v>
      </c>
      <c r="F11" s="15">
        <v>31674000</v>
      </c>
      <c r="G11" s="15">
        <v>34306000</v>
      </c>
      <c r="H11" s="15">
        <v>33091000</v>
      </c>
      <c r="I11" s="15">
        <v>34505000</v>
      </c>
      <c r="J11" s="15">
        <v>36761000</v>
      </c>
      <c r="K11" s="15">
        <v>27148000</v>
      </c>
      <c r="L11" s="15">
        <v>35755000</v>
      </c>
      <c r="M11" s="15">
        <v>42576000</v>
      </c>
      <c r="N11" s="15">
        <v>41333000</v>
      </c>
      <c r="O11" s="15">
        <f>SUM(C11:N11)</f>
        <v>429616000</v>
      </c>
    </row>
    <row r="13" spans="1:15" ht="12.75">
      <c r="A13" s="9" t="s">
        <v>96</v>
      </c>
      <c r="C13" s="19">
        <v>39814</v>
      </c>
      <c r="D13" s="19">
        <v>39845</v>
      </c>
      <c r="E13" s="19">
        <v>39873</v>
      </c>
      <c r="F13" s="19">
        <v>39904</v>
      </c>
      <c r="G13" s="19">
        <v>39934</v>
      </c>
      <c r="H13" s="19">
        <v>39965</v>
      </c>
      <c r="I13" s="19">
        <v>39995</v>
      </c>
      <c r="J13" s="19">
        <v>40026</v>
      </c>
      <c r="K13" s="19">
        <v>40057</v>
      </c>
      <c r="L13" s="19">
        <v>40087</v>
      </c>
      <c r="M13" s="19">
        <v>40118</v>
      </c>
      <c r="N13" s="19">
        <v>40148</v>
      </c>
      <c r="O13" t="s">
        <v>49</v>
      </c>
    </row>
    <row r="15" spans="1:15" ht="12.75">
      <c r="A15" s="20" t="s">
        <v>51</v>
      </c>
      <c r="C15" s="21">
        <v>552807637.2867894</v>
      </c>
      <c r="D15" s="21">
        <v>495006356.9347833</v>
      </c>
      <c r="E15" s="21">
        <v>459919494.20435154</v>
      </c>
      <c r="F15" s="21">
        <v>430225626.02964157</v>
      </c>
      <c r="G15" s="21">
        <v>427517766.04630536</v>
      </c>
      <c r="H15" s="21">
        <v>398297669.1138479</v>
      </c>
      <c r="I15" s="21">
        <v>466305705.2775568</v>
      </c>
      <c r="J15" s="21">
        <v>481436382.27789515</v>
      </c>
      <c r="K15" s="21">
        <v>408296580.0369001</v>
      </c>
      <c r="L15" s="21">
        <v>449917290.5095865</v>
      </c>
      <c r="M15" s="21">
        <v>475445021.0417926</v>
      </c>
      <c r="N15" s="21">
        <v>550801019.817567</v>
      </c>
      <c r="O15" s="15">
        <f>SUM(C15:N15)</f>
        <v>5595976548.577017</v>
      </c>
    </row>
    <row r="16" spans="1:15" ht="12.75">
      <c r="A16" s="20" t="s">
        <v>52</v>
      </c>
      <c r="C16" s="21">
        <v>335230538.01885945</v>
      </c>
      <c r="D16" s="21">
        <v>311506434.83259475</v>
      </c>
      <c r="E16" s="21">
        <v>303557598.05096686</v>
      </c>
      <c r="F16" s="21">
        <v>285098509.5132166</v>
      </c>
      <c r="G16" s="21">
        <v>285386575.3037028</v>
      </c>
      <c r="H16" s="21">
        <v>265514052.05153185</v>
      </c>
      <c r="I16" s="21">
        <v>299200165.19027394</v>
      </c>
      <c r="J16" s="21">
        <v>300478525.02417153</v>
      </c>
      <c r="K16" s="21">
        <v>269663323.32876575</v>
      </c>
      <c r="L16" s="21">
        <v>294943312.7620626</v>
      </c>
      <c r="M16" s="21">
        <v>310730172.4705502</v>
      </c>
      <c r="N16" s="21">
        <v>341347409.52119</v>
      </c>
      <c r="O16" s="15">
        <f>SUM(C16:N16)</f>
        <v>3602656616.0678864</v>
      </c>
    </row>
    <row r="17" spans="3:15" ht="12.75">
      <c r="C17" s="16">
        <f aca="true" t="shared" si="1" ref="C17:O17">SUM(C15:C16)</f>
        <v>888038175.3056488</v>
      </c>
      <c r="D17" s="16">
        <f t="shared" si="1"/>
        <v>806512791.7673781</v>
      </c>
      <c r="E17" s="16">
        <f t="shared" si="1"/>
        <v>763477092.2553184</v>
      </c>
      <c r="F17" s="16">
        <f t="shared" si="1"/>
        <v>715324135.5428581</v>
      </c>
      <c r="G17" s="16">
        <f t="shared" si="1"/>
        <v>712904341.3500081</v>
      </c>
      <c r="H17" s="16">
        <f t="shared" si="1"/>
        <v>663811721.1653798</v>
      </c>
      <c r="I17" s="16">
        <f t="shared" si="1"/>
        <v>765505870.4678307</v>
      </c>
      <c r="J17" s="16">
        <f t="shared" si="1"/>
        <v>781914907.3020667</v>
      </c>
      <c r="K17" s="16">
        <f t="shared" si="1"/>
        <v>677959903.3656659</v>
      </c>
      <c r="L17" s="16">
        <f t="shared" si="1"/>
        <v>744860603.2716491</v>
      </c>
      <c r="M17" s="16">
        <f t="shared" si="1"/>
        <v>786175193.5123427</v>
      </c>
      <c r="N17" s="16">
        <f t="shared" si="1"/>
        <v>892148429.338757</v>
      </c>
      <c r="O17" s="16">
        <f t="shared" si="1"/>
        <v>9198633164.644903</v>
      </c>
    </row>
    <row r="18" spans="3:15" ht="12.7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3:15" ht="12.7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3:15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9:15" ht="12.75">
      <c r="I21" s="22" t="s">
        <v>90</v>
      </c>
      <c r="J21" t="s">
        <v>54</v>
      </c>
      <c r="L21" s="17" t="s">
        <v>55</v>
      </c>
      <c r="M21" s="17"/>
      <c r="O21" s="15">
        <v>5487024820</v>
      </c>
    </row>
    <row r="22" spans="3:15" ht="12.75">
      <c r="C22" s="18"/>
      <c r="L22" s="17" t="s">
        <v>56</v>
      </c>
      <c r="O22" s="15">
        <v>2380849058.32166</v>
      </c>
    </row>
    <row r="23" spans="3:15" ht="12.75">
      <c r="C23" s="18"/>
      <c r="L23" s="17" t="s">
        <v>57</v>
      </c>
      <c r="O23" s="15">
        <v>419974524.98815984</v>
      </c>
    </row>
    <row r="24" spans="3:15" ht="12.75">
      <c r="C24" s="18"/>
      <c r="L24" s="17" t="s">
        <v>58</v>
      </c>
      <c r="O24" s="15">
        <v>1593292323.3750973</v>
      </c>
    </row>
    <row r="25" spans="3:15" ht="12.75">
      <c r="C25" s="18"/>
      <c r="L25" s="17" t="s">
        <v>59</v>
      </c>
      <c r="O25" s="15">
        <v>934831302</v>
      </c>
    </row>
    <row r="26" spans="3:15" ht="12.75">
      <c r="C26" s="18"/>
      <c r="L26" s="17" t="s">
        <v>88</v>
      </c>
      <c r="O26" s="15">
        <v>131448723.31508279</v>
      </c>
    </row>
    <row r="27" spans="3:15" ht="12.75">
      <c r="C27" s="18"/>
      <c r="L27" s="17" t="s">
        <v>91</v>
      </c>
      <c r="O27" s="15">
        <v>26628888</v>
      </c>
    </row>
    <row r="28" ht="12.75">
      <c r="C28" s="18"/>
    </row>
    <row r="29" spans="11:15" ht="12.75">
      <c r="K29" s="22" t="s">
        <v>92</v>
      </c>
      <c r="L29" s="17" t="s">
        <v>93</v>
      </c>
      <c r="O29" s="15">
        <v>549000</v>
      </c>
    </row>
    <row r="31" spans="11:15" ht="12.75">
      <c r="K31" s="27" t="s">
        <v>94</v>
      </c>
      <c r="O31" s="15">
        <f>O21+O29</f>
        <v>5487573820</v>
      </c>
    </row>
    <row r="33" ht="12.75">
      <c r="A33" t="s">
        <v>60</v>
      </c>
    </row>
    <row r="34" spans="1:15" ht="12.75">
      <c r="A34" t="s">
        <v>95</v>
      </c>
      <c r="O34" s="28"/>
    </row>
  </sheetData>
  <conditionalFormatting sqref="D13">
    <cfRule type="expression" priority="1" dxfId="0" stopIfTrue="1">
      <formula>ABS(D13-C13)&gt;31</formula>
    </cfRule>
  </conditionalFormatting>
  <printOptions horizontalCentered="1"/>
  <pageMargins left="0.5" right="0.5" top="1" bottom="1" header="0.5" footer="0.5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2009-01-08T02:34:42Z</cp:lastPrinted>
  <dcterms:created xsi:type="dcterms:W3CDTF">1996-10-14T23:33:28Z</dcterms:created>
  <dcterms:modified xsi:type="dcterms:W3CDTF">2009-04-30T21:53:09Z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