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915" windowHeight="9000" firstSheet="16" activeTab="21"/>
  </bookViews>
  <sheets>
    <sheet name="Sch 2, p 1" sheetId="1" r:id="rId1"/>
    <sheet name="Sch 2, p 2" sheetId="2" r:id="rId2"/>
    <sheet name="Sch 2, p 3" sheetId="3" r:id="rId3"/>
    <sheet name="Sch 3" sheetId="4" r:id="rId4"/>
    <sheet name="Sch 4" sheetId="5" r:id="rId5"/>
    <sheet name="Sch 5" sheetId="6" r:id="rId6"/>
    <sheet name="Sch 6, p 1" sheetId="7" r:id="rId7"/>
    <sheet name="Sch 6, p 2" sheetId="8" r:id="rId8"/>
    <sheet name="Sch 7, p1" sheetId="9" r:id="rId9"/>
    <sheet name="Sch 7, p 2" sheetId="10" r:id="rId10"/>
    <sheet name="Sch 7, p 3" sheetId="11" r:id="rId11"/>
    <sheet name="Sch 7, p 4" sheetId="12" r:id="rId12"/>
    <sheet name="Sch 8" sheetId="13" r:id="rId13"/>
    <sheet name="Sch 9" sheetId="14" r:id="rId14"/>
    <sheet name="Sch 10, p 1" sheetId="15" r:id="rId15"/>
    <sheet name="Sch 10, p 2" sheetId="16" r:id="rId16"/>
    <sheet name="Sch 11" sheetId="17" r:id="rId17"/>
    <sheet name="Sch 12, p1" sheetId="18" r:id="rId18"/>
    <sheet name="Sch 12, p 2" sheetId="19" r:id="rId19"/>
    <sheet name="Sch 13, p 1" sheetId="20" r:id="rId20"/>
    <sheet name="Sch 13, p 2" sheetId="21" r:id="rId21"/>
    <sheet name="Sch 14" sheetId="22" r:id="rId22"/>
    <sheet name="Sch 15" sheetId="23" r:id="rId23"/>
    <sheet name="Sheet1" sheetId="24" r:id="rId24"/>
  </sheets>
  <externalReferences>
    <externalReference r:id="rId27"/>
    <externalReference r:id="rId28"/>
  </externalReferences>
  <definedNames>
    <definedName name="\P" localSheetId="22">#REF!</definedName>
    <definedName name="\P" localSheetId="0">'Sch 2, p 1'!$A$96</definedName>
    <definedName name="\P" localSheetId="1">#REF!</definedName>
    <definedName name="\P" localSheetId="2">#REF!</definedName>
    <definedName name="\P" localSheetId="12">#REF!</definedName>
    <definedName name="\P">#REF!</definedName>
    <definedName name="\Q" localSheetId="22">#REF!</definedName>
    <definedName name="\Q" localSheetId="0">'Sch 2, p 1'!$A$100</definedName>
    <definedName name="\Q" localSheetId="1">#REF!</definedName>
    <definedName name="\Q" localSheetId="2">#REF!</definedName>
    <definedName name="\Q" localSheetId="12">#REF!</definedName>
    <definedName name="\Q">#REF!</definedName>
    <definedName name="\R" localSheetId="22">#REF!</definedName>
    <definedName name="\R" localSheetId="0">'Sch 2, p 1'!$E$96</definedName>
    <definedName name="\R" localSheetId="1">#REF!</definedName>
    <definedName name="\R" localSheetId="2">#REF!</definedName>
    <definedName name="\R" localSheetId="12">#REF!</definedName>
    <definedName name="\R">#REF!</definedName>
    <definedName name="\S" localSheetId="22">#REF!</definedName>
    <definedName name="\S" localSheetId="0">'Sch 2, p 1'!$E$100</definedName>
    <definedName name="\S" localSheetId="1">#REF!</definedName>
    <definedName name="\S" localSheetId="2">#REF!</definedName>
    <definedName name="\S" localSheetId="12">#REF!</definedName>
    <definedName name="\S">#REF!</definedName>
    <definedName name="\T" localSheetId="22">#REF!</definedName>
    <definedName name="\T" localSheetId="0">'Sch 2, p 1'!$E$104</definedName>
    <definedName name="\T" localSheetId="1">#REF!</definedName>
    <definedName name="\T" localSheetId="2">#REF!</definedName>
    <definedName name="\T" localSheetId="12">#REF!</definedName>
    <definedName name="\T">#REF!</definedName>
    <definedName name="\U" localSheetId="22">#REF!</definedName>
    <definedName name="\U" localSheetId="0">'Sch 2, p 1'!$E$108</definedName>
    <definedName name="\U" localSheetId="1">#REF!</definedName>
    <definedName name="\U" localSheetId="2">#REF!</definedName>
    <definedName name="\U" localSheetId="12">#REF!</definedName>
    <definedName name="\U">#REF!</definedName>
    <definedName name="AAA" localSheetId="22">#REF!</definedName>
    <definedName name="AAA" localSheetId="0">'Sch 2, p 1'!$A$4:$L$77</definedName>
    <definedName name="AAA" localSheetId="1">#REF!</definedName>
    <definedName name="AAA" localSheetId="2">#REF!</definedName>
    <definedName name="AAA" localSheetId="12">#REF!</definedName>
    <definedName name="AAA">#REF!</definedName>
    <definedName name="BBB" localSheetId="22">#REF!</definedName>
    <definedName name="BBB" localSheetId="0">#REF!</definedName>
    <definedName name="BBB" localSheetId="1">'Sch 2, p 2'!$A$3:$P$94</definedName>
    <definedName name="BBB" localSheetId="2">#REF!</definedName>
    <definedName name="BBB" localSheetId="12">#REF!</definedName>
    <definedName name="BBB">#REF!</definedName>
    <definedName name="CC">#REF!</definedName>
    <definedName name="CCC" localSheetId="22">#REF!</definedName>
    <definedName name="CCC" localSheetId="0">#REF!</definedName>
    <definedName name="CCC" localSheetId="1">#REF!</definedName>
    <definedName name="CCC" localSheetId="2">'Sch 2, p 3'!$A$1:$G$87</definedName>
    <definedName name="CCC" localSheetId="12">#REF!</definedName>
    <definedName name="CCC">#REF!</definedName>
    <definedName name="DDD" localSheetId="22">#REF!</definedName>
    <definedName name="DDD" localSheetId="0">#REF!</definedName>
    <definedName name="DDD" localSheetId="1">#REF!</definedName>
    <definedName name="DDD" localSheetId="2">#REF!</definedName>
    <definedName name="DDD">'Sch 5'!$A$2:$E$50</definedName>
    <definedName name="EEE" localSheetId="0">#REF!</definedName>
    <definedName name="EEE" localSheetId="1">#REF!</definedName>
    <definedName name="EEE" localSheetId="2">#REF!</definedName>
    <definedName name="EEE">#REF!</definedName>
    <definedName name="FFF" localSheetId="0">#REF!</definedName>
    <definedName name="FFF" localSheetId="1">#REF!</definedName>
    <definedName name="FFF" localSheetId="2">#REF!</definedName>
    <definedName name="FFF">#REF!</definedName>
    <definedName name="GGG" localSheetId="0">#REF!</definedName>
    <definedName name="GGG" localSheetId="1">#REF!</definedName>
    <definedName name="GGG" localSheetId="2">#REF!</definedName>
    <definedName name="GGG">#REF!</definedName>
    <definedName name="PPP" localSheetId="0">#REF!</definedName>
    <definedName name="PPP" localSheetId="1">#REF!</definedName>
    <definedName name="PPP" localSheetId="2">#REF!</definedName>
    <definedName name="PPP">'Sch 11'!$A$1:$G$51</definedName>
    <definedName name="_xlnm.Print_Area" localSheetId="14">'Sch 10, p 1'!$A$1:$T$95</definedName>
    <definedName name="_xlnm.Print_Area" localSheetId="15">'Sch 10, p 2'!$A$1:$Q$119</definedName>
    <definedName name="_xlnm.Print_Area" localSheetId="21">'Sch 14'!$A$1:$F$40</definedName>
    <definedName name="_xlnm.Print_Area" localSheetId="22">'Sch 15'!$A$1:$F$62</definedName>
    <definedName name="_xlnm.Print_Area" localSheetId="0">'Sch 2, p 1'!$A$1:$L$75</definedName>
    <definedName name="_xlnm.Print_Area" localSheetId="9">'Sch 7, p 2'!$A$1:$L$85</definedName>
    <definedName name="_xlnm.Print_Area" localSheetId="10">'Sch 7, p 3'!$A$1:$K$87</definedName>
    <definedName name="_xlnm.Print_Titles">$A$1:$A$1</definedName>
    <definedName name="RRR" localSheetId="0">#REF!</definedName>
    <definedName name="RRR" localSheetId="1">#REF!</definedName>
    <definedName name="RRR" localSheetId="2">#REF!</definedName>
    <definedName name="RRR">'Sch 12, p1'!$A$2:$G$38</definedName>
    <definedName name="SSS" localSheetId="22">#REF!</definedName>
    <definedName name="SSS" localSheetId="0">#REF!</definedName>
    <definedName name="SSS" localSheetId="1">#REF!</definedName>
    <definedName name="SSS" localSheetId="2">#REF!</definedName>
    <definedName name="SSS">#REF!</definedName>
  </definedNames>
  <calcPr fullCalcOnLoad="1"/>
</workbook>
</file>

<file path=xl/sharedStrings.xml><?xml version="1.0" encoding="utf-8"?>
<sst xmlns="http://schemas.openxmlformats.org/spreadsheetml/2006/main" count="742" uniqueCount="345">
  <si>
    <t>ECONOMIC INDICATORS</t>
  </si>
  <si>
    <t>YEAR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</si>
  <si>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</si>
  <si>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</si>
  <si>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</si>
  <si>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</si>
  <si>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</si>
  <si>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</si>
  <si>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</si>
  <si>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</si>
  <si>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</si>
  <si>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</si>
  <si>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</si>
  <si>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</si>
  <si>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</si>
  <si>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</si>
  <si>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</si>
  <si>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</si>
  <si>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</si>
  <si>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</si>
  <si>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</si>
  <si>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</si>
  <si>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</si>
  <si>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</si>
  <si>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</si>
  <si>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</si>
  <si>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</si>
  <si>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1st Qtr.</t>
  </si>
  <si>
    <t>2nd Qtr.</t>
  </si>
  <si>
    <t>3rd Qtr.</t>
  </si>
  <si>
    <t>4th Qtr.</t>
  </si>
  <si>
    <t>Source:  Council of Economic Advisors, Economic Indicators, various issues.</t>
  </si>
  <si>
    <t>REAL</t>
  </si>
  <si>
    <t>GDP</t>
  </si>
  <si>
    <t>GROWTH</t>
  </si>
  <si>
    <t xml:space="preserve"> </t>
  </si>
  <si>
    <t>IND</t>
  </si>
  <si>
    <t>PROD</t>
  </si>
  <si>
    <t>UNEMP</t>
  </si>
  <si>
    <t>RATE</t>
  </si>
  <si>
    <t>Schedule 2</t>
  </si>
  <si>
    <t>CPI</t>
  </si>
  <si>
    <t>PPI</t>
  </si>
  <si>
    <t>INTEREST RATES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</si>
  <si>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</si>
  <si>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</si>
  <si>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</si>
  <si>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</si>
  <si>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</si>
  <si>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</si>
  <si>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</si>
  <si>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</si>
  <si>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</si>
  <si>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</si>
  <si>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</si>
  <si>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</si>
  <si>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Sources:  Council of Economic Advisors, Economic Indicators; Moody's Bond Record; Federal</t>
  </si>
  <si>
    <t xml:space="preserve">                 Reserve Bulletin; various issues.</t>
  </si>
  <si>
    <t>PRIME</t>
  </si>
  <si>
    <t>US TREAS</t>
  </si>
  <si>
    <t xml:space="preserve"> T BILLS</t>
  </si>
  <si>
    <t>3 MONTH</t>
  </si>
  <si>
    <t xml:space="preserve"> T BONDS</t>
  </si>
  <si>
    <t>10 YEAR</t>
  </si>
  <si>
    <t>UTILITY</t>
  </si>
  <si>
    <t xml:space="preserve">  BONDS</t>
  </si>
  <si>
    <t xml:space="preserve">   Aaa</t>
  </si>
  <si>
    <t xml:space="preserve">    Aa</t>
  </si>
  <si>
    <t>Page 2 of 3</t>
  </si>
  <si>
    <t xml:space="preserve">    A</t>
  </si>
  <si>
    <t xml:space="preserve">   Baa</t>
  </si>
  <si>
    <t>STOCK PRICE INDICATORS</t>
  </si>
  <si>
    <t>DJIA</t>
  </si>
  <si>
    <t>Page 3 of 3</t>
  </si>
  <si>
    <t>S&amp;P</t>
  </si>
  <si>
    <t>D/P</t>
  </si>
  <si>
    <t>E/P</t>
  </si>
  <si>
    <t>Year</t>
  </si>
  <si>
    <t>S &amp; P</t>
  </si>
  <si>
    <t>Schedule 4</t>
  </si>
  <si>
    <t>CAPITAL STRUCTURE RATIOS</t>
  </si>
  <si>
    <t>Note:  Percentages may not total 100.0% due to rounding.</t>
  </si>
  <si>
    <t>COMMON</t>
  </si>
  <si>
    <t>EQUITY</t>
  </si>
  <si>
    <t>STOCK</t>
  </si>
  <si>
    <t>LONG-TERM</t>
  </si>
  <si>
    <t xml:space="preserve">  DEBT</t>
  </si>
  <si>
    <t>SHORT-TERM</t>
  </si>
  <si>
    <t>DEBT</t>
  </si>
  <si>
    <t>Common Equity</t>
  </si>
  <si>
    <t>Schedule 7</t>
  </si>
  <si>
    <t>Schedule 8</t>
  </si>
  <si>
    <t>COMPARISON COMPANIES</t>
  </si>
  <si>
    <t>COMPANY</t>
  </si>
  <si>
    <t>RANKING</t>
  </si>
  <si>
    <t>B+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</si>
  <si>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</si>
  <si>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</si>
  <si>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</si>
  <si>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</si>
  <si>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</si>
  <si>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</si>
  <si>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</si>
  <si>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</si>
  <si>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Schedule 9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</si>
  <si>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</si>
  <si>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</si>
  <si>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</si>
  <si>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</si>
  <si>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</si>
  <si>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</si>
  <si>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</si>
  <si>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</si>
  <si>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</si>
  <si>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Sources:  Prior pages of this schedule.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</si>
  <si>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</si>
  <si>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</si>
  <si>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</si>
  <si>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</si>
  <si>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</si>
  <si>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</si>
  <si>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</si>
  <si>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</si>
  <si>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</si>
  <si>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</si>
  <si>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</si>
  <si>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Schedule 11</t>
  </si>
  <si>
    <t>CAPM</t>
  </si>
  <si>
    <t>Page 2 of 2</t>
  </si>
  <si>
    <t>RATES OF RETURN ON AVERAGE COMMON EQUITY</t>
  </si>
  <si>
    <t>Page 1 of 2</t>
  </si>
  <si>
    <t>MARKET TO BOOK RATIOS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</si>
  <si>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</si>
  <si>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</si>
  <si>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</si>
  <si>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</si>
  <si>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</si>
  <si>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</si>
  <si>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</si>
  <si>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</si>
  <si>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</si>
  <si>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</si>
  <si>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</si>
  <si>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</si>
  <si>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</si>
  <si>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</si>
  <si>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</si>
  <si>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</si>
  <si>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</si>
  <si>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</si>
  <si>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</si>
  <si>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</si>
  <si>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</si>
  <si>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</si>
  <si>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</si>
  <si>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</si>
  <si>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</si>
  <si>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</si>
  <si>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STK RANK</t>
  </si>
  <si>
    <t>Total</t>
  </si>
  <si>
    <t>FIRST CALL</t>
  </si>
  <si>
    <t>Schedule 12</t>
  </si>
  <si>
    <t>Schedule 13</t>
  </si>
  <si>
    <t>1992 - 2001 Cycle</t>
  </si>
  <si>
    <t>Page 1 of 4</t>
  </si>
  <si>
    <t>Page 2 of 4</t>
  </si>
  <si>
    <t>Page 3 of 4</t>
  </si>
  <si>
    <t>($000)</t>
  </si>
  <si>
    <t>Percent</t>
  </si>
  <si>
    <t>NSTAR</t>
  </si>
  <si>
    <t>Baa1</t>
  </si>
  <si>
    <t>Sempra Energy</t>
  </si>
  <si>
    <t>Page 4 of 4</t>
  </si>
  <si>
    <t>Source:  Calculations made from data contained in Value Line Investment Survey.</t>
  </si>
  <si>
    <t>Schedule 5</t>
  </si>
  <si>
    <t>A+</t>
  </si>
  <si>
    <t>1992-2001</t>
  </si>
  <si>
    <t>American Electric Power</t>
  </si>
  <si>
    <t>Consolidated Edison</t>
  </si>
  <si>
    <t>Northeast Utilities</t>
  </si>
  <si>
    <t>Wisconsin Energy</t>
  </si>
  <si>
    <t>CH Energy Group</t>
  </si>
  <si>
    <t>PPL Corp</t>
  </si>
  <si>
    <t>Exelon</t>
  </si>
  <si>
    <t>BBB+</t>
  </si>
  <si>
    <t>Median</t>
  </si>
  <si>
    <t>Moody's</t>
  </si>
  <si>
    <t>Date</t>
  </si>
  <si>
    <t>BOND RATINGS</t>
  </si>
  <si>
    <t>CenterPoint Energy</t>
  </si>
  <si>
    <t>Current Cycle</t>
  </si>
  <si>
    <t>RISK</t>
  </si>
  <si>
    <t>PREMIUM</t>
  </si>
  <si>
    <t>USING IBBOTSON RISK PREMIUM</t>
  </si>
  <si>
    <t>Cost</t>
  </si>
  <si>
    <t>Duquesne Light Holdings</t>
  </si>
  <si>
    <t>Mean</t>
  </si>
  <si>
    <t>Nasdaq</t>
  </si>
  <si>
    <t>Ameren Corp.</t>
  </si>
  <si>
    <t>Energy East Corp.</t>
  </si>
  <si>
    <t>FirstEnergy Corp.</t>
  </si>
  <si>
    <t>SCANA Corp.</t>
  </si>
  <si>
    <t>TXU Corp.</t>
  </si>
  <si>
    <t>Vectren Corp.</t>
  </si>
  <si>
    <t>Source:  Yahoo! Finance.</t>
  </si>
  <si>
    <t>2001-2005</t>
  </si>
  <si>
    <t>.</t>
  </si>
  <si>
    <t>1992 -2004</t>
  </si>
  <si>
    <t>Page 1 o f 3</t>
  </si>
  <si>
    <t>2000-2004</t>
  </si>
  <si>
    <t>Source:  Standard &amp; Poor's Analyst's Handbook, 2005 edition, page 1.</t>
  </si>
  <si>
    <t>Item</t>
  </si>
  <si>
    <t>TOTAL COST OF CAPITAL</t>
  </si>
  <si>
    <t>Schedule 10</t>
  </si>
  <si>
    <t>Morin Natural Gas Utilities</t>
  </si>
  <si>
    <t>AGL Resources</t>
  </si>
  <si>
    <t>Atmos Energy</t>
  </si>
  <si>
    <t>KeySpan Corp.</t>
  </si>
  <si>
    <t>Laclede Group</t>
  </si>
  <si>
    <t>New Jersey Resources</t>
  </si>
  <si>
    <t>Northwest Natural Gas</t>
  </si>
  <si>
    <t>Piedmont Natural Gas</t>
  </si>
  <si>
    <t>South Jersey Industries</t>
  </si>
  <si>
    <t>Southwest Gas</t>
  </si>
  <si>
    <t>UGI Corp.</t>
  </si>
  <si>
    <t>WGL Corp.</t>
  </si>
  <si>
    <t>Peoples Energy</t>
  </si>
  <si>
    <t>Morin Natural Gas</t>
  </si>
  <si>
    <t xml:space="preserve">B </t>
  </si>
  <si>
    <t>Morin Electricity</t>
  </si>
  <si>
    <t>Distribution Companies</t>
  </si>
  <si>
    <t>Constellation Energy</t>
  </si>
  <si>
    <t>PEPCO Holdings</t>
  </si>
  <si>
    <t>Public Service Enter. Group</t>
  </si>
  <si>
    <t>Value Line Natural Gas</t>
  </si>
  <si>
    <t>Cascade Natural Gas</t>
  </si>
  <si>
    <t>Energen</t>
  </si>
  <si>
    <t xml:space="preserve">Keyspan </t>
  </si>
  <si>
    <t>NICOR</t>
  </si>
  <si>
    <t xml:space="preserve">UGI </t>
  </si>
  <si>
    <t>WGL Holdings</t>
  </si>
  <si>
    <t>'09-'11</t>
  </si>
  <si>
    <t>Est'd '03-'05 to '09-'11 Growth Rates</t>
  </si>
  <si>
    <t>NM</t>
  </si>
  <si>
    <t>2009-2011</t>
  </si>
  <si>
    <t xml:space="preserve">A </t>
  </si>
  <si>
    <t>A++</t>
  </si>
  <si>
    <t>CASCADE NATURAL GAS</t>
  </si>
  <si>
    <t>Source:  Cascade Natural Gas Corp., 2005 Form 10-K.</t>
  </si>
  <si>
    <t>CASCADE NATURAL GAS CORP.</t>
  </si>
  <si>
    <t>Standard &amp; Poor's</t>
  </si>
  <si>
    <t>Issuer Rating</t>
  </si>
  <si>
    <t>Outlook</t>
  </si>
  <si>
    <t>Positive</t>
  </si>
  <si>
    <t>Negative</t>
  </si>
  <si>
    <t>Stable</t>
  </si>
  <si>
    <t>Senior Unsecured</t>
  </si>
  <si>
    <t>Source:  Response to WUTC Staff Data Request No. 8.</t>
  </si>
  <si>
    <t>2001 - 2005</t>
  </si>
  <si>
    <t>VALUE LINE GAS DISTRIBUTION COMPANIES</t>
  </si>
  <si>
    <t>COMMON EQUITY RATIOS</t>
  </si>
  <si>
    <t>April - June, 2006</t>
  </si>
  <si>
    <t>BBB</t>
  </si>
  <si>
    <t>Schedule 3</t>
  </si>
  <si>
    <t>Baa</t>
  </si>
  <si>
    <t>Difference</t>
  </si>
  <si>
    <t>Schedule 6</t>
  </si>
  <si>
    <t>Bonds</t>
  </si>
  <si>
    <t>Preferred Stocks</t>
  </si>
  <si>
    <t>YIELD DIFFERENTIALS BETWEEN Baa AND A RATED SECURITIES</t>
  </si>
  <si>
    <t>Schedule 14</t>
  </si>
  <si>
    <t>PRE-TAX COVERGE</t>
  </si>
  <si>
    <t>Weiighted</t>
  </si>
  <si>
    <t>Pre-Tax</t>
  </si>
  <si>
    <t>(1) Post-tax weighted cost divided by .60 (composite tax factor).</t>
  </si>
  <si>
    <t>(1)</t>
  </si>
  <si>
    <t xml:space="preserve">Pre-tax coverage = </t>
  </si>
  <si>
    <t>Standard &amp; Poor's Utility Benchmark Ratios:</t>
  </si>
  <si>
    <t>Pre-tax coverage (x)</t>
  </si>
  <si>
    <t>Total Debt to Total Capital (%)</t>
  </si>
  <si>
    <t>52 - 58%</t>
  </si>
  <si>
    <t>58 - 68%</t>
  </si>
  <si>
    <t>2.3 - 2.9x</t>
  </si>
  <si>
    <t>1.3 - 2.3x</t>
  </si>
  <si>
    <t xml:space="preserve">Note:  Standard &amp; Poor's no longer employs the pre-tax coverage ratios as one </t>
  </si>
  <si>
    <t>of its qualitative ratings criteria.  The above-cited benchmark ratios  reflect the</t>
  </si>
  <si>
    <t>1999 crtiteria reported by S&amp;P.</t>
  </si>
  <si>
    <t>RISK PREMIUM BY DECADE AS</t>
  </si>
  <si>
    <t>Risk Premium</t>
  </si>
  <si>
    <t>By Decade</t>
  </si>
  <si>
    <t xml:space="preserve">DERIVED BY CASCADE WITNESS MORIN </t>
  </si>
  <si>
    <t>Source:  Calculations made from data contained on (RAM-4).</t>
  </si>
  <si>
    <t>Month</t>
  </si>
  <si>
    <t>Jun</t>
  </si>
  <si>
    <t>Jul</t>
  </si>
  <si>
    <t>Sep</t>
  </si>
  <si>
    <t>Amount</t>
  </si>
  <si>
    <t>AS OF DECEMBER 31, 2005</t>
  </si>
  <si>
    <t>Figures as of September 30 of each year.</t>
  </si>
  <si>
    <t>Weighted</t>
  </si>
  <si>
    <t>Value Line LDC</t>
  </si>
  <si>
    <t>INCLUDING SHORT-TERM DEBT</t>
  </si>
  <si>
    <t>Company</t>
  </si>
  <si>
    <t>Source:  AUS Utility Reports.</t>
  </si>
  <si>
    <t>20-YEAR U.S. TREASURY BOND YIELDS</t>
  </si>
  <si>
    <t>RISK PREMIUMS</t>
  </si>
  <si>
    <t>20-YEAR</t>
  </si>
  <si>
    <t>ROE</t>
  </si>
  <si>
    <t>T-BOND</t>
  </si>
  <si>
    <t>Schedule 15</t>
  </si>
  <si>
    <t>11.11%/(4.15%+0.27%)</t>
  </si>
  <si>
    <t xml:space="preserve">CASCADE NATURAL GAS </t>
  </si>
  <si>
    <t>MONTHLY AMOUNTS OF SHORT-TERM DEBT</t>
  </si>
  <si>
    <t>2/  See Page 2 of this Schedule.</t>
  </si>
  <si>
    <t xml:space="preserve">Long-Term Debt </t>
  </si>
  <si>
    <t xml:space="preserve">Short-Term Debt </t>
  </si>
  <si>
    <t>1/</t>
  </si>
  <si>
    <t>2/</t>
  </si>
  <si>
    <t>3/</t>
  </si>
  <si>
    <t>3/  From Company Filing.</t>
  </si>
  <si>
    <t>Source:  Mergent Bond Record.</t>
  </si>
  <si>
    <t>Short-Term Debt Cost Rates As of June 30, 2006</t>
  </si>
  <si>
    <t>Prime</t>
  </si>
  <si>
    <t>1 Month</t>
  </si>
  <si>
    <t>2 Month</t>
  </si>
  <si>
    <t>3 Month</t>
  </si>
  <si>
    <t>6 Month</t>
  </si>
  <si>
    <t>Source:  Response to WUTC Staff Data Request No. 27</t>
  </si>
  <si>
    <t>and 177.</t>
  </si>
  <si>
    <t>1/  From Cascade Natural Gas Form 10-Q for period ending December 31, 2005.</t>
  </si>
  <si>
    <t>Sources:  Standard &amp; Poor's Analysts' Handbook, Ibbotson Associates 2006 Yearbook.</t>
  </si>
  <si>
    <t>Exhibit No. ___(DCP-3)</t>
  </si>
  <si>
    <t>Exhibit No. ___ (DCP-4)</t>
  </si>
  <si>
    <t>Exhibit No. ___ (DCP-5)</t>
  </si>
  <si>
    <t>Exhibit No. ___ (DCP-6)</t>
  </si>
  <si>
    <t>Exhibit No. ___ (DCP-7)</t>
  </si>
  <si>
    <t>Exhibit No. ___ (DCP-8)</t>
  </si>
  <si>
    <t>Exhibit No. ___(DCP-9)</t>
  </si>
  <si>
    <t>Exhibit No. ___(DCP-10)</t>
  </si>
  <si>
    <t>Exhibit No. ___ (DCP-11)</t>
  </si>
  <si>
    <t>Exhibit No. ___ (DCP-12)</t>
  </si>
  <si>
    <t>Exhibit No. ___ (DCP-13)</t>
  </si>
  <si>
    <t>Exhibit No. ___ (DCP-14)</t>
  </si>
  <si>
    <t>Exhibit No. ___ (DCP-15)</t>
  </si>
  <si>
    <t>Exhibit No. ___(DCP-16)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</si>
</sst>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$-409]#,##0"/>
    <numFmt numFmtId="167" formatCode="[$$-409]#,##0.00"/>
    <numFmt numFmtId="168" formatCode="[$$-409]#,##0.0"/>
    <numFmt numFmtId="169" formatCode="0.000%"/>
    <numFmt numFmtId="170" formatCode="&quot;$&quot;#,##0.00"/>
    <numFmt numFmtId="171" formatCode="0.0000000000000000%"/>
    <numFmt numFmtId="172" formatCode="&quot;$&quot;#,##0.0"/>
    <numFmt numFmtId="173" formatCode="&quot;$&quot;#,##0.000"/>
    <numFmt numFmtId="174" formatCode="&quot;$&quot;#,##0"/>
    <numFmt numFmtId="175" formatCode="#,##0.0"/>
    <numFmt numFmtId="176" formatCode="0.0000"/>
    <numFmt numFmtId="177" formatCode="[$-409]dddd\,\ mmmm\ dd\,\ yyyy"/>
    <numFmt numFmtId="178" formatCode="[$-409]mmmm\ d\,\ yyyy;@"/>
    <numFmt numFmtId="179" formatCode="0.0000%"/>
    <numFmt numFmtId="180" formatCode="_(* #,##0.0_);_(* \(#,##0.0\);_(* &quot;-&quot;??_);_(@_)"/>
    <numFmt numFmtId="181" formatCode="_(* #,##0_);_(* \(#,##0\);_(* &quot;-&quot;??_);_(@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double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1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2" fontId="0" fillId="0" borderId="1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10" fontId="0" fillId="0" borderId="1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NumberFormat="1" applyAlignment="1">
      <alignment/>
    </xf>
    <xf numFmtId="164" fontId="5" fillId="0" borderId="0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167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0" fontId="5" fillId="0" borderId="0" xfId="0" applyNumberFormat="1" applyFont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10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2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NumberFormat="1" applyFont="1" applyAlignment="1" quotePrefix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6" fontId="6" fillId="0" borderId="0" xfId="0" applyNumberFormat="1" applyFont="1" applyAlignment="1" quotePrefix="1">
      <alignment horizontal="centerContinuous"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5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1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7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17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0" fillId="0" borderId="0" xfId="0" applyNumberFormat="1" applyBorder="1" applyAlignment="1">
      <alignment horizontal="left"/>
    </xf>
    <xf numFmtId="10" fontId="0" fillId="0" borderId="0" xfId="0" applyNumberFormat="1" applyFont="1" applyBorder="1" applyAlignment="1" quotePrefix="1">
      <alignment horizontal="right"/>
    </xf>
    <xf numFmtId="174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10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1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74" fontId="0" fillId="0" borderId="0" xfId="0" applyNumberFormat="1" applyBorder="1" applyAlignment="1" quotePrefix="1">
      <alignment horizontal="center"/>
    </xf>
    <xf numFmtId="174" fontId="0" fillId="0" borderId="0" xfId="0" applyNumberFormat="1" applyBorder="1" applyAlignment="1" quotePrefix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 quotePrefix="1">
      <alignment horizontal="left"/>
    </xf>
    <xf numFmtId="2" fontId="5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0" fontId="0" fillId="0" borderId="0" xfId="0" applyNumberFormat="1" applyBorder="1" applyAlignment="1" quotePrefix="1">
      <alignment horizontal="center"/>
    </xf>
    <xf numFmtId="10" fontId="0" fillId="0" borderId="0" xfId="0" applyNumberFormat="1" applyFont="1" applyBorder="1" applyAlignment="1" quotePrefix="1">
      <alignment horizontal="center"/>
    </xf>
    <xf numFmtId="169" fontId="0" fillId="0" borderId="0" xfId="0" applyNumberFormat="1" applyFont="1" applyBorder="1" applyAlignment="1" quotePrefix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0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ASES\TAI\05%20Cases\0533%20Northern%20Border\Northern%20Border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awilson\LOCALS~1\Temp\notesEA312D\PPL%20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2, p 1"/>
      <sheetName val="Sch 2, p 2 "/>
      <sheetName val="Sch 2, p 3"/>
      <sheetName val="Pipelines"/>
      <sheetName val="Sch 3, p.1"/>
      <sheetName val="Sch 3, p. 2"/>
      <sheetName val="Sch 4"/>
      <sheetName val="Sch 6"/>
      <sheetName val="Proxy Cos"/>
      <sheetName val="Sheet2"/>
    </sheetNames>
    <sheetDataSet>
      <sheetData sheetId="0">
        <row r="2">
          <cell r="I2" t="str">
            <v>Schedule 2</v>
          </cell>
        </row>
      </sheetData>
      <sheetData sheetId="1">
        <row r="2">
          <cell r="M2" t="str">
            <v>Schedule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 2, p 1"/>
      <sheetName val="Sch 2, p 2"/>
      <sheetName val="Sch 2, p 3"/>
      <sheetName val="Sch 3, p 1"/>
      <sheetName val="Sch 3, p 2"/>
      <sheetName val="Sch 4, p 1"/>
      <sheetName val="Sch 4, p 2"/>
      <sheetName val="Sch 5, p1"/>
      <sheetName val="Sch 5, p 2"/>
      <sheetName val="Sch 5, p 3"/>
      <sheetName val="Sch 5, p 4"/>
      <sheetName val="Sch 6"/>
      <sheetName val="Sch 7"/>
      <sheetName val="Sch 8, p 1"/>
      <sheetName val="Sch 8, p 2"/>
      <sheetName val="Sch 9"/>
      <sheetName val="Sch 10, p 1"/>
      <sheetName val="Sch 10, p 2"/>
      <sheetName val="Sch 11"/>
      <sheetName val="Sch 12"/>
      <sheetName val="Sch 13"/>
      <sheetName val="Sheet2"/>
      <sheetName val="Sch 3, p 3 "/>
    </sheetNames>
    <sheetDataSet>
      <sheetData sheetId="5">
        <row r="13">
          <cell r="A13" t="str">
            <v>AGL Resources</v>
          </cell>
        </row>
        <row r="14">
          <cell r="A14" t="str">
            <v>Atmos Energy</v>
          </cell>
        </row>
        <row r="15">
          <cell r="A15" t="str">
            <v>Cascade Natural Gas</v>
          </cell>
        </row>
        <row r="16">
          <cell r="A16" t="str">
            <v>Energen</v>
          </cell>
        </row>
        <row r="17">
          <cell r="A17" t="str">
            <v>Keyspan </v>
          </cell>
        </row>
        <row r="18">
          <cell r="A18" t="str">
            <v>Laclede Group</v>
          </cell>
        </row>
        <row r="19">
          <cell r="A19" t="str">
            <v>New Jersey Resources</v>
          </cell>
        </row>
        <row r="20">
          <cell r="A20" t="str">
            <v>NICOR</v>
          </cell>
        </row>
        <row r="21">
          <cell r="A21" t="str">
            <v>Northwest Natural Gas</v>
          </cell>
        </row>
        <row r="22">
          <cell r="A22" t="str">
            <v>Peoples Energy</v>
          </cell>
        </row>
        <row r="23">
          <cell r="A23" t="str">
            <v>Piedmont Natural Gas</v>
          </cell>
        </row>
        <row r="24">
          <cell r="A24" t="str">
            <v>South Jersey Industries</v>
          </cell>
        </row>
        <row r="25">
          <cell r="A25" t="str">
            <v>Southwest Gas</v>
          </cell>
        </row>
        <row r="26">
          <cell r="A26" t="str">
            <v>UGI </v>
          </cell>
        </row>
        <row r="27">
          <cell r="A27" t="str">
            <v>WGL Holdings</v>
          </cell>
        </row>
        <row r="30">
          <cell r="A30" t="str">
            <v>Average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96"/>
  <sheetViews>
    <sheetView showOutlineSymbols="0" zoomScale="87" zoomScaleNormal="87" workbookViewId="0" topLeftCell="A1">
      <selection activeCell="I1" sqref="I1"/>
    </sheetView>
  </sheetViews>
  <sheetFormatPr defaultColWidth="8.88671875" defaultRowHeight="15"/>
  <cols>
    <col min="1" max="1" width="6.77734375" style="41" customWidth="1"/>
    <col min="2" max="3" width="9.77734375" style="41" customWidth="1"/>
    <col min="4" max="4" width="2.77734375" style="41" customWidth="1"/>
    <col min="5" max="5" width="9.77734375" style="41" customWidth="1"/>
    <col min="6" max="6" width="2.77734375" style="41" customWidth="1"/>
    <col min="7" max="7" width="9.77734375" style="41" customWidth="1"/>
    <col min="8" max="8" width="2.77734375" style="41" customWidth="1"/>
    <col min="9" max="9" width="9.77734375" style="41" customWidth="1"/>
    <col min="10" max="10" width="2.77734375" style="41" customWidth="1"/>
    <col min="11" max="11" width="9.77734375" style="41" customWidth="1"/>
    <col min="12" max="12" width="3.77734375" style="41" customWidth="1"/>
    <col min="13" max="14" width="9.77734375" style="41" customWidth="1"/>
    <col min="15" max="18" width="10.77734375" style="41" customWidth="1"/>
    <col min="19" max="22" width="9.77734375" style="41" customWidth="1"/>
    <col min="23" max="26" width="10.77734375" style="41" customWidth="1"/>
    <col min="27" max="16384" width="9.77734375" style="41" customWidth="1"/>
  </cols>
  <sheetData>
    <row r="1" ht="15.75">
      <c r="I1" s="40" t="s">
        <v>331</v>
      </c>
    </row>
    <row r="2" spans="9:10" ht="15.75">
      <c r="I2" s="40" t="s">
        <v>40</v>
      </c>
      <c r="J2" s="40"/>
    </row>
    <row r="3" ht="15.75">
      <c r="I3" s="40" t="s">
        <v>208</v>
      </c>
    </row>
    <row r="4" ht="15.75">
      <c r="I4" s="40"/>
    </row>
    <row r="5" ht="15.75">
      <c r="J5" s="40"/>
    </row>
    <row r="8" spans="2:12" ht="20.25">
      <c r="B8" s="93" t="s"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</row>
    <row r="12" spans="2:12" ht="15.75">
      <c r="B12" s="96"/>
      <c r="C12" s="103" t="s">
        <v>32</v>
      </c>
      <c r="D12" s="96"/>
      <c r="E12" s="103" t="s">
        <v>36</v>
      </c>
      <c r="F12" s="96"/>
      <c r="G12" s="96"/>
      <c r="H12" s="96"/>
      <c r="I12" s="96"/>
      <c r="J12" s="96"/>
      <c r="K12" s="96"/>
      <c r="L12" s="96"/>
    </row>
    <row r="13" spans="3:7" ht="15.75">
      <c r="C13" s="104" t="s">
        <v>33</v>
      </c>
      <c r="E13" s="104" t="s">
        <v>37</v>
      </c>
      <c r="G13" s="104" t="s">
        <v>38</v>
      </c>
    </row>
    <row r="14" spans="2:11" ht="15.75">
      <c r="B14" s="104" t="s">
        <v>1</v>
      </c>
      <c r="C14" s="104" t="s">
        <v>34</v>
      </c>
      <c r="E14" s="104" t="s">
        <v>34</v>
      </c>
      <c r="G14" s="104" t="s">
        <v>39</v>
      </c>
      <c r="I14" s="104" t="s">
        <v>41</v>
      </c>
      <c r="K14" s="104" t="s">
        <v>42</v>
      </c>
    </row>
    <row r="15" spans="2:12" ht="15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 ht="15.75">
      <c r="B16" s="105" t="s">
        <v>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8" spans="2:12" ht="15">
      <c r="B18" s="98" t="s">
        <v>3</v>
      </c>
      <c r="C18" s="84">
        <v>-0.011</v>
      </c>
      <c r="D18" s="84"/>
      <c r="E18" s="84">
        <v>-0.089</v>
      </c>
      <c r="F18" s="84"/>
      <c r="G18" s="84">
        <v>0.085</v>
      </c>
      <c r="H18" s="84"/>
      <c r="I18" s="84">
        <v>0.07</v>
      </c>
      <c r="J18" s="84"/>
      <c r="K18" s="84">
        <v>0.066</v>
      </c>
      <c r="L18" s="106"/>
    </row>
    <row r="19" spans="2:11" ht="15">
      <c r="B19" s="98" t="s">
        <v>4</v>
      </c>
      <c r="C19" s="84">
        <v>0.054</v>
      </c>
      <c r="D19" s="84"/>
      <c r="E19" s="84">
        <v>0.108</v>
      </c>
      <c r="F19" s="84"/>
      <c r="G19" s="84">
        <v>0.077</v>
      </c>
      <c r="H19" s="84"/>
      <c r="I19" s="84">
        <v>0.048</v>
      </c>
      <c r="J19" s="84"/>
      <c r="K19" s="84">
        <v>0.037</v>
      </c>
    </row>
    <row r="20" spans="2:22" ht="15">
      <c r="B20" s="98" t="s">
        <v>5</v>
      </c>
      <c r="C20" s="84">
        <v>0.055</v>
      </c>
      <c r="D20" s="84"/>
      <c r="E20" s="84">
        <v>0.059</v>
      </c>
      <c r="F20" s="84"/>
      <c r="G20" s="84">
        <v>0.07</v>
      </c>
      <c r="H20" s="84"/>
      <c r="I20" s="84">
        <v>0.068</v>
      </c>
      <c r="J20" s="84"/>
      <c r="K20" s="84">
        <v>0.069</v>
      </c>
      <c r="L20" s="107"/>
      <c r="M20" s="107"/>
      <c r="V20" s="108"/>
    </row>
    <row r="21" spans="2:22" ht="15">
      <c r="B21" s="98" t="s">
        <v>6</v>
      </c>
      <c r="C21" s="84">
        <v>0.05</v>
      </c>
      <c r="D21" s="84"/>
      <c r="E21" s="84">
        <v>0.057</v>
      </c>
      <c r="F21" s="84"/>
      <c r="G21" s="84">
        <v>0.06</v>
      </c>
      <c r="H21" s="84"/>
      <c r="I21" s="84">
        <v>0.09</v>
      </c>
      <c r="J21" s="84"/>
      <c r="K21" s="84">
        <v>0.092</v>
      </c>
      <c r="L21" s="107"/>
      <c r="M21" s="107"/>
      <c r="V21" s="108"/>
    </row>
    <row r="22" spans="2:22" ht="15">
      <c r="B22" s="98" t="s">
        <v>7</v>
      </c>
      <c r="C22" s="84">
        <v>0.028</v>
      </c>
      <c r="D22" s="84"/>
      <c r="E22" s="84">
        <v>0.044</v>
      </c>
      <c r="F22" s="84"/>
      <c r="G22" s="84">
        <v>0.058</v>
      </c>
      <c r="H22" s="84"/>
      <c r="I22" s="84">
        <v>0.133</v>
      </c>
      <c r="J22" s="84"/>
      <c r="K22" s="84">
        <v>0.128</v>
      </c>
      <c r="V22" s="108"/>
    </row>
    <row r="23" spans="2:22" ht="15">
      <c r="B23" s="98" t="s">
        <v>8</v>
      </c>
      <c r="C23" s="84">
        <v>-0.002</v>
      </c>
      <c r="D23" s="84"/>
      <c r="E23" s="84">
        <v>-0.019</v>
      </c>
      <c r="F23" s="84"/>
      <c r="G23" s="84">
        <v>0.07</v>
      </c>
      <c r="H23" s="84"/>
      <c r="I23" s="84">
        <v>0.124</v>
      </c>
      <c r="J23" s="84"/>
      <c r="K23" s="84">
        <v>0.118</v>
      </c>
      <c r="L23" s="107"/>
      <c r="M23" s="107"/>
      <c r="V23" s="108"/>
    </row>
    <row r="24" spans="2:22" ht="15">
      <c r="B24" s="98" t="s">
        <v>9</v>
      </c>
      <c r="C24" s="84">
        <v>0.018</v>
      </c>
      <c r="D24" s="84"/>
      <c r="E24" s="84">
        <v>0.019</v>
      </c>
      <c r="F24" s="84"/>
      <c r="G24" s="84">
        <v>0.075</v>
      </c>
      <c r="H24" s="84"/>
      <c r="I24" s="84">
        <v>0.089</v>
      </c>
      <c r="J24" s="84"/>
      <c r="K24" s="84">
        <v>0.071</v>
      </c>
      <c r="L24" s="107"/>
      <c r="M24" s="107"/>
      <c r="V24" s="108"/>
    </row>
    <row r="25" spans="2:22" ht="15">
      <c r="B25" s="98" t="s">
        <v>10</v>
      </c>
      <c r="C25" s="84">
        <v>-0.021</v>
      </c>
      <c r="D25" s="84"/>
      <c r="E25" s="84">
        <v>-0.044</v>
      </c>
      <c r="F25" s="84"/>
      <c r="G25" s="84">
        <v>0.095</v>
      </c>
      <c r="H25" s="84"/>
      <c r="I25" s="84">
        <v>0.038</v>
      </c>
      <c r="J25" s="84"/>
      <c r="K25" s="84">
        <v>0.036</v>
      </c>
      <c r="L25" s="107"/>
      <c r="M25" s="107"/>
      <c r="V25" s="108"/>
    </row>
    <row r="26" spans="3:22" ht="15">
      <c r="C26" s="84"/>
      <c r="D26" s="84"/>
      <c r="E26" s="84"/>
      <c r="F26" s="84"/>
      <c r="G26" s="84"/>
      <c r="H26" s="84"/>
      <c r="I26" s="84"/>
      <c r="J26" s="84"/>
      <c r="K26" s="84"/>
      <c r="L26" s="107"/>
      <c r="M26" s="107"/>
      <c r="V26" s="108"/>
    </row>
    <row r="27" spans="2:22" ht="15.75">
      <c r="B27" s="109" t="s">
        <v>11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107"/>
      <c r="V27" s="108"/>
    </row>
    <row r="28" spans="3:22" ht="15">
      <c r="C28" s="84"/>
      <c r="D28" s="84"/>
      <c r="E28" s="84"/>
      <c r="F28" s="84"/>
      <c r="G28" s="84"/>
      <c r="H28" s="84"/>
      <c r="I28" s="84"/>
      <c r="J28" s="84"/>
      <c r="K28" s="84"/>
      <c r="L28" s="107"/>
      <c r="M28" s="107"/>
      <c r="V28" s="108"/>
    </row>
    <row r="29" spans="2:22" ht="15">
      <c r="B29" s="98" t="s">
        <v>12</v>
      </c>
      <c r="C29" s="84">
        <v>0.04</v>
      </c>
      <c r="D29" s="84"/>
      <c r="E29" s="84">
        <v>0.037</v>
      </c>
      <c r="F29" s="84"/>
      <c r="G29" s="84">
        <v>0.095</v>
      </c>
      <c r="H29" s="84"/>
      <c r="I29" s="84">
        <v>0.038</v>
      </c>
      <c r="J29" s="84"/>
      <c r="K29" s="84">
        <v>0.006</v>
      </c>
      <c r="L29" s="107"/>
      <c r="M29" s="107"/>
      <c r="V29" s="108"/>
    </row>
    <row r="30" spans="2:22" ht="15">
      <c r="B30" s="98" t="s">
        <v>13</v>
      </c>
      <c r="C30" s="84">
        <v>0.068</v>
      </c>
      <c r="D30" s="84"/>
      <c r="E30" s="84">
        <v>0.093</v>
      </c>
      <c r="F30" s="84"/>
      <c r="G30" s="84">
        <v>0.075</v>
      </c>
      <c r="H30" s="84"/>
      <c r="I30" s="84">
        <v>0.039</v>
      </c>
      <c r="J30" s="84"/>
      <c r="K30" s="84">
        <v>0.017</v>
      </c>
      <c r="L30" s="107"/>
      <c r="M30" s="107"/>
      <c r="V30" s="108"/>
    </row>
    <row r="31" spans="2:22" ht="15">
      <c r="B31" s="98" t="s">
        <v>14</v>
      </c>
      <c r="C31" s="84">
        <v>0.037</v>
      </c>
      <c r="D31" s="84"/>
      <c r="E31" s="84">
        <v>0.017</v>
      </c>
      <c r="F31" s="84"/>
      <c r="G31" s="84">
        <v>0.072</v>
      </c>
      <c r="H31" s="84"/>
      <c r="I31" s="84">
        <v>0.038</v>
      </c>
      <c r="J31" s="84"/>
      <c r="K31" s="84">
        <v>0.018</v>
      </c>
      <c r="L31" s="107"/>
      <c r="M31" s="107"/>
      <c r="V31" s="108"/>
    </row>
    <row r="32" spans="2:22" ht="15">
      <c r="B32" s="98" t="s">
        <v>15</v>
      </c>
      <c r="C32" s="84">
        <v>0.031</v>
      </c>
      <c r="D32" s="84"/>
      <c r="E32" s="84">
        <v>0.009</v>
      </c>
      <c r="F32" s="84"/>
      <c r="G32" s="84">
        <v>0.07</v>
      </c>
      <c r="H32" s="84"/>
      <c r="I32" s="84">
        <v>0.011</v>
      </c>
      <c r="J32" s="84"/>
      <c r="K32" s="84">
        <v>-0.023</v>
      </c>
      <c r="L32" s="107"/>
      <c r="M32" s="107"/>
      <c r="V32" s="108"/>
    </row>
    <row r="33" spans="2:22" ht="15">
      <c r="B33" s="98" t="s">
        <v>16</v>
      </c>
      <c r="C33" s="84">
        <v>0.029</v>
      </c>
      <c r="D33" s="84"/>
      <c r="E33" s="84">
        <v>0.049</v>
      </c>
      <c r="F33" s="84"/>
      <c r="G33" s="84">
        <v>0.062</v>
      </c>
      <c r="H33" s="84"/>
      <c r="I33" s="84">
        <v>0.044</v>
      </c>
      <c r="J33" s="84"/>
      <c r="K33" s="84">
        <v>0.022</v>
      </c>
      <c r="L33" s="107"/>
      <c r="M33" s="107"/>
      <c r="V33" s="108"/>
    </row>
    <row r="34" spans="2:22" ht="15">
      <c r="B34" s="98" t="s">
        <v>17</v>
      </c>
      <c r="C34" s="84">
        <v>0.038</v>
      </c>
      <c r="D34" s="84"/>
      <c r="E34" s="84">
        <v>0.045</v>
      </c>
      <c r="F34" s="84"/>
      <c r="G34" s="84">
        <v>0.055</v>
      </c>
      <c r="H34" s="84"/>
      <c r="I34" s="84">
        <v>0.044</v>
      </c>
      <c r="J34" s="84"/>
      <c r="K34" s="84">
        <v>0.04</v>
      </c>
      <c r="L34" s="107"/>
      <c r="M34" s="107"/>
      <c r="V34" s="108"/>
    </row>
    <row r="35" spans="2:22" ht="15">
      <c r="B35" s="98" t="s">
        <v>18</v>
      </c>
      <c r="C35" s="84">
        <v>0.035</v>
      </c>
      <c r="D35" s="84"/>
      <c r="E35" s="84">
        <v>0.018</v>
      </c>
      <c r="F35" s="84"/>
      <c r="G35" s="84">
        <v>0.053</v>
      </c>
      <c r="H35" s="84"/>
      <c r="I35" s="84">
        <v>0.046</v>
      </c>
      <c r="J35" s="84"/>
      <c r="K35" s="84">
        <v>0.049</v>
      </c>
      <c r="L35" s="107"/>
      <c r="M35" s="107"/>
      <c r="V35" s="108"/>
    </row>
    <row r="36" spans="2:22" ht="15">
      <c r="B36" s="98" t="s">
        <v>19</v>
      </c>
      <c r="C36" s="84">
        <v>0.018</v>
      </c>
      <c r="D36" s="84"/>
      <c r="E36" s="84">
        <v>-0.002</v>
      </c>
      <c r="F36" s="84"/>
      <c r="G36" s="84">
        <v>0.056</v>
      </c>
      <c r="H36" s="84"/>
      <c r="I36" s="84">
        <v>0.061</v>
      </c>
      <c r="J36" s="84"/>
      <c r="K36" s="84">
        <v>0.057</v>
      </c>
      <c r="L36" s="107"/>
      <c r="M36" s="107"/>
      <c r="V36" s="108"/>
    </row>
    <row r="37" spans="2:22" ht="15">
      <c r="B37" s="98" t="s">
        <v>20</v>
      </c>
      <c r="C37" s="84">
        <v>-0.005</v>
      </c>
      <c r="D37" s="84"/>
      <c r="E37" s="84">
        <v>-0.02</v>
      </c>
      <c r="F37" s="84"/>
      <c r="G37" s="84">
        <v>0.068</v>
      </c>
      <c r="H37" s="84"/>
      <c r="I37" s="84">
        <v>0.031</v>
      </c>
      <c r="J37" s="84"/>
      <c r="K37" s="84">
        <v>-0.001</v>
      </c>
      <c r="L37" s="107"/>
      <c r="M37" s="107"/>
      <c r="V37" s="108"/>
    </row>
    <row r="38" spans="3:22" ht="15">
      <c r="C38" s="84"/>
      <c r="D38" s="84"/>
      <c r="E38" s="84"/>
      <c r="F38" s="84"/>
      <c r="G38" s="84"/>
      <c r="H38" s="84"/>
      <c r="I38" s="84"/>
      <c r="J38" s="84"/>
      <c r="K38" s="84"/>
      <c r="L38" s="107"/>
      <c r="M38" s="107"/>
      <c r="V38" s="108"/>
    </row>
    <row r="39" spans="2:12" ht="15.75">
      <c r="B39" s="105" t="s">
        <v>163</v>
      </c>
      <c r="C39" s="110"/>
      <c r="D39" s="110"/>
      <c r="E39" s="110"/>
      <c r="F39" s="110"/>
      <c r="G39" s="110"/>
      <c r="H39" s="110"/>
      <c r="I39" s="110"/>
      <c r="J39" s="110"/>
      <c r="K39" s="110"/>
      <c r="L39" s="94"/>
    </row>
    <row r="40" spans="3:11" ht="15">
      <c r="C40" s="84"/>
      <c r="D40" s="84"/>
      <c r="E40" s="84"/>
      <c r="F40" s="84"/>
      <c r="G40" s="84"/>
      <c r="H40" s="84"/>
      <c r="I40" s="84"/>
      <c r="J40" s="84"/>
      <c r="K40" s="84"/>
    </row>
    <row r="41" spans="2:11" ht="15">
      <c r="B41" s="98" t="s">
        <v>21</v>
      </c>
      <c r="C41" s="84">
        <v>0.03</v>
      </c>
      <c r="D41" s="84" t="s">
        <v>35</v>
      </c>
      <c r="E41" s="84">
        <v>0.031</v>
      </c>
      <c r="F41" s="84"/>
      <c r="G41" s="84">
        <v>0.075</v>
      </c>
      <c r="H41" s="84"/>
      <c r="I41" s="84">
        <v>0.029</v>
      </c>
      <c r="J41" s="84"/>
      <c r="K41" s="84">
        <v>0.016</v>
      </c>
    </row>
    <row r="42" spans="2:11" ht="15">
      <c r="B42" s="98" t="s">
        <v>22</v>
      </c>
      <c r="C42" s="84">
        <v>0.027</v>
      </c>
      <c r="D42" s="84"/>
      <c r="E42" s="84">
        <v>0.033</v>
      </c>
      <c r="F42" s="84"/>
      <c r="G42" s="84">
        <v>0.069</v>
      </c>
      <c r="H42" s="84"/>
      <c r="I42" s="84">
        <v>0.027</v>
      </c>
      <c r="J42" s="84"/>
      <c r="K42" s="84">
        <v>0.002</v>
      </c>
    </row>
    <row r="43" spans="2:11" ht="15">
      <c r="B43" s="98" t="s">
        <v>23</v>
      </c>
      <c r="C43" s="84">
        <v>0.04</v>
      </c>
      <c r="D43" s="84"/>
      <c r="E43" s="84">
        <v>0.054</v>
      </c>
      <c r="F43" s="84"/>
      <c r="G43" s="84">
        <v>0.061</v>
      </c>
      <c r="H43" s="84"/>
      <c r="I43" s="84">
        <v>0.027</v>
      </c>
      <c r="J43" s="84"/>
      <c r="K43" s="84">
        <v>0.017</v>
      </c>
    </row>
    <row r="44" spans="2:11" ht="15">
      <c r="B44" s="98" t="s">
        <v>24</v>
      </c>
      <c r="C44" s="84">
        <v>0.025</v>
      </c>
      <c r="D44" s="84"/>
      <c r="E44" s="84">
        <v>0.048</v>
      </c>
      <c r="F44" s="84"/>
      <c r="G44" s="84">
        <v>0.056</v>
      </c>
      <c r="H44" s="84"/>
      <c r="I44" s="84">
        <v>0.025</v>
      </c>
      <c r="J44" s="84"/>
      <c r="K44" s="84">
        <v>0.023</v>
      </c>
    </row>
    <row r="45" spans="2:11" ht="15">
      <c r="B45" s="98" t="s">
        <v>25</v>
      </c>
      <c r="C45" s="84">
        <v>0.037</v>
      </c>
      <c r="D45" s="84"/>
      <c r="E45" s="84">
        <v>0.042</v>
      </c>
      <c r="F45" s="84"/>
      <c r="G45" s="84">
        <v>0.054</v>
      </c>
      <c r="H45" s="84"/>
      <c r="I45" s="84">
        <v>0.033</v>
      </c>
      <c r="J45" s="84"/>
      <c r="K45" s="84">
        <v>0.028</v>
      </c>
    </row>
    <row r="46" spans="2:11" ht="15">
      <c r="B46" s="98" t="s">
        <v>26</v>
      </c>
      <c r="C46" s="84">
        <v>0.045</v>
      </c>
      <c r="D46" s="84"/>
      <c r="E46" s="84">
        <v>0.073</v>
      </c>
      <c r="F46" s="84"/>
      <c r="G46" s="84">
        <v>0.049</v>
      </c>
      <c r="H46" s="84"/>
      <c r="I46" s="84">
        <v>0.017</v>
      </c>
      <c r="J46" s="84"/>
      <c r="K46" s="84">
        <v>-0.012</v>
      </c>
    </row>
    <row r="47" spans="2:22" ht="15">
      <c r="B47" s="98">
        <v>1998</v>
      </c>
      <c r="C47" s="84">
        <v>0.042</v>
      </c>
      <c r="D47" s="84"/>
      <c r="E47" s="84">
        <v>0.059</v>
      </c>
      <c r="F47" s="84"/>
      <c r="G47" s="84">
        <v>0.045</v>
      </c>
      <c r="H47" s="84"/>
      <c r="I47" s="84">
        <v>0.016</v>
      </c>
      <c r="J47" s="84"/>
      <c r="K47" s="84">
        <v>0</v>
      </c>
      <c r="L47" s="107"/>
      <c r="M47" s="107"/>
      <c r="V47" s="108"/>
    </row>
    <row r="48" spans="2:22" ht="15">
      <c r="B48" s="98">
        <v>1999</v>
      </c>
      <c r="C48" s="84">
        <v>0.045</v>
      </c>
      <c r="D48" s="84"/>
      <c r="E48" s="84">
        <v>0.045</v>
      </c>
      <c r="F48" s="84"/>
      <c r="G48" s="84">
        <v>0.042</v>
      </c>
      <c r="H48" s="84"/>
      <c r="I48" s="84">
        <v>0.027</v>
      </c>
      <c r="J48" s="84"/>
      <c r="K48" s="84">
        <v>0.029</v>
      </c>
      <c r="V48" s="108"/>
    </row>
    <row r="49" spans="2:22" ht="15">
      <c r="B49" s="98">
        <v>2000</v>
      </c>
      <c r="C49" s="84">
        <v>0.037</v>
      </c>
      <c r="D49" s="84"/>
      <c r="E49" s="84">
        <v>0.043</v>
      </c>
      <c r="F49" s="84"/>
      <c r="G49" s="84">
        <v>0.04</v>
      </c>
      <c r="H49" s="84"/>
      <c r="I49" s="84">
        <v>0.034</v>
      </c>
      <c r="J49" s="84"/>
      <c r="K49" s="84">
        <v>0.036</v>
      </c>
      <c r="V49" s="108"/>
    </row>
    <row r="50" spans="2:22" ht="15">
      <c r="B50" s="98">
        <v>2001</v>
      </c>
      <c r="C50" s="84">
        <v>0.008</v>
      </c>
      <c r="D50" s="84"/>
      <c r="E50" s="84">
        <v>-0.035</v>
      </c>
      <c r="F50" s="84"/>
      <c r="G50" s="84">
        <v>0.047</v>
      </c>
      <c r="H50" s="84"/>
      <c r="I50" s="84">
        <v>0.016</v>
      </c>
      <c r="J50" s="84"/>
      <c r="K50" s="84">
        <v>-0.016</v>
      </c>
      <c r="V50" s="108"/>
    </row>
    <row r="51" spans="2:22" ht="15">
      <c r="B51" s="98"/>
      <c r="C51" s="84"/>
      <c r="D51" s="84"/>
      <c r="E51" s="84"/>
      <c r="F51" s="84"/>
      <c r="G51" s="84"/>
      <c r="H51" s="84"/>
      <c r="I51" s="84"/>
      <c r="J51" s="84"/>
      <c r="K51" s="84"/>
      <c r="V51" s="108"/>
    </row>
    <row r="52" spans="2:22" ht="15.75">
      <c r="B52" s="215" t="s">
        <v>190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V52" s="108"/>
    </row>
    <row r="53" spans="2:22" ht="15">
      <c r="B53" s="98"/>
      <c r="C53" s="84"/>
      <c r="D53" s="84"/>
      <c r="E53" s="84"/>
      <c r="F53" s="84"/>
      <c r="G53" s="84"/>
      <c r="H53" s="84"/>
      <c r="I53" s="84"/>
      <c r="J53" s="84"/>
      <c r="K53" s="84"/>
      <c r="V53" s="108"/>
    </row>
    <row r="54" spans="2:11" ht="15">
      <c r="B54" s="98">
        <v>2002</v>
      </c>
      <c r="C54" s="84">
        <v>0.016</v>
      </c>
      <c r="D54" s="84"/>
      <c r="E54" s="84">
        <v>0.001</v>
      </c>
      <c r="F54" s="84"/>
      <c r="G54" s="84">
        <v>0.058</v>
      </c>
      <c r="H54" s="84"/>
      <c r="I54" s="84">
        <v>0.024</v>
      </c>
      <c r="J54" s="84"/>
      <c r="K54" s="84">
        <v>0.012</v>
      </c>
    </row>
    <row r="55" spans="2:11" ht="15">
      <c r="B55" s="98">
        <v>2003</v>
      </c>
      <c r="C55" s="84">
        <v>0.027</v>
      </c>
      <c r="D55" s="84"/>
      <c r="E55" s="84">
        <v>0.006</v>
      </c>
      <c r="F55" s="84"/>
      <c r="G55" s="84">
        <v>0.06</v>
      </c>
      <c r="H55" s="84"/>
      <c r="I55" s="84">
        <v>0.019</v>
      </c>
      <c r="J55" s="84"/>
      <c r="K55" s="84">
        <v>0.04</v>
      </c>
    </row>
    <row r="56" spans="2:11" ht="15">
      <c r="B56" s="98">
        <v>2004</v>
      </c>
      <c r="C56" s="84">
        <v>0.042</v>
      </c>
      <c r="D56" s="84"/>
      <c r="E56" s="84">
        <v>0.041</v>
      </c>
      <c r="F56" s="84"/>
      <c r="G56" s="84">
        <v>0.055</v>
      </c>
      <c r="H56" s="84"/>
      <c r="I56" s="84">
        <v>0.033</v>
      </c>
      <c r="J56" s="84"/>
      <c r="K56" s="84">
        <v>0.042</v>
      </c>
    </row>
    <row r="57" spans="2:11" ht="15">
      <c r="B57" s="98">
        <v>2005</v>
      </c>
      <c r="C57" s="84">
        <v>0.035</v>
      </c>
      <c r="D57" s="84"/>
      <c r="E57" s="84">
        <v>0.033</v>
      </c>
      <c r="F57" s="84"/>
      <c r="G57" s="84">
        <v>0.051</v>
      </c>
      <c r="H57" s="84"/>
      <c r="I57" s="84">
        <v>0.034</v>
      </c>
      <c r="J57" s="84"/>
      <c r="K57" s="84">
        <v>0.054</v>
      </c>
    </row>
    <row r="58" spans="2:11" ht="15">
      <c r="B58" s="98"/>
      <c r="C58" s="84"/>
      <c r="D58" s="84"/>
      <c r="E58" s="84"/>
      <c r="F58" s="84"/>
      <c r="G58" s="84"/>
      <c r="H58" s="84"/>
      <c r="I58" s="84"/>
      <c r="J58" s="84"/>
      <c r="K58" s="84"/>
    </row>
    <row r="59" spans="2:11" ht="15">
      <c r="B59" s="98">
        <v>2004</v>
      </c>
      <c r="C59" s="84"/>
      <c r="D59" s="84"/>
      <c r="E59" s="84"/>
      <c r="F59" s="84"/>
      <c r="G59" s="84"/>
      <c r="H59" s="84"/>
      <c r="I59" s="84"/>
      <c r="J59" s="84"/>
      <c r="K59" s="84"/>
    </row>
    <row r="60" spans="2:11" ht="15">
      <c r="B60" s="98" t="s">
        <v>27</v>
      </c>
      <c r="C60" s="84">
        <v>0.043</v>
      </c>
      <c r="D60" s="84"/>
      <c r="E60" s="84">
        <v>0.028</v>
      </c>
      <c r="F60" s="84"/>
      <c r="G60" s="84">
        <v>0.056</v>
      </c>
      <c r="H60" s="84"/>
      <c r="I60" s="84">
        <v>0.052</v>
      </c>
      <c r="J60" s="84"/>
      <c r="K60" s="84">
        <v>0.052</v>
      </c>
    </row>
    <row r="61" spans="2:11" ht="15">
      <c r="B61" s="98" t="s">
        <v>28</v>
      </c>
      <c r="C61" s="84">
        <v>0.035</v>
      </c>
      <c r="D61" s="84"/>
      <c r="E61" s="84">
        <v>0.049</v>
      </c>
      <c r="F61" s="84"/>
      <c r="G61" s="84">
        <v>0.056</v>
      </c>
      <c r="H61" s="84"/>
      <c r="I61" s="84">
        <v>0.044</v>
      </c>
      <c r="J61" s="84"/>
      <c r="K61" s="84">
        <v>0.044</v>
      </c>
    </row>
    <row r="62" spans="2:11" ht="15">
      <c r="B62" s="98" t="s">
        <v>29</v>
      </c>
      <c r="C62" s="84">
        <v>0.04</v>
      </c>
      <c r="D62" s="84"/>
      <c r="E62" s="84">
        <v>0.046</v>
      </c>
      <c r="F62" s="84"/>
      <c r="G62" s="84">
        <v>0.054</v>
      </c>
      <c r="H62" s="84"/>
      <c r="I62" s="84">
        <v>0.008</v>
      </c>
      <c r="J62" s="84"/>
      <c r="K62" s="84">
        <v>0.008</v>
      </c>
    </row>
    <row r="63" spans="2:11" ht="15">
      <c r="B63" s="98" t="s">
        <v>30</v>
      </c>
      <c r="C63" s="84">
        <v>0.033</v>
      </c>
      <c r="D63" s="84"/>
      <c r="E63" s="84">
        <v>0.043</v>
      </c>
      <c r="F63" s="84"/>
      <c r="G63" s="84">
        <v>0.054</v>
      </c>
      <c r="H63" s="84"/>
      <c r="I63" s="84">
        <v>0.036</v>
      </c>
      <c r="J63" s="84"/>
      <c r="K63" s="84">
        <v>0.072</v>
      </c>
    </row>
    <row r="64" spans="2:11" ht="15">
      <c r="B64" s="98"/>
      <c r="C64" s="84"/>
      <c r="D64" s="84"/>
      <c r="E64" s="84"/>
      <c r="F64" s="84"/>
      <c r="G64" s="84"/>
      <c r="H64" s="84"/>
      <c r="I64" s="84"/>
      <c r="J64" s="84"/>
      <c r="K64" s="84"/>
    </row>
    <row r="65" spans="2:11" ht="15">
      <c r="B65" s="98">
        <v>2005</v>
      </c>
      <c r="C65" s="84"/>
      <c r="D65" s="84"/>
      <c r="E65" s="84"/>
      <c r="F65" s="84"/>
      <c r="G65" s="84"/>
      <c r="H65" s="84"/>
      <c r="I65" s="84"/>
      <c r="J65" s="84"/>
      <c r="K65" s="84"/>
    </row>
    <row r="66" spans="2:11" ht="15">
      <c r="B66" s="98" t="s">
        <v>27</v>
      </c>
      <c r="C66" s="84">
        <v>0.038</v>
      </c>
      <c r="D66" s="84"/>
      <c r="E66" s="84">
        <v>0.038</v>
      </c>
      <c r="F66" s="84"/>
      <c r="G66" s="84">
        <v>0.053</v>
      </c>
      <c r="H66" s="84"/>
      <c r="I66" s="84">
        <v>0.044</v>
      </c>
      <c r="J66" s="84"/>
      <c r="K66" s="84">
        <v>0.056</v>
      </c>
    </row>
    <row r="67" spans="2:11" ht="15">
      <c r="B67" s="98" t="s">
        <v>28</v>
      </c>
      <c r="C67" s="84">
        <v>0.033</v>
      </c>
      <c r="D67" s="84"/>
      <c r="E67" s="84">
        <v>0.03</v>
      </c>
      <c r="F67" s="84"/>
      <c r="G67" s="84">
        <v>0.051</v>
      </c>
      <c r="H67" s="84"/>
      <c r="I67" s="84">
        <v>0.012</v>
      </c>
      <c r="J67" s="84"/>
      <c r="K67" s="84">
        <v>0.016</v>
      </c>
    </row>
    <row r="68" spans="2:11" ht="15">
      <c r="B68" s="98" t="s">
        <v>29</v>
      </c>
      <c r="C68" s="84">
        <v>0.041</v>
      </c>
      <c r="D68" s="84"/>
      <c r="E68" s="84">
        <v>0.027</v>
      </c>
      <c r="F68" s="84"/>
      <c r="G68" s="84">
        <v>0.05</v>
      </c>
      <c r="H68" s="84"/>
      <c r="I68" s="84">
        <v>0.096</v>
      </c>
      <c r="J68" s="84"/>
      <c r="K68" s="84">
        <v>0.108</v>
      </c>
    </row>
    <row r="69" spans="2:11" ht="15">
      <c r="B69" s="98" t="s">
        <v>30</v>
      </c>
      <c r="C69" s="84">
        <v>0.017</v>
      </c>
      <c r="D69" s="84"/>
      <c r="E69" s="84">
        <v>0.031</v>
      </c>
      <c r="F69" s="84"/>
      <c r="G69" s="84">
        <v>0.049</v>
      </c>
      <c r="H69" s="84"/>
      <c r="I69" s="84">
        <v>-0.02</v>
      </c>
      <c r="J69" s="84"/>
      <c r="K69" s="84">
        <v>0.04</v>
      </c>
    </row>
    <row r="70" spans="2:11" ht="15">
      <c r="B70" s="98"/>
      <c r="C70" s="84"/>
      <c r="D70" s="84"/>
      <c r="E70" s="84"/>
      <c r="F70" s="84"/>
      <c r="G70" s="84"/>
      <c r="H70" s="84"/>
      <c r="I70" s="84"/>
      <c r="J70" s="84"/>
      <c r="K70" s="84"/>
    </row>
    <row r="71" spans="2:11" ht="15">
      <c r="B71" s="98">
        <v>2006</v>
      </c>
      <c r="C71" s="84"/>
      <c r="D71" s="84"/>
      <c r="E71" s="84"/>
      <c r="F71" s="84"/>
      <c r="G71" s="84"/>
      <c r="H71" s="84"/>
      <c r="I71" s="84"/>
      <c r="J71" s="84"/>
      <c r="K71" s="84"/>
    </row>
    <row r="72" spans="2:11" ht="15">
      <c r="B72" s="98" t="s">
        <v>27</v>
      </c>
      <c r="C72" s="84">
        <v>0.056</v>
      </c>
      <c r="D72" s="84"/>
      <c r="E72" s="84">
        <v>0.034</v>
      </c>
      <c r="F72" s="84"/>
      <c r="G72" s="84">
        <v>0.047</v>
      </c>
      <c r="H72" s="84"/>
      <c r="I72" s="84">
        <v>0.048</v>
      </c>
      <c r="J72" s="84"/>
      <c r="K72" s="84">
        <v>-0.002</v>
      </c>
    </row>
    <row r="73" spans="3:11" ht="15">
      <c r="C73" s="84"/>
      <c r="D73" s="84"/>
      <c r="E73" s="84"/>
      <c r="F73" s="84"/>
      <c r="G73" s="84"/>
      <c r="H73" s="84"/>
      <c r="I73" s="84"/>
      <c r="J73" s="84"/>
      <c r="K73" s="84"/>
    </row>
    <row r="74" spans="2:22" ht="15">
      <c r="B74" s="99"/>
      <c r="C74" s="112"/>
      <c r="D74" s="112"/>
      <c r="E74" s="112"/>
      <c r="F74" s="112"/>
      <c r="G74" s="112"/>
      <c r="H74" s="112"/>
      <c r="I74" s="112"/>
      <c r="J74" s="112"/>
      <c r="K74" s="112"/>
      <c r="L74" s="99"/>
      <c r="V74" s="108"/>
    </row>
    <row r="75" spans="2:22" ht="15">
      <c r="B75" s="41" t="s">
        <v>31</v>
      </c>
      <c r="C75" s="84"/>
      <c r="D75" s="84"/>
      <c r="E75" s="84"/>
      <c r="F75" s="84"/>
      <c r="G75" s="84"/>
      <c r="H75" s="84"/>
      <c r="I75" s="84"/>
      <c r="J75" s="84"/>
      <c r="K75" s="84"/>
      <c r="V75" s="108"/>
    </row>
    <row r="76" spans="3:22" ht="15">
      <c r="C76" s="84"/>
      <c r="D76" s="84"/>
      <c r="E76" s="84"/>
      <c r="F76" s="84"/>
      <c r="G76" s="84"/>
      <c r="H76" s="84"/>
      <c r="I76" s="84"/>
      <c r="J76" s="84"/>
      <c r="K76" s="84"/>
      <c r="V76" s="108"/>
    </row>
    <row r="77" spans="3:28" ht="15">
      <c r="C77" s="84"/>
      <c r="D77" s="84"/>
      <c r="E77" s="84"/>
      <c r="F77" s="84"/>
      <c r="G77" s="84"/>
      <c r="H77" s="84"/>
      <c r="I77" s="84"/>
      <c r="J77" s="84"/>
      <c r="K77" s="84"/>
      <c r="V77" s="108"/>
      <c r="X77" s="108"/>
      <c r="Y77" s="108"/>
      <c r="Z77" s="108"/>
      <c r="AA77" s="108"/>
      <c r="AB77" s="108"/>
    </row>
    <row r="78" spans="3:28" ht="15">
      <c r="C78" s="84"/>
      <c r="D78" s="84"/>
      <c r="E78" s="84"/>
      <c r="F78" s="84"/>
      <c r="G78" s="84"/>
      <c r="H78" s="84"/>
      <c r="I78" s="84"/>
      <c r="J78" s="84"/>
      <c r="K78" s="84"/>
      <c r="O78" s="108"/>
      <c r="P78" s="108"/>
      <c r="Q78" s="108"/>
      <c r="R78" s="108"/>
      <c r="S78" s="108"/>
      <c r="T78" s="108"/>
      <c r="U78" s="108"/>
      <c r="V78" s="108"/>
      <c r="X78" s="108"/>
      <c r="Y78" s="108"/>
      <c r="Z78" s="108"/>
      <c r="AA78" s="108"/>
      <c r="AB78" s="108"/>
    </row>
    <row r="79" spans="3:28" ht="15">
      <c r="C79" s="84"/>
      <c r="D79" s="84"/>
      <c r="E79" s="84"/>
      <c r="F79" s="84"/>
      <c r="G79" s="84"/>
      <c r="H79" s="84"/>
      <c r="I79" s="84"/>
      <c r="J79" s="84"/>
      <c r="K79" s="84"/>
      <c r="O79" s="108"/>
      <c r="P79" s="108"/>
      <c r="Q79" s="108"/>
      <c r="R79" s="108"/>
      <c r="S79" s="108"/>
      <c r="T79" s="108"/>
      <c r="U79" s="108"/>
      <c r="V79" s="108"/>
      <c r="X79" s="108"/>
      <c r="Y79" s="108"/>
      <c r="Z79" s="108"/>
      <c r="AA79" s="108"/>
      <c r="AB79" s="108"/>
    </row>
    <row r="80" spans="3:28" ht="15">
      <c r="C80" s="84"/>
      <c r="D80" s="84"/>
      <c r="E80" s="84"/>
      <c r="F80" s="84"/>
      <c r="G80" s="84"/>
      <c r="H80" s="84"/>
      <c r="I80" s="84"/>
      <c r="J80" s="84"/>
      <c r="K80" s="84"/>
      <c r="O80" s="108"/>
      <c r="P80" s="108"/>
      <c r="Q80" s="108"/>
      <c r="R80" s="108"/>
      <c r="S80" s="108"/>
      <c r="T80" s="108"/>
      <c r="U80" s="108"/>
      <c r="V80" s="108"/>
      <c r="X80" s="108"/>
      <c r="Y80" s="108"/>
      <c r="Z80" s="108"/>
      <c r="AA80" s="108"/>
      <c r="AB80" s="108"/>
    </row>
    <row r="81" spans="3:28" ht="15">
      <c r="C81" s="84"/>
      <c r="D81" s="84"/>
      <c r="E81" s="84"/>
      <c r="F81" s="84"/>
      <c r="G81" s="84"/>
      <c r="H81" s="84"/>
      <c r="I81" s="84"/>
      <c r="J81" s="84"/>
      <c r="K81" s="84"/>
      <c r="O81" s="108"/>
      <c r="P81" s="108"/>
      <c r="Q81" s="108"/>
      <c r="R81" s="108"/>
      <c r="S81" s="108"/>
      <c r="T81" s="108"/>
      <c r="U81" s="108"/>
      <c r="V81" s="108"/>
      <c r="X81" s="108"/>
      <c r="Y81" s="108"/>
      <c r="Z81" s="108"/>
      <c r="AA81" s="108"/>
      <c r="AB81" s="108"/>
    </row>
    <row r="82" spans="3:28" ht="15">
      <c r="C82" s="84"/>
      <c r="D82" s="84"/>
      <c r="E82" s="84"/>
      <c r="F82" s="84"/>
      <c r="G82" s="84"/>
      <c r="H82" s="84"/>
      <c r="I82" s="84"/>
      <c r="J82" s="84"/>
      <c r="K82" s="84"/>
      <c r="O82" s="108"/>
      <c r="P82" s="108"/>
      <c r="Q82" s="108"/>
      <c r="R82" s="108"/>
      <c r="S82" s="108"/>
      <c r="T82" s="108"/>
      <c r="U82" s="108"/>
      <c r="V82" s="108"/>
      <c r="X82" s="108"/>
      <c r="Y82" s="108"/>
      <c r="Z82" s="108"/>
      <c r="AA82" s="108"/>
      <c r="AB82" s="108"/>
    </row>
    <row r="83" spans="3:28" ht="15">
      <c r="C83" s="84"/>
      <c r="D83" s="84"/>
      <c r="E83" s="84"/>
      <c r="F83" s="84"/>
      <c r="G83" s="84"/>
      <c r="H83" s="84"/>
      <c r="I83" s="84"/>
      <c r="J83" s="84"/>
      <c r="K83" s="84"/>
      <c r="U83" s="108"/>
      <c r="AB83" s="108"/>
    </row>
    <row r="84" spans="3:11" ht="15">
      <c r="C84" s="84"/>
      <c r="D84" s="84"/>
      <c r="E84" s="84"/>
      <c r="F84" s="84"/>
      <c r="G84" s="84"/>
      <c r="H84" s="84"/>
      <c r="I84" s="84"/>
      <c r="J84" s="84"/>
      <c r="K84" s="84"/>
    </row>
    <row r="85" spans="3:11" ht="15">
      <c r="C85" s="84"/>
      <c r="D85" s="84"/>
      <c r="E85" s="84"/>
      <c r="F85" s="84"/>
      <c r="G85" s="84"/>
      <c r="H85" s="84"/>
      <c r="I85" s="84"/>
      <c r="J85" s="84"/>
      <c r="K85" s="84"/>
    </row>
    <row r="86" spans="3:11" ht="15">
      <c r="C86" s="84"/>
      <c r="D86" s="84"/>
      <c r="E86" s="84"/>
      <c r="F86" s="84"/>
      <c r="G86" s="84"/>
      <c r="H86" s="84"/>
      <c r="I86" s="84"/>
      <c r="J86" s="84"/>
      <c r="K86" s="84"/>
    </row>
    <row r="87" spans="3:11" ht="15">
      <c r="C87" s="84"/>
      <c r="D87" s="84"/>
      <c r="E87" s="84"/>
      <c r="F87" s="84"/>
      <c r="G87" s="84"/>
      <c r="H87" s="84"/>
      <c r="I87" s="84"/>
      <c r="J87" s="84"/>
      <c r="K87" s="84"/>
    </row>
    <row r="88" spans="3:11" ht="15">
      <c r="C88" s="84"/>
      <c r="D88" s="84"/>
      <c r="E88" s="84"/>
      <c r="F88" s="84"/>
      <c r="G88" s="84"/>
      <c r="H88" s="84"/>
      <c r="I88" s="84"/>
      <c r="J88" s="84"/>
      <c r="K88" s="84"/>
    </row>
    <row r="96" spans="21:28" ht="15">
      <c r="U96" s="113"/>
      <c r="AB96" s="113"/>
    </row>
  </sheetData>
  <mergeCells count="1">
    <mergeCell ref="B52:L52"/>
  </mergeCells>
  <printOptions horizontalCentered="1"/>
  <pageMargins left="0.5" right="0.5" top="0.5" bottom="0.55" header="0" footer="0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showOutlineSymbols="0" zoomScale="87" zoomScaleNormal="87" workbookViewId="0" topLeftCell="B1">
      <selection activeCell="A1" sqref="A1"/>
    </sheetView>
  </sheetViews>
  <sheetFormatPr defaultColWidth="8.88671875" defaultRowHeight="15"/>
  <cols>
    <col min="1" max="1" width="23.77734375" style="27" customWidth="1"/>
    <col min="2" max="2" width="3.77734375" style="27" customWidth="1"/>
    <col min="3" max="16384" width="9.77734375" style="27" customWidth="1"/>
  </cols>
  <sheetData>
    <row r="1" ht="15.75">
      <c r="K1" s="2" t="str">
        <f>+'Sch 7, p1'!F1</f>
        <v>Exhibit No. ___ (DCP-8)</v>
      </c>
    </row>
    <row r="2" ht="15.75">
      <c r="K2" s="2" t="str">
        <f>'Sch 7, p1'!F2</f>
        <v>Schedule 7</v>
      </c>
    </row>
    <row r="3" ht="15.75">
      <c r="K3" s="2" t="s">
        <v>165</v>
      </c>
    </row>
    <row r="4" ht="15.75">
      <c r="K4" s="2"/>
    </row>
    <row r="5" ht="15.75">
      <c r="K5" s="2"/>
    </row>
    <row r="6" spans="1:12" ht="20.25">
      <c r="A6" s="231" t="str">
        <f>'Sch 7, p1'!A6</f>
        <v>COMPARISON COMPANIES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2" ht="20.25">
      <c r="A7" s="231" t="s">
        <v>106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11" spans="1:12" ht="15.75" thickTop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5">
      <c r="A12" s="10" t="str">
        <f>'Sch 7, p1'!A12</f>
        <v>COMPANY</v>
      </c>
      <c r="C12" s="10">
        <v>2001</v>
      </c>
      <c r="D12" s="10">
        <v>2002</v>
      </c>
      <c r="E12" s="10">
        <v>2003</v>
      </c>
      <c r="F12" s="10">
        <v>2004</v>
      </c>
      <c r="G12" s="10">
        <v>2005</v>
      </c>
      <c r="H12" s="10" t="s">
        <v>108</v>
      </c>
      <c r="I12" s="10">
        <v>2006</v>
      </c>
      <c r="J12" s="10">
        <v>2007</v>
      </c>
      <c r="K12" s="86" t="s">
        <v>241</v>
      </c>
      <c r="L12" s="10" t="s">
        <v>108</v>
      </c>
    </row>
    <row r="14" spans="1:12" ht="15.75" thickTop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6" ht="15.75">
      <c r="A16" s="40" t="str">
        <f>'Sch 7, p1'!A16</f>
        <v>Value Line Natural Gas</v>
      </c>
    </row>
    <row r="18" spans="1:12" ht="15">
      <c r="A18" s="12" t="str">
        <f>+'Sch 7, p1'!A19</f>
        <v>AGL Resources</v>
      </c>
      <c r="B18" s="12"/>
      <c r="C18" s="11">
        <v>0.042</v>
      </c>
      <c r="D18" s="11">
        <v>0.07</v>
      </c>
      <c r="E18" s="11">
        <v>0.066</v>
      </c>
      <c r="F18" s="11">
        <v>0.056</v>
      </c>
      <c r="G18" s="11">
        <v>0.062</v>
      </c>
      <c r="H18" s="11">
        <f>AVERAGE(C18:G18)</f>
        <v>0.05920000000000001</v>
      </c>
      <c r="I18" s="11">
        <v>0.055</v>
      </c>
      <c r="J18" s="11">
        <v>0.055</v>
      </c>
      <c r="K18" s="11">
        <v>0.05</v>
      </c>
      <c r="L18" s="11">
        <f>AVERAGE(I18:K18)</f>
        <v>0.05333333333333334</v>
      </c>
    </row>
    <row r="19" spans="1:12" ht="15">
      <c r="A19" s="12" t="str">
        <f>+'Sch 7, p1'!A20</f>
        <v>Atmos Energy</v>
      </c>
      <c r="B19" s="12"/>
      <c r="C19" s="11">
        <v>0.021</v>
      </c>
      <c r="D19" s="11">
        <v>0.019</v>
      </c>
      <c r="E19" s="11">
        <v>0.028</v>
      </c>
      <c r="F19" s="11">
        <v>0.017</v>
      </c>
      <c r="G19" s="11">
        <v>0.023</v>
      </c>
      <c r="H19" s="11">
        <f aca="true" t="shared" si="0" ref="H19:H32">AVERAGE(C19:G19)</f>
        <v>0.0216</v>
      </c>
      <c r="I19" s="11">
        <v>0.025</v>
      </c>
      <c r="J19" s="11">
        <v>0.03</v>
      </c>
      <c r="K19" s="11">
        <v>0.05</v>
      </c>
      <c r="L19" s="11">
        <f aca="true" t="shared" si="1" ref="L19:L32">AVERAGE(I19:K19)</f>
        <v>0.035</v>
      </c>
    </row>
    <row r="20" spans="1:12" ht="15">
      <c r="A20" s="12" t="str">
        <f>+'Sch 7, p1'!A21</f>
        <v>Cascade Natural Gas</v>
      </c>
      <c r="B20" s="12"/>
      <c r="C20" s="11">
        <v>0.046</v>
      </c>
      <c r="D20" s="11">
        <v>0.017</v>
      </c>
      <c r="E20" s="11">
        <v>0</v>
      </c>
      <c r="F20" s="11">
        <v>0.021</v>
      </c>
      <c r="G20" s="11">
        <v>0</v>
      </c>
      <c r="H20" s="11">
        <f t="shared" si="0"/>
        <v>0.016800000000000002</v>
      </c>
      <c r="I20" s="11">
        <v>0.01</v>
      </c>
      <c r="J20" s="11">
        <v>0.02</v>
      </c>
      <c r="K20" s="11">
        <v>0.035</v>
      </c>
      <c r="L20" s="11">
        <f t="shared" si="1"/>
        <v>0.021666666666666667</v>
      </c>
    </row>
    <row r="21" spans="1:12" ht="15">
      <c r="A21" s="12" t="str">
        <f>+'Sch 7, p1'!A22</f>
        <v>Energen</v>
      </c>
      <c r="B21" s="12"/>
      <c r="C21" s="11">
        <v>0.1</v>
      </c>
      <c r="D21" s="11">
        <v>0.07</v>
      </c>
      <c r="E21" s="11">
        <v>0.121</v>
      </c>
      <c r="F21" s="11">
        <v>0.124</v>
      </c>
      <c r="G21" s="11">
        <v>0.161</v>
      </c>
      <c r="H21" s="11">
        <f t="shared" si="0"/>
        <v>0.11520000000000001</v>
      </c>
      <c r="I21" s="11">
        <v>0.205</v>
      </c>
      <c r="J21" s="11">
        <v>0.23</v>
      </c>
      <c r="K21" s="11">
        <v>0.16</v>
      </c>
      <c r="L21" s="11">
        <f t="shared" si="1"/>
        <v>0.19833333333333333</v>
      </c>
    </row>
    <row r="22" spans="1:12" ht="15">
      <c r="A22" s="12" t="str">
        <f>+'Sch 7, p1'!A23</f>
        <v>Keyspan </v>
      </c>
      <c r="B22" s="12"/>
      <c r="C22" s="11">
        <v>0</v>
      </c>
      <c r="D22" s="11">
        <v>0.048</v>
      </c>
      <c r="E22" s="11">
        <v>0.039</v>
      </c>
      <c r="F22" s="11">
        <v>0.027</v>
      </c>
      <c r="G22" s="11">
        <v>0.02</v>
      </c>
      <c r="H22" s="11">
        <f t="shared" si="0"/>
        <v>0.026799999999999997</v>
      </c>
      <c r="I22" s="11">
        <v>0.01</v>
      </c>
      <c r="J22" s="11">
        <v>0.025</v>
      </c>
      <c r="K22" s="11">
        <v>0.025</v>
      </c>
      <c r="L22" s="11">
        <f t="shared" si="1"/>
        <v>0.02</v>
      </c>
    </row>
    <row r="23" spans="1:12" ht="15">
      <c r="A23" s="12" t="str">
        <f>+'Sch 7, p1'!A24</f>
        <v>Laclede Group</v>
      </c>
      <c r="B23" s="12"/>
      <c r="C23" s="11">
        <v>0.018</v>
      </c>
      <c r="D23" s="11">
        <v>0</v>
      </c>
      <c r="E23" s="11">
        <v>0.031</v>
      </c>
      <c r="F23" s="11">
        <v>0.027</v>
      </c>
      <c r="G23" s="11">
        <v>0.031</v>
      </c>
      <c r="H23" s="11">
        <f t="shared" si="0"/>
        <v>0.0214</v>
      </c>
      <c r="I23" s="11">
        <v>0.05</v>
      </c>
      <c r="J23" s="11">
        <v>0.04</v>
      </c>
      <c r="K23" s="11">
        <v>0.055</v>
      </c>
      <c r="L23" s="11">
        <f t="shared" si="1"/>
        <v>0.04833333333333333</v>
      </c>
    </row>
    <row r="24" spans="1:12" ht="15">
      <c r="A24" s="12" t="str">
        <f>+'Sch 7, p1'!A25</f>
        <v>New Jersey Resources</v>
      </c>
      <c r="B24" s="12"/>
      <c r="C24" s="11">
        <v>0.061</v>
      </c>
      <c r="D24" s="11">
        <v>0.069</v>
      </c>
      <c r="E24" s="11">
        <v>0.077</v>
      </c>
      <c r="F24" s="11">
        <v>0.078</v>
      </c>
      <c r="G24" s="11">
        <v>0.085</v>
      </c>
      <c r="H24" s="11">
        <f t="shared" si="0"/>
        <v>0.07400000000000001</v>
      </c>
      <c r="I24" s="11">
        <v>0.08</v>
      </c>
      <c r="J24" s="11">
        <v>0.08</v>
      </c>
      <c r="K24" s="11">
        <v>0.07</v>
      </c>
      <c r="L24" s="11">
        <f t="shared" si="1"/>
        <v>0.07666666666666667</v>
      </c>
    </row>
    <row r="25" spans="1:12" ht="15">
      <c r="A25" s="12" t="str">
        <f>+'Sch 7, p1'!A26</f>
        <v>NICOR</v>
      </c>
      <c r="B25" s="12"/>
      <c r="C25" s="11">
        <v>0.079</v>
      </c>
      <c r="D25" s="11">
        <v>0.065</v>
      </c>
      <c r="E25" s="11">
        <v>0.015</v>
      </c>
      <c r="F25" s="11">
        <v>0.021</v>
      </c>
      <c r="G25" s="11">
        <v>0.023</v>
      </c>
      <c r="H25" s="11">
        <f t="shared" si="0"/>
        <v>0.040600000000000004</v>
      </c>
      <c r="I25" s="11">
        <v>0.03</v>
      </c>
      <c r="J25" s="11">
        <v>0.03</v>
      </c>
      <c r="K25" s="11">
        <v>0.035</v>
      </c>
      <c r="L25" s="11">
        <f t="shared" si="1"/>
        <v>0.03166666666666667</v>
      </c>
    </row>
    <row r="26" spans="1:12" ht="15">
      <c r="A26" s="12" t="str">
        <f>+'Sch 7, p1'!A27</f>
        <v>Northwest Natural Gas</v>
      </c>
      <c r="B26" s="12"/>
      <c r="C26" s="11">
        <v>0.035</v>
      </c>
      <c r="D26" s="11">
        <v>0.019</v>
      </c>
      <c r="E26" s="11">
        <v>0.026</v>
      </c>
      <c r="F26" s="11">
        <v>0.027</v>
      </c>
      <c r="G26" s="11">
        <v>0.037</v>
      </c>
      <c r="H26" s="11">
        <f t="shared" si="0"/>
        <v>0.0288</v>
      </c>
      <c r="I26" s="11">
        <v>0.037</v>
      </c>
      <c r="J26" s="11">
        <v>0.037</v>
      </c>
      <c r="K26" s="11">
        <v>0.038</v>
      </c>
      <c r="L26" s="11">
        <f t="shared" si="1"/>
        <v>0.03733333333333333</v>
      </c>
    </row>
    <row r="27" spans="1:12" ht="15">
      <c r="A27" s="12" t="str">
        <f>+'Sch 7, p1'!A28</f>
        <v>Peoples Energy</v>
      </c>
      <c r="B27" s="12"/>
      <c r="C27" s="11">
        <v>0.05</v>
      </c>
      <c r="D27" s="11">
        <v>0.033</v>
      </c>
      <c r="E27" s="11">
        <v>0.034</v>
      </c>
      <c r="F27" s="11">
        <v>0.002</v>
      </c>
      <c r="G27" s="11">
        <v>0.005</v>
      </c>
      <c r="H27" s="11">
        <f t="shared" si="0"/>
        <v>0.024800000000000003</v>
      </c>
      <c r="I27" s="11">
        <v>0</v>
      </c>
      <c r="J27" s="11">
        <v>0</v>
      </c>
      <c r="K27" s="11">
        <v>0.025</v>
      </c>
      <c r="L27" s="11">
        <f t="shared" si="1"/>
        <v>0.008333333333333333</v>
      </c>
    </row>
    <row r="28" spans="1:12" ht="15">
      <c r="A28" s="12" t="str">
        <f>+'Sch 7, p1'!A29</f>
        <v>Piedmont Natural Gas</v>
      </c>
      <c r="B28" s="12"/>
      <c r="C28" s="11">
        <v>0.03</v>
      </c>
      <c r="D28" s="11">
        <v>0.017</v>
      </c>
      <c r="E28" s="11">
        <v>0.031</v>
      </c>
      <c r="F28" s="11">
        <v>0.037</v>
      </c>
      <c r="G28" s="11">
        <v>0.036</v>
      </c>
      <c r="H28" s="11">
        <f t="shared" si="0"/>
        <v>0.030199999999999998</v>
      </c>
      <c r="I28" s="11">
        <v>0.03</v>
      </c>
      <c r="J28" s="11">
        <v>0.035</v>
      </c>
      <c r="K28" s="11">
        <v>0.045</v>
      </c>
      <c r="L28" s="11">
        <f t="shared" si="1"/>
        <v>0.03666666666666667</v>
      </c>
    </row>
    <row r="29" spans="1:12" ht="15">
      <c r="A29" s="12" t="str">
        <f>+'Sch 7, p1'!A30</f>
        <v>South Jersey Industries</v>
      </c>
      <c r="B29" s="12"/>
      <c r="C29" s="11">
        <v>0.035</v>
      </c>
      <c r="D29" s="11">
        <v>0.047</v>
      </c>
      <c r="E29" s="11">
        <v>0.05</v>
      </c>
      <c r="F29" s="11">
        <v>0.059</v>
      </c>
      <c r="G29" s="11">
        <v>0.062</v>
      </c>
      <c r="H29" s="11">
        <f t="shared" si="0"/>
        <v>0.0506</v>
      </c>
      <c r="I29" s="11">
        <v>0.065</v>
      </c>
      <c r="J29" s="11">
        <v>0.065</v>
      </c>
      <c r="K29" s="11">
        <v>0.065</v>
      </c>
      <c r="L29" s="11">
        <f t="shared" si="1"/>
        <v>0.065</v>
      </c>
    </row>
    <row r="30" spans="1:12" ht="15">
      <c r="A30" s="12" t="str">
        <f>+'Sch 7, p1'!A31</f>
        <v>Southwest Gas</v>
      </c>
      <c r="B30" s="12"/>
      <c r="C30" s="11">
        <v>0.019</v>
      </c>
      <c r="D30" s="11">
        <v>0.019</v>
      </c>
      <c r="E30" s="11">
        <v>0.017</v>
      </c>
      <c r="F30" s="11">
        <v>0.043</v>
      </c>
      <c r="G30" s="11">
        <v>0.022</v>
      </c>
      <c r="H30" s="11">
        <f t="shared" si="0"/>
        <v>0.024</v>
      </c>
      <c r="I30" s="11">
        <v>0.045</v>
      </c>
      <c r="J30" s="11">
        <v>0.055</v>
      </c>
      <c r="K30" s="11">
        <v>0.065</v>
      </c>
      <c r="L30" s="11">
        <f t="shared" si="1"/>
        <v>0.055</v>
      </c>
    </row>
    <row r="31" spans="1:12" ht="15">
      <c r="A31" s="12" t="str">
        <f>+'Sch 7, p1'!A32</f>
        <v>UGI </v>
      </c>
      <c r="B31" s="12"/>
      <c r="C31" s="11">
        <v>0.058</v>
      </c>
      <c r="D31" s="11">
        <v>0.097</v>
      </c>
      <c r="E31" s="11">
        <v>0.092</v>
      </c>
      <c r="F31" s="11">
        <v>0.073</v>
      </c>
      <c r="G31" s="11">
        <v>0.115</v>
      </c>
      <c r="H31" s="11">
        <f t="shared" si="0"/>
        <v>0.087</v>
      </c>
      <c r="I31" s="11">
        <v>0.065</v>
      </c>
      <c r="J31" s="11">
        <v>0.09</v>
      </c>
      <c r="K31" s="11">
        <v>0.075</v>
      </c>
      <c r="L31" s="11">
        <f t="shared" si="1"/>
        <v>0.07666666666666666</v>
      </c>
    </row>
    <row r="32" spans="1:12" ht="15">
      <c r="A32" s="12" t="str">
        <f>+'Sch 7, p1'!A33</f>
        <v>WGL Holdings</v>
      </c>
      <c r="B32" s="12"/>
      <c r="C32" s="11">
        <v>0.038</v>
      </c>
      <c r="D32" s="11">
        <v>0</v>
      </c>
      <c r="E32" s="11">
        <v>0.062</v>
      </c>
      <c r="F32" s="11">
        <v>0.041</v>
      </c>
      <c r="G32" s="11">
        <v>0.046</v>
      </c>
      <c r="H32" s="11">
        <f t="shared" si="0"/>
        <v>0.0374</v>
      </c>
      <c r="I32" s="11">
        <v>0.025</v>
      </c>
      <c r="J32" s="11">
        <v>0.03</v>
      </c>
      <c r="K32" s="11">
        <v>0.045</v>
      </c>
      <c r="L32" s="11">
        <f t="shared" si="1"/>
        <v>0.03333333333333333</v>
      </c>
    </row>
    <row r="33" spans="1:12" ht="15">
      <c r="A33" s="60"/>
      <c r="B33" s="60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5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5.75">
      <c r="A35" s="12" t="s">
        <v>108</v>
      </c>
      <c r="B35" s="12"/>
      <c r="C35" s="11">
        <f aca="true" t="shared" si="2" ref="C35:L35">AVERAGE(C18:C32)</f>
        <v>0.04213333333333334</v>
      </c>
      <c r="D35" s="11">
        <f t="shared" si="2"/>
        <v>0.03933333333333334</v>
      </c>
      <c r="E35" s="11">
        <f t="shared" si="2"/>
        <v>0.04593333333333334</v>
      </c>
      <c r="F35" s="11">
        <f t="shared" si="2"/>
        <v>0.043533333333333334</v>
      </c>
      <c r="G35" s="11">
        <f t="shared" si="2"/>
        <v>0.04853333333333334</v>
      </c>
      <c r="H35" s="39">
        <f t="shared" si="2"/>
        <v>0.04389333333333333</v>
      </c>
      <c r="I35" s="11">
        <f t="shared" si="2"/>
        <v>0.0488</v>
      </c>
      <c r="J35" s="11">
        <f t="shared" si="2"/>
        <v>0.0548</v>
      </c>
      <c r="K35" s="11">
        <f t="shared" si="2"/>
        <v>0.05586666666666668</v>
      </c>
      <c r="L35" s="39">
        <f t="shared" si="2"/>
        <v>0.053155555555555546</v>
      </c>
    </row>
    <row r="36" spans="1:12" ht="15.75" thickBot="1">
      <c r="A36" s="63"/>
      <c r="B36" s="63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5.75" thickTop="1">
      <c r="A37" s="61"/>
      <c r="B37" s="61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9" t="str">
        <f>'Sch 7, p1'!A39</f>
        <v>Morin Electricity</v>
      </c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5.75">
      <c r="A39" s="59" t="str">
        <f>'Sch 7, p1'!A40</f>
        <v>Distribution Companies</v>
      </c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5">
      <c r="A40" s="12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>
      <c r="A41" s="12" t="str">
        <f>+'Sch 7, p1'!A42</f>
        <v>American Electric Power</v>
      </c>
      <c r="B41" s="12"/>
      <c r="C41" s="11">
        <v>0.034</v>
      </c>
      <c r="D41" s="11">
        <v>0.024</v>
      </c>
      <c r="E41" s="11">
        <v>0.045</v>
      </c>
      <c r="F41" s="11">
        <v>0.057</v>
      </c>
      <c r="G41" s="11">
        <v>0.052</v>
      </c>
      <c r="H41" s="11">
        <f aca="true" t="shared" si="3" ref="H41:H60">AVERAGE(C41:G41)</f>
        <v>0.0424</v>
      </c>
      <c r="I41" s="11">
        <v>0.05</v>
      </c>
      <c r="J41" s="11">
        <v>0.045</v>
      </c>
      <c r="K41" s="11">
        <v>0.045</v>
      </c>
      <c r="L41" s="11">
        <f aca="true" t="shared" si="4" ref="L41:L60">AVERAGE(I41:K41)</f>
        <v>0.04666666666666667</v>
      </c>
    </row>
    <row r="42" spans="1:12" ht="15">
      <c r="A42" s="12" t="str">
        <f>+'Sch 7, p1'!A43</f>
        <v>Ameren Corp.</v>
      </c>
      <c r="B42" s="12"/>
      <c r="C42" s="11">
        <v>0.036</v>
      </c>
      <c r="D42" s="11">
        <v>0.002</v>
      </c>
      <c r="E42" s="11">
        <v>0.022</v>
      </c>
      <c r="F42" s="11">
        <v>0.009</v>
      </c>
      <c r="G42" s="11">
        <v>0.017</v>
      </c>
      <c r="H42" s="11">
        <f t="shared" si="3"/>
        <v>0.0172</v>
      </c>
      <c r="I42" s="11">
        <v>0.015</v>
      </c>
      <c r="J42" s="11">
        <v>0.02</v>
      </c>
      <c r="K42" s="11">
        <v>0.02</v>
      </c>
      <c r="L42" s="11">
        <f t="shared" si="4"/>
        <v>0.018333333333333337</v>
      </c>
    </row>
    <row r="43" spans="1:12" ht="15">
      <c r="A43" s="12" t="str">
        <f>+'Sch 7, p1'!A44</f>
        <v>CenterPoint Energy</v>
      </c>
      <c r="B43" s="12"/>
      <c r="C43" s="11">
        <v>0.002</v>
      </c>
      <c r="D43" s="11">
        <v>0.043</v>
      </c>
      <c r="E43" s="11">
        <v>0.16</v>
      </c>
      <c r="F43" s="11">
        <v>0.075</v>
      </c>
      <c r="G43" s="11">
        <v>0.078</v>
      </c>
      <c r="H43" s="11">
        <f t="shared" si="3"/>
        <v>0.07160000000000001</v>
      </c>
      <c r="I43" s="11">
        <v>0.085</v>
      </c>
      <c r="J43" s="11">
        <v>0.085</v>
      </c>
      <c r="K43" s="11">
        <v>0.075</v>
      </c>
      <c r="L43" s="11">
        <f t="shared" si="4"/>
        <v>0.08166666666666667</v>
      </c>
    </row>
    <row r="44" spans="1:12" ht="15">
      <c r="A44" s="12" t="str">
        <f>+'Sch 7, p1'!A45</f>
        <v>CH Energy Group</v>
      </c>
      <c r="B44" s="12"/>
      <c r="C44" s="11">
        <v>0.031</v>
      </c>
      <c r="D44" s="11">
        <v>0</v>
      </c>
      <c r="E44" s="11">
        <v>0.02</v>
      </c>
      <c r="F44" s="11">
        <v>0.017</v>
      </c>
      <c r="G44" s="11">
        <v>0.02</v>
      </c>
      <c r="H44" s="11">
        <f t="shared" si="3"/>
        <v>0.0176</v>
      </c>
      <c r="I44" s="11">
        <v>0.015</v>
      </c>
      <c r="J44" s="11">
        <v>0.02</v>
      </c>
      <c r="K44" s="11">
        <v>0.03</v>
      </c>
      <c r="L44" s="11">
        <f t="shared" si="4"/>
        <v>0.021666666666666667</v>
      </c>
    </row>
    <row r="45" spans="1:12" ht="15">
      <c r="A45" s="12" t="str">
        <f>+'Sch 7, p1'!A46</f>
        <v>Consolidated Edison</v>
      </c>
      <c r="B45" s="12"/>
      <c r="C45" s="11">
        <v>0.038</v>
      </c>
      <c r="D45" s="11">
        <v>0.04</v>
      </c>
      <c r="E45" s="11">
        <v>0.029</v>
      </c>
      <c r="F45" s="11">
        <v>0.008</v>
      </c>
      <c r="G45" s="11">
        <v>0.026</v>
      </c>
      <c r="H45" s="11">
        <f t="shared" si="3"/>
        <v>0.028199999999999996</v>
      </c>
      <c r="I45" s="11">
        <v>0.02</v>
      </c>
      <c r="J45" s="11">
        <v>0.025</v>
      </c>
      <c r="K45" s="11">
        <v>0.025</v>
      </c>
      <c r="L45" s="11">
        <f t="shared" si="4"/>
        <v>0.023333333333333334</v>
      </c>
    </row>
    <row r="46" spans="1:12" ht="15">
      <c r="A46" s="12" t="str">
        <f>+'Sch 7, p1'!A47</f>
        <v>Constellation Energy</v>
      </c>
      <c r="B46" s="12"/>
      <c r="C46" s="11">
        <v>0.06</v>
      </c>
      <c r="D46" s="11">
        <v>0.057</v>
      </c>
      <c r="E46" s="11">
        <v>0.07</v>
      </c>
      <c r="F46" s="11">
        <v>0.077</v>
      </c>
      <c r="G46" s="11">
        <v>0.077</v>
      </c>
      <c r="H46" s="11">
        <f t="shared" si="3"/>
        <v>0.06820000000000001</v>
      </c>
      <c r="I46" s="11">
        <v>0.08</v>
      </c>
      <c r="J46" s="11">
        <v>0.105</v>
      </c>
      <c r="K46" s="11">
        <v>0.12</v>
      </c>
      <c r="L46" s="11">
        <f t="shared" si="4"/>
        <v>0.10166666666666667</v>
      </c>
    </row>
    <row r="47" spans="1:12" ht="15">
      <c r="A47" s="12" t="str">
        <f>+'Sch 7, p1'!A48</f>
        <v>Duquesne Light Holdings</v>
      </c>
      <c r="B47" s="12"/>
      <c r="C47" s="11">
        <v>0</v>
      </c>
      <c r="D47" s="11">
        <v>0.015</v>
      </c>
      <c r="E47" s="11">
        <v>0.025</v>
      </c>
      <c r="F47" s="11">
        <v>0.054</v>
      </c>
      <c r="G47" s="11">
        <v>0.045</v>
      </c>
      <c r="H47" s="11">
        <f t="shared" si="3"/>
        <v>0.027800000000000002</v>
      </c>
      <c r="I47" s="11">
        <v>0</v>
      </c>
      <c r="J47" s="11">
        <v>0.02</v>
      </c>
      <c r="K47" s="11">
        <v>0.045</v>
      </c>
      <c r="L47" s="11">
        <f t="shared" si="4"/>
        <v>0.021666666666666667</v>
      </c>
    </row>
    <row r="48" spans="1:12" ht="15">
      <c r="A48" s="12" t="str">
        <f>+'Sch 7, p1'!A49</f>
        <v>Energy East Corp.</v>
      </c>
      <c r="B48" s="12"/>
      <c r="C48" s="11">
        <v>0.071</v>
      </c>
      <c r="D48" s="11">
        <v>0.029</v>
      </c>
      <c r="E48" s="11">
        <v>0.031</v>
      </c>
      <c r="F48" s="11">
        <v>0.038</v>
      </c>
      <c r="G48" s="11">
        <v>0.037</v>
      </c>
      <c r="H48" s="11">
        <f t="shared" si="3"/>
        <v>0.0412</v>
      </c>
      <c r="I48" s="11">
        <v>0.02</v>
      </c>
      <c r="J48" s="11">
        <v>0.02</v>
      </c>
      <c r="K48" s="11">
        <v>0.03</v>
      </c>
      <c r="L48" s="11">
        <f t="shared" si="4"/>
        <v>0.023333333333333334</v>
      </c>
    </row>
    <row r="49" spans="1:12" ht="15">
      <c r="A49" s="12" t="str">
        <f>+'Sch 7, p1'!A50</f>
        <v>Exelon</v>
      </c>
      <c r="B49" s="12"/>
      <c r="C49" s="11">
        <v>0.101</v>
      </c>
      <c r="D49" s="11">
        <v>0.128</v>
      </c>
      <c r="E49" s="11">
        <v>0.115</v>
      </c>
      <c r="F49" s="11">
        <v>0.107</v>
      </c>
      <c r="G49" s="11">
        <v>0.117</v>
      </c>
      <c r="H49" s="11">
        <f t="shared" si="3"/>
        <v>0.1136</v>
      </c>
      <c r="I49" s="11">
        <v>0.1</v>
      </c>
      <c r="J49" s="11">
        <v>0.105</v>
      </c>
      <c r="K49" s="11">
        <v>0.105</v>
      </c>
      <c r="L49" s="11">
        <f t="shared" si="4"/>
        <v>0.10333333333333333</v>
      </c>
    </row>
    <row r="50" spans="1:12" ht="15">
      <c r="A50" s="12" t="str">
        <f>+'Sch 7, p1'!A51</f>
        <v>FirstEnergy Corp.</v>
      </c>
      <c r="B50" s="12"/>
      <c r="C50" s="11">
        <v>0.043</v>
      </c>
      <c r="D50" s="11">
        <v>0.043</v>
      </c>
      <c r="E50" s="11">
        <v>0</v>
      </c>
      <c r="F50" s="11">
        <v>0.049</v>
      </c>
      <c r="G50" s="11">
        <v>0.042</v>
      </c>
      <c r="H50" s="11">
        <f t="shared" si="3"/>
        <v>0.0354</v>
      </c>
      <c r="I50" s="11">
        <v>0.07</v>
      </c>
      <c r="J50" s="11">
        <v>0.07</v>
      </c>
      <c r="K50" s="11">
        <v>0.055</v>
      </c>
      <c r="L50" s="11">
        <f t="shared" si="4"/>
        <v>0.065</v>
      </c>
    </row>
    <row r="51" spans="1:12" ht="15">
      <c r="A51" s="12" t="str">
        <f>+'Sch 7, p1'!A52</f>
        <v>Northeast Utilities</v>
      </c>
      <c r="B51" s="12"/>
      <c r="C51" s="11">
        <v>0.056</v>
      </c>
      <c r="D51" s="11">
        <v>0.032</v>
      </c>
      <c r="E51" s="11">
        <v>0.037</v>
      </c>
      <c r="F51" s="11">
        <v>0.016</v>
      </c>
      <c r="G51" s="11">
        <v>0.03</v>
      </c>
      <c r="H51" s="11">
        <f t="shared" si="3"/>
        <v>0.0342</v>
      </c>
      <c r="I51" s="11">
        <v>0.035</v>
      </c>
      <c r="J51" s="11">
        <v>0.035</v>
      </c>
      <c r="K51" s="11">
        <v>0.05</v>
      </c>
      <c r="L51" s="11">
        <f t="shared" si="4"/>
        <v>0.04</v>
      </c>
    </row>
    <row r="52" spans="1:12" ht="15">
      <c r="A52" s="12" t="str">
        <f>+'Sch 7, p1'!A53</f>
        <v>NSTAR</v>
      </c>
      <c r="B52" s="12"/>
      <c r="C52" s="11">
        <v>0.05</v>
      </c>
      <c r="D52" s="11">
        <v>0.052</v>
      </c>
      <c r="E52" s="11">
        <v>0.052</v>
      </c>
      <c r="F52" s="11">
        <v>0.049</v>
      </c>
      <c r="G52" s="11">
        <v>0.047</v>
      </c>
      <c r="H52" s="11">
        <f t="shared" si="3"/>
        <v>0.05</v>
      </c>
      <c r="I52" s="11">
        <v>0.045</v>
      </c>
      <c r="J52" s="11">
        <v>0.05</v>
      </c>
      <c r="K52" s="11">
        <v>0.055</v>
      </c>
      <c r="L52" s="11">
        <f t="shared" si="4"/>
        <v>0.049999999999999996</v>
      </c>
    </row>
    <row r="53" spans="1:12" ht="15">
      <c r="A53" s="12" t="str">
        <f>+'Sch 7, p1'!A54</f>
        <v>PEPCO Holdings</v>
      </c>
      <c r="B53" s="12"/>
      <c r="C53" s="11">
        <v>0.126</v>
      </c>
      <c r="D53" s="11">
        <v>0.053</v>
      </c>
      <c r="E53" s="11">
        <v>0.02</v>
      </c>
      <c r="F53" s="11">
        <v>0.025</v>
      </c>
      <c r="G53" s="11">
        <v>0.024</v>
      </c>
      <c r="H53" s="11">
        <f t="shared" si="3"/>
        <v>0.04959999999999999</v>
      </c>
      <c r="I53" s="11">
        <v>0.03</v>
      </c>
      <c r="J53" s="11">
        <v>0.03</v>
      </c>
      <c r="K53" s="11">
        <v>0.045</v>
      </c>
      <c r="L53" s="11">
        <f t="shared" si="4"/>
        <v>0.034999999999999996</v>
      </c>
    </row>
    <row r="54" spans="1:12" ht="15">
      <c r="A54" s="12" t="str">
        <f>+'Sch 7, p1'!A55</f>
        <v>PPL Corp</v>
      </c>
      <c r="B54" s="12"/>
      <c r="C54" s="11">
        <v>0.202</v>
      </c>
      <c r="D54" s="11">
        <v>0.124</v>
      </c>
      <c r="E54" s="11">
        <v>0.117</v>
      </c>
      <c r="F54" s="11">
        <v>0.093</v>
      </c>
      <c r="G54" s="11">
        <v>0.088</v>
      </c>
      <c r="H54" s="11">
        <f t="shared" si="3"/>
        <v>0.1248</v>
      </c>
      <c r="I54" s="11">
        <v>0.095</v>
      </c>
      <c r="J54" s="11">
        <v>0.085</v>
      </c>
      <c r="K54" s="11">
        <v>0.095</v>
      </c>
      <c r="L54" s="11">
        <f t="shared" si="4"/>
        <v>0.09166666666666667</v>
      </c>
    </row>
    <row r="55" spans="1:12" ht="15">
      <c r="A55" s="12" t="str">
        <f>+'Sch 7, p1'!A56</f>
        <v>Public Service Enter. Group</v>
      </c>
      <c r="B55" s="12"/>
      <c r="C55" s="11">
        <v>0.078</v>
      </c>
      <c r="D55" s="11">
        <v>0.083</v>
      </c>
      <c r="E55" s="11">
        <v>0.065</v>
      </c>
      <c r="F55" s="11">
        <v>0.035</v>
      </c>
      <c r="G55" s="11">
        <v>0.052</v>
      </c>
      <c r="H55" s="11">
        <f t="shared" si="3"/>
        <v>0.0626</v>
      </c>
      <c r="I55" s="11">
        <v>0.05</v>
      </c>
      <c r="J55" s="11">
        <v>0.06</v>
      </c>
      <c r="K55" s="11">
        <v>0.055</v>
      </c>
      <c r="L55" s="11">
        <f t="shared" si="4"/>
        <v>0.055</v>
      </c>
    </row>
    <row r="56" spans="1:12" ht="15">
      <c r="A56" s="12" t="str">
        <f>+'Sch 7, p1'!A57</f>
        <v>SCANA Corp.</v>
      </c>
      <c r="B56" s="12"/>
      <c r="C56" s="11">
        <v>0.046</v>
      </c>
      <c r="D56" s="11">
        <v>0.055</v>
      </c>
      <c r="E56" s="11">
        <v>0.055</v>
      </c>
      <c r="F56" s="11">
        <v>0.056</v>
      </c>
      <c r="G56" s="11">
        <v>0.053</v>
      </c>
      <c r="H56" s="11">
        <f t="shared" si="3"/>
        <v>0.053000000000000005</v>
      </c>
      <c r="I56" s="11">
        <v>0.045</v>
      </c>
      <c r="J56" s="11">
        <v>0.045</v>
      </c>
      <c r="K56" s="11">
        <v>0.045</v>
      </c>
      <c r="L56" s="11">
        <f t="shared" si="4"/>
        <v>0.045000000000000005</v>
      </c>
    </row>
    <row r="57" spans="1:12" ht="15">
      <c r="A57" s="12" t="str">
        <f>+'Sch 7, p1'!A58</f>
        <v>Sempra Energy</v>
      </c>
      <c r="B57" s="12"/>
      <c r="C57" s="11">
        <v>0.119</v>
      </c>
      <c r="D57" s="11">
        <v>0.131</v>
      </c>
      <c r="E57" s="11">
        <v>0.113</v>
      </c>
      <c r="F57" s="11">
        <v>0.149</v>
      </c>
      <c r="G57" s="11">
        <v>0.101</v>
      </c>
      <c r="H57" s="11">
        <f t="shared" si="3"/>
        <v>0.1226</v>
      </c>
      <c r="I57" s="11">
        <v>0.09</v>
      </c>
      <c r="J57" s="11">
        <v>0.085</v>
      </c>
      <c r="K57" s="11">
        <v>0.09</v>
      </c>
      <c r="L57" s="11">
        <f t="shared" si="4"/>
        <v>0.08833333333333333</v>
      </c>
    </row>
    <row r="58" spans="1:12" ht="15">
      <c r="A58" s="12" t="str">
        <f>+'Sch 7, p1'!A59</f>
        <v>TXU Corp.</v>
      </c>
      <c r="B58" s="12"/>
      <c r="C58" s="11">
        <v>0.026</v>
      </c>
      <c r="D58" s="11">
        <v>0</v>
      </c>
      <c r="E58" s="11">
        <v>0.094</v>
      </c>
      <c r="F58" s="11">
        <v>0</v>
      </c>
      <c r="G58" s="11">
        <v>0</v>
      </c>
      <c r="H58" s="11">
        <f t="shared" si="3"/>
        <v>0.024</v>
      </c>
      <c r="I58" s="11">
        <v>0</v>
      </c>
      <c r="J58" s="11">
        <v>0</v>
      </c>
      <c r="K58" s="11">
        <v>0.17</v>
      </c>
      <c r="L58" s="11">
        <f t="shared" si="4"/>
        <v>0.05666666666666667</v>
      </c>
    </row>
    <row r="59" spans="1:12" ht="15">
      <c r="A59" s="12" t="str">
        <f>+'Sch 7, p1'!A60</f>
        <v>Vectren Corp.</v>
      </c>
      <c r="B59" s="12"/>
      <c r="C59" s="11">
        <v>0.003</v>
      </c>
      <c r="D59" s="11">
        <v>0.048</v>
      </c>
      <c r="E59" s="11">
        <v>0.03</v>
      </c>
      <c r="F59" s="11">
        <v>0.019</v>
      </c>
      <c r="G59" s="11">
        <v>0.04</v>
      </c>
      <c r="H59" s="11">
        <f t="shared" si="3"/>
        <v>0.028000000000000004</v>
      </c>
      <c r="I59" s="11">
        <v>0.04</v>
      </c>
      <c r="J59" s="11">
        <v>0.04</v>
      </c>
      <c r="K59" s="11">
        <v>0.035</v>
      </c>
      <c r="L59" s="11">
        <f t="shared" si="4"/>
        <v>0.03833333333333334</v>
      </c>
    </row>
    <row r="60" spans="1:12" ht="15">
      <c r="A60" s="12" t="str">
        <f>+'Sch 7, p1'!A61</f>
        <v>Wisconsin Energy</v>
      </c>
      <c r="B60" s="12"/>
      <c r="C60" s="11">
        <v>0.06</v>
      </c>
      <c r="D60" s="11">
        <v>0.083</v>
      </c>
      <c r="E60" s="11">
        <v>0.074</v>
      </c>
      <c r="F60" s="11">
        <v>0.049</v>
      </c>
      <c r="G60" s="11">
        <v>0.075</v>
      </c>
      <c r="H60" s="11">
        <f t="shared" si="3"/>
        <v>0.06820000000000001</v>
      </c>
      <c r="I60" s="11">
        <v>0.07</v>
      </c>
      <c r="J60" s="11">
        <v>0.07</v>
      </c>
      <c r="K60" s="11">
        <v>0.07</v>
      </c>
      <c r="L60" s="11">
        <f t="shared" si="4"/>
        <v>0.07</v>
      </c>
    </row>
    <row r="61" spans="1:12" ht="15">
      <c r="A61" s="60"/>
      <c r="B61" s="60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5">
      <c r="A62" s="12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12" t="str">
        <f>+A35</f>
        <v>Average</v>
      </c>
      <c r="B63" s="12"/>
      <c r="C63" s="11">
        <f aca="true" t="shared" si="5" ref="C63:L63">AVERAGE(C41:C60)</f>
        <v>0.0591</v>
      </c>
      <c r="D63" s="11">
        <f t="shared" si="5"/>
        <v>0.0521</v>
      </c>
      <c r="E63" s="11">
        <f t="shared" si="5"/>
        <v>0.05870000000000001</v>
      </c>
      <c r="F63" s="11">
        <f t="shared" si="5"/>
        <v>0.04910000000000001</v>
      </c>
      <c r="G63" s="11">
        <f t="shared" si="5"/>
        <v>0.051050000000000005</v>
      </c>
      <c r="H63" s="39">
        <f t="shared" si="5"/>
        <v>0.054010000000000016</v>
      </c>
      <c r="I63" s="11">
        <f t="shared" si="5"/>
        <v>0.04775</v>
      </c>
      <c r="J63" s="11">
        <f t="shared" si="5"/>
        <v>0.05075</v>
      </c>
      <c r="K63" s="11">
        <f t="shared" si="5"/>
        <v>0.06300000000000001</v>
      </c>
      <c r="L63" s="39">
        <f t="shared" si="5"/>
        <v>0.053833333333333344</v>
      </c>
    </row>
    <row r="64" spans="1:12" ht="15.75" thickBot="1">
      <c r="A64" s="63"/>
      <c r="B64" s="63"/>
      <c r="C64" s="57"/>
      <c r="D64" s="57"/>
      <c r="E64" s="57"/>
      <c r="F64" s="57"/>
      <c r="G64" s="57"/>
      <c r="H64" s="57"/>
      <c r="I64" s="57"/>
      <c r="J64" s="57"/>
      <c r="K64" s="57"/>
      <c r="L64" s="55"/>
    </row>
    <row r="65" spans="1:12" ht="15.75" thickTop="1">
      <c r="A65" s="12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59" t="str">
        <f>+'Sch 7, p1'!A67</f>
        <v>Morin Natural Gas Utilities</v>
      </c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">
      <c r="A67" s="12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">
      <c r="A68" s="12" t="str">
        <f>+'Sch 7, p1'!A69</f>
        <v>AGL Resources</v>
      </c>
      <c r="B68" s="12"/>
      <c r="C68" s="11">
        <f aca="true" t="shared" si="6" ref="C68:G69">+C18</f>
        <v>0.042</v>
      </c>
      <c r="D68" s="11">
        <f t="shared" si="6"/>
        <v>0.07</v>
      </c>
      <c r="E68" s="11">
        <f t="shared" si="6"/>
        <v>0.066</v>
      </c>
      <c r="F68" s="11">
        <f t="shared" si="6"/>
        <v>0.056</v>
      </c>
      <c r="G68" s="11">
        <f t="shared" si="6"/>
        <v>0.062</v>
      </c>
      <c r="H68" s="11">
        <f aca="true" t="shared" si="7" ref="H68:H79">AVERAGE(C68:G68)</f>
        <v>0.05920000000000001</v>
      </c>
      <c r="I68" s="11">
        <f aca="true" t="shared" si="8" ref="I68:K69">+I18</f>
        <v>0.055</v>
      </c>
      <c r="J68" s="11">
        <f t="shared" si="8"/>
        <v>0.055</v>
      </c>
      <c r="K68" s="11">
        <f t="shared" si="8"/>
        <v>0.05</v>
      </c>
      <c r="L68" s="11">
        <f aca="true" t="shared" si="9" ref="L68:L79">AVERAGE(I68:K68)</f>
        <v>0.05333333333333334</v>
      </c>
    </row>
    <row r="69" spans="1:12" ht="15">
      <c r="A69" s="12" t="str">
        <f>+'Sch 7, p1'!A70</f>
        <v>Atmos Energy</v>
      </c>
      <c r="B69" s="12"/>
      <c r="C69" s="11">
        <f t="shared" si="6"/>
        <v>0.021</v>
      </c>
      <c r="D69" s="11">
        <f t="shared" si="6"/>
        <v>0.019</v>
      </c>
      <c r="E69" s="11">
        <f t="shared" si="6"/>
        <v>0.028</v>
      </c>
      <c r="F69" s="11">
        <f t="shared" si="6"/>
        <v>0.017</v>
      </c>
      <c r="G69" s="11">
        <f t="shared" si="6"/>
        <v>0.023</v>
      </c>
      <c r="H69" s="11">
        <f t="shared" si="7"/>
        <v>0.0216</v>
      </c>
      <c r="I69" s="11">
        <f t="shared" si="8"/>
        <v>0.025</v>
      </c>
      <c r="J69" s="11">
        <f t="shared" si="8"/>
        <v>0.03</v>
      </c>
      <c r="K69" s="11">
        <f t="shared" si="8"/>
        <v>0.05</v>
      </c>
      <c r="L69" s="11">
        <f t="shared" si="9"/>
        <v>0.035</v>
      </c>
    </row>
    <row r="70" spans="1:12" ht="15">
      <c r="A70" s="12" t="str">
        <f>+'Sch 7, p1'!A71</f>
        <v>KeySpan Corp.</v>
      </c>
      <c r="B70" s="12"/>
      <c r="C70" s="11">
        <f aca="true" t="shared" si="10" ref="C70:G72">+C22</f>
        <v>0</v>
      </c>
      <c r="D70" s="11">
        <f t="shared" si="10"/>
        <v>0.048</v>
      </c>
      <c r="E70" s="11">
        <f t="shared" si="10"/>
        <v>0.039</v>
      </c>
      <c r="F70" s="11">
        <f t="shared" si="10"/>
        <v>0.027</v>
      </c>
      <c r="G70" s="11">
        <f t="shared" si="10"/>
        <v>0.02</v>
      </c>
      <c r="H70" s="11">
        <f t="shared" si="7"/>
        <v>0.026799999999999997</v>
      </c>
      <c r="I70" s="11">
        <f aca="true" t="shared" si="11" ref="I70:K72">+I22</f>
        <v>0.01</v>
      </c>
      <c r="J70" s="11">
        <f t="shared" si="11"/>
        <v>0.025</v>
      </c>
      <c r="K70" s="11">
        <f t="shared" si="11"/>
        <v>0.025</v>
      </c>
      <c r="L70" s="11">
        <f t="shared" si="9"/>
        <v>0.02</v>
      </c>
    </row>
    <row r="71" spans="1:12" ht="15">
      <c r="A71" s="12" t="str">
        <f>+'Sch 7, p1'!A72</f>
        <v>Laclede Group</v>
      </c>
      <c r="B71" s="12"/>
      <c r="C71" s="11">
        <f t="shared" si="10"/>
        <v>0.018</v>
      </c>
      <c r="D71" s="11">
        <f t="shared" si="10"/>
        <v>0</v>
      </c>
      <c r="E71" s="11">
        <f t="shared" si="10"/>
        <v>0.031</v>
      </c>
      <c r="F71" s="11">
        <f t="shared" si="10"/>
        <v>0.027</v>
      </c>
      <c r="G71" s="11">
        <f t="shared" si="10"/>
        <v>0.031</v>
      </c>
      <c r="H71" s="11">
        <f t="shared" si="7"/>
        <v>0.0214</v>
      </c>
      <c r="I71" s="11">
        <f t="shared" si="11"/>
        <v>0.05</v>
      </c>
      <c r="J71" s="11">
        <f t="shared" si="11"/>
        <v>0.04</v>
      </c>
      <c r="K71" s="11">
        <f t="shared" si="11"/>
        <v>0.055</v>
      </c>
      <c r="L71" s="11">
        <f t="shared" si="9"/>
        <v>0.04833333333333333</v>
      </c>
    </row>
    <row r="72" spans="1:12" ht="15">
      <c r="A72" s="12" t="str">
        <f>+'Sch 7, p1'!A73</f>
        <v>New Jersey Resources</v>
      </c>
      <c r="B72" s="12"/>
      <c r="C72" s="11">
        <f t="shared" si="10"/>
        <v>0.061</v>
      </c>
      <c r="D72" s="11">
        <f t="shared" si="10"/>
        <v>0.069</v>
      </c>
      <c r="E72" s="11">
        <f t="shared" si="10"/>
        <v>0.077</v>
      </c>
      <c r="F72" s="11">
        <f t="shared" si="10"/>
        <v>0.078</v>
      </c>
      <c r="G72" s="11">
        <f t="shared" si="10"/>
        <v>0.085</v>
      </c>
      <c r="H72" s="11">
        <f t="shared" si="7"/>
        <v>0.07400000000000001</v>
      </c>
      <c r="I72" s="11">
        <f t="shared" si="11"/>
        <v>0.08</v>
      </c>
      <c r="J72" s="11">
        <f t="shared" si="11"/>
        <v>0.08</v>
      </c>
      <c r="K72" s="11">
        <f t="shared" si="11"/>
        <v>0.07</v>
      </c>
      <c r="L72" s="11">
        <f t="shared" si="9"/>
        <v>0.07666666666666667</v>
      </c>
    </row>
    <row r="73" spans="1:12" ht="15">
      <c r="A73" s="12" t="str">
        <f>+'Sch 7, p1'!A74</f>
        <v>Northwest Natural Gas</v>
      </c>
      <c r="B73" s="12"/>
      <c r="C73" s="11">
        <f aca="true" t="shared" si="12" ref="C73:G76">+C26</f>
        <v>0.035</v>
      </c>
      <c r="D73" s="11">
        <f t="shared" si="12"/>
        <v>0.019</v>
      </c>
      <c r="E73" s="11">
        <f t="shared" si="12"/>
        <v>0.026</v>
      </c>
      <c r="F73" s="11">
        <f t="shared" si="12"/>
        <v>0.027</v>
      </c>
      <c r="G73" s="11">
        <f t="shared" si="12"/>
        <v>0.037</v>
      </c>
      <c r="H73" s="11">
        <f t="shared" si="7"/>
        <v>0.0288</v>
      </c>
      <c r="I73" s="11">
        <f aca="true" t="shared" si="13" ref="I73:K76">+I26</f>
        <v>0.037</v>
      </c>
      <c r="J73" s="11">
        <f t="shared" si="13"/>
        <v>0.037</v>
      </c>
      <c r="K73" s="11">
        <f t="shared" si="13"/>
        <v>0.038</v>
      </c>
      <c r="L73" s="11">
        <f t="shared" si="9"/>
        <v>0.03733333333333333</v>
      </c>
    </row>
    <row r="74" spans="1:12" ht="15">
      <c r="A74" s="12" t="str">
        <f>+'Sch 7, p1'!A75</f>
        <v>Peoples Energy</v>
      </c>
      <c r="B74" s="12"/>
      <c r="C74" s="11">
        <f t="shared" si="12"/>
        <v>0.05</v>
      </c>
      <c r="D74" s="11">
        <f t="shared" si="12"/>
        <v>0.033</v>
      </c>
      <c r="E74" s="11">
        <f t="shared" si="12"/>
        <v>0.034</v>
      </c>
      <c r="F74" s="11">
        <f t="shared" si="12"/>
        <v>0.002</v>
      </c>
      <c r="G74" s="11">
        <f t="shared" si="12"/>
        <v>0.005</v>
      </c>
      <c r="H74" s="11">
        <f t="shared" si="7"/>
        <v>0.024800000000000003</v>
      </c>
      <c r="I74" s="11">
        <f t="shared" si="13"/>
        <v>0</v>
      </c>
      <c r="J74" s="11">
        <f t="shared" si="13"/>
        <v>0</v>
      </c>
      <c r="K74" s="11">
        <f t="shared" si="13"/>
        <v>0.025</v>
      </c>
      <c r="L74" s="11">
        <f t="shared" si="9"/>
        <v>0.008333333333333333</v>
      </c>
    </row>
    <row r="75" spans="1:12" ht="15">
      <c r="A75" s="12" t="str">
        <f>+'Sch 7, p1'!A76</f>
        <v>Piedmont Natural Gas</v>
      </c>
      <c r="B75" s="12"/>
      <c r="C75" s="11">
        <f t="shared" si="12"/>
        <v>0.03</v>
      </c>
      <c r="D75" s="11">
        <f t="shared" si="12"/>
        <v>0.017</v>
      </c>
      <c r="E75" s="11">
        <f t="shared" si="12"/>
        <v>0.031</v>
      </c>
      <c r="F75" s="11">
        <f t="shared" si="12"/>
        <v>0.037</v>
      </c>
      <c r="G75" s="11">
        <f t="shared" si="12"/>
        <v>0.036</v>
      </c>
      <c r="H75" s="11">
        <f t="shared" si="7"/>
        <v>0.030199999999999998</v>
      </c>
      <c r="I75" s="11">
        <f t="shared" si="13"/>
        <v>0.03</v>
      </c>
      <c r="J75" s="11">
        <f t="shared" si="13"/>
        <v>0.035</v>
      </c>
      <c r="K75" s="11">
        <f t="shared" si="13"/>
        <v>0.045</v>
      </c>
      <c r="L75" s="11">
        <f t="shared" si="9"/>
        <v>0.03666666666666667</v>
      </c>
    </row>
    <row r="76" spans="1:12" ht="15">
      <c r="A76" s="12" t="str">
        <f>+'Sch 7, p1'!A77</f>
        <v>South Jersey Industries</v>
      </c>
      <c r="B76" s="12"/>
      <c r="C76" s="11">
        <f t="shared" si="12"/>
        <v>0.035</v>
      </c>
      <c r="D76" s="11">
        <f t="shared" si="12"/>
        <v>0.047</v>
      </c>
      <c r="E76" s="11">
        <f t="shared" si="12"/>
        <v>0.05</v>
      </c>
      <c r="F76" s="11">
        <f t="shared" si="12"/>
        <v>0.059</v>
      </c>
      <c r="G76" s="11">
        <f t="shared" si="12"/>
        <v>0.062</v>
      </c>
      <c r="H76" s="11">
        <f t="shared" si="7"/>
        <v>0.0506</v>
      </c>
      <c r="I76" s="11">
        <f t="shared" si="13"/>
        <v>0.065</v>
      </c>
      <c r="J76" s="11">
        <f t="shared" si="13"/>
        <v>0.065</v>
      </c>
      <c r="K76" s="11">
        <f t="shared" si="13"/>
        <v>0.065</v>
      </c>
      <c r="L76" s="11">
        <f t="shared" si="9"/>
        <v>0.065</v>
      </c>
    </row>
    <row r="77" spans="1:12" ht="15">
      <c r="A77" s="12" t="str">
        <f>+'Sch 7, p1'!A78</f>
        <v>Southwest Gas</v>
      </c>
      <c r="B77" s="12"/>
      <c r="C77" s="11">
        <f aca="true" t="shared" si="14" ref="C77:G79">+C30</f>
        <v>0.019</v>
      </c>
      <c r="D77" s="11">
        <f t="shared" si="14"/>
        <v>0.019</v>
      </c>
      <c r="E77" s="11">
        <f t="shared" si="14"/>
        <v>0.017</v>
      </c>
      <c r="F77" s="11">
        <f t="shared" si="14"/>
        <v>0.043</v>
      </c>
      <c r="G77" s="11">
        <f t="shared" si="14"/>
        <v>0.022</v>
      </c>
      <c r="H77" s="11">
        <f t="shared" si="7"/>
        <v>0.024</v>
      </c>
      <c r="I77" s="11">
        <f aca="true" t="shared" si="15" ref="I77:K79">+I30</f>
        <v>0.045</v>
      </c>
      <c r="J77" s="11">
        <f t="shared" si="15"/>
        <v>0.055</v>
      </c>
      <c r="K77" s="11">
        <f t="shared" si="15"/>
        <v>0.065</v>
      </c>
      <c r="L77" s="11">
        <f t="shared" si="9"/>
        <v>0.055</v>
      </c>
    </row>
    <row r="78" spans="1:12" ht="15">
      <c r="A78" s="12" t="str">
        <f>+'Sch 7, p1'!A79</f>
        <v>UGI Corp.</v>
      </c>
      <c r="B78" s="12"/>
      <c r="C78" s="11">
        <f t="shared" si="14"/>
        <v>0.058</v>
      </c>
      <c r="D78" s="11">
        <f t="shared" si="14"/>
        <v>0.097</v>
      </c>
      <c r="E78" s="11">
        <f t="shared" si="14"/>
        <v>0.092</v>
      </c>
      <c r="F78" s="11">
        <f t="shared" si="14"/>
        <v>0.073</v>
      </c>
      <c r="G78" s="11">
        <f t="shared" si="14"/>
        <v>0.115</v>
      </c>
      <c r="H78" s="11">
        <f t="shared" si="7"/>
        <v>0.087</v>
      </c>
      <c r="I78" s="11">
        <f t="shared" si="15"/>
        <v>0.065</v>
      </c>
      <c r="J78" s="11">
        <f t="shared" si="15"/>
        <v>0.09</v>
      </c>
      <c r="K78" s="11">
        <f t="shared" si="15"/>
        <v>0.075</v>
      </c>
      <c r="L78" s="11">
        <f t="shared" si="9"/>
        <v>0.07666666666666666</v>
      </c>
    </row>
    <row r="79" spans="1:12" ht="15">
      <c r="A79" s="12" t="str">
        <f>+'Sch 7, p1'!A80</f>
        <v>WGL Corp.</v>
      </c>
      <c r="B79" s="12"/>
      <c r="C79" s="11">
        <f t="shared" si="14"/>
        <v>0.038</v>
      </c>
      <c r="D79" s="11">
        <f t="shared" si="14"/>
        <v>0</v>
      </c>
      <c r="E79" s="11">
        <f t="shared" si="14"/>
        <v>0.062</v>
      </c>
      <c r="F79" s="11">
        <f t="shared" si="14"/>
        <v>0.041</v>
      </c>
      <c r="G79" s="11">
        <f t="shared" si="14"/>
        <v>0.046</v>
      </c>
      <c r="H79" s="11">
        <f t="shared" si="7"/>
        <v>0.0374</v>
      </c>
      <c r="I79" s="11">
        <f t="shared" si="15"/>
        <v>0.025</v>
      </c>
      <c r="J79" s="11">
        <f t="shared" si="15"/>
        <v>0.03</v>
      </c>
      <c r="K79" s="11">
        <f t="shared" si="15"/>
        <v>0.045</v>
      </c>
      <c r="L79" s="11">
        <f t="shared" si="9"/>
        <v>0.03333333333333333</v>
      </c>
    </row>
    <row r="80" spans="1:12" ht="15">
      <c r="A80" s="60"/>
      <c r="B80" s="60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 ht="15">
      <c r="A81" s="12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12" t="str">
        <f>+'Sch 7, p1'!A83</f>
        <v>Average</v>
      </c>
      <c r="B82" s="12"/>
      <c r="C82" s="11">
        <f aca="true" t="shared" si="16" ref="C82:L82">AVERAGE(C68:C79)</f>
        <v>0.03391666666666667</v>
      </c>
      <c r="D82" s="11">
        <f t="shared" si="16"/>
        <v>0.036500000000000005</v>
      </c>
      <c r="E82" s="11">
        <f t="shared" si="16"/>
        <v>0.046083333333333344</v>
      </c>
      <c r="F82" s="11">
        <f t="shared" si="16"/>
        <v>0.04058333333333333</v>
      </c>
      <c r="G82" s="11">
        <f t="shared" si="16"/>
        <v>0.04533333333333334</v>
      </c>
      <c r="H82" s="39">
        <f t="shared" si="16"/>
        <v>0.040483333333333336</v>
      </c>
      <c r="I82" s="11">
        <f t="shared" si="16"/>
        <v>0.04058333333333334</v>
      </c>
      <c r="J82" s="11">
        <f t="shared" si="16"/>
        <v>0.04516666666666666</v>
      </c>
      <c r="K82" s="11">
        <f t="shared" si="16"/>
        <v>0.050666666666666665</v>
      </c>
      <c r="L82" s="39">
        <f t="shared" si="16"/>
        <v>0.04547222222222222</v>
      </c>
    </row>
    <row r="83" spans="1:12" ht="15.75" thickBot="1">
      <c r="A83" s="63"/>
      <c r="B83" s="63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2" ht="15.75" thickTop="1">
      <c r="A84" s="12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4" ht="15">
      <c r="A85" s="12" t="s">
        <v>107</v>
      </c>
      <c r="D85" s="35"/>
    </row>
    <row r="91" ht="15">
      <c r="H91" s="33"/>
    </row>
    <row r="92" spans="3:8" ht="15">
      <c r="C92" s="32"/>
      <c r="D92" s="34"/>
      <c r="E92" s="34"/>
      <c r="F92" s="33"/>
      <c r="G92" s="37"/>
      <c r="H92" s="33"/>
    </row>
    <row r="93" spans="4:8" ht="15">
      <c r="D93" s="34"/>
      <c r="E93" s="34"/>
      <c r="F93" s="36"/>
      <c r="G93" s="37"/>
      <c r="H93" s="37"/>
    </row>
    <row r="94" spans="4:8" ht="15">
      <c r="D94" s="34"/>
      <c r="E94" s="34"/>
      <c r="F94" s="36"/>
      <c r="G94" s="37"/>
      <c r="H94" s="37"/>
    </row>
    <row r="95" spans="4:8" ht="15">
      <c r="D95" s="34"/>
      <c r="E95" s="34"/>
      <c r="F95" s="36"/>
      <c r="G95" s="37"/>
      <c r="H95" s="37"/>
    </row>
    <row r="96" spans="4:8" ht="15">
      <c r="D96" s="34"/>
      <c r="E96" s="34"/>
      <c r="F96" s="36"/>
      <c r="G96" s="37"/>
      <c r="H96" s="37"/>
    </row>
    <row r="97" spans="4:8" ht="15">
      <c r="D97" s="34"/>
      <c r="E97" s="34"/>
      <c r="F97" s="36"/>
      <c r="G97" s="37"/>
      <c r="H97" s="37"/>
    </row>
  </sheetData>
  <mergeCells count="2">
    <mergeCell ref="A6:L6"/>
    <mergeCell ref="A7:L7"/>
  </mergeCells>
  <printOptions horizontalCentered="1"/>
  <pageMargins left="0.5" right="0.5" top="0.5" bottom="0.55" header="0" footer="0"/>
  <pageSetup fitToHeight="1" fitToWidth="1" horizontalDpi="600" verticalDpi="600" orientation="portrait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OutlineSymbols="0" zoomScale="87" zoomScaleNormal="87" workbookViewId="0" topLeftCell="A1">
      <selection activeCell="J74" sqref="J74"/>
    </sheetView>
  </sheetViews>
  <sheetFormatPr defaultColWidth="8.88671875" defaultRowHeight="15"/>
  <cols>
    <col min="1" max="1" width="23.77734375" style="27" customWidth="1"/>
    <col min="2" max="2" width="2.77734375" style="27" customWidth="1"/>
    <col min="3" max="6" width="9.77734375" style="27" customWidth="1"/>
    <col min="7" max="7" width="2.77734375" style="27" customWidth="1"/>
    <col min="8" max="16384" width="9.77734375" style="27" customWidth="1"/>
  </cols>
  <sheetData>
    <row r="1" ht="15.75">
      <c r="J1" s="2" t="str">
        <f>+'Sch 7, p 2'!K1</f>
        <v>Exhibit No. ___ (DCP-8)</v>
      </c>
    </row>
    <row r="2" ht="15.75">
      <c r="J2" s="2" t="str">
        <f>'Sch 7, p 2'!K2</f>
        <v>Schedule 7</v>
      </c>
    </row>
    <row r="3" ht="15.75">
      <c r="J3" s="2" t="s">
        <v>166</v>
      </c>
    </row>
    <row r="4" ht="15.75">
      <c r="K4" s="2"/>
    </row>
    <row r="5" ht="15.75">
      <c r="K5" s="2"/>
    </row>
    <row r="6" spans="1:11" ht="20.25">
      <c r="A6" s="3" t="str">
        <f>'Sch 7, p 2'!A6</f>
        <v>COMPARISON COMPANIES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0.25">
      <c r="A7" s="3" t="s">
        <v>109</v>
      </c>
      <c r="B7" s="3"/>
      <c r="C7" s="3"/>
      <c r="D7" s="3"/>
      <c r="E7" s="3"/>
      <c r="F7" s="3"/>
      <c r="G7" s="3"/>
      <c r="H7" s="3"/>
      <c r="I7" s="3"/>
      <c r="J7" s="3"/>
      <c r="K7" s="3"/>
    </row>
    <row r="10" spans="1:11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3:11" ht="15">
      <c r="C11" s="4" t="s">
        <v>110</v>
      </c>
      <c r="D11" s="4"/>
      <c r="E11" s="4"/>
      <c r="F11" s="4"/>
      <c r="H11" s="4" t="s">
        <v>242</v>
      </c>
      <c r="I11" s="4"/>
      <c r="J11" s="4"/>
      <c r="K11" s="4"/>
    </row>
    <row r="12" spans="1:11" ht="15">
      <c r="A12" s="10" t="str">
        <f>'Sch 7, p 2'!A12</f>
        <v>COMPANY</v>
      </c>
      <c r="C12" s="24" t="s">
        <v>111</v>
      </c>
      <c r="D12" s="24" t="s">
        <v>101</v>
      </c>
      <c r="E12" s="24" t="s">
        <v>112</v>
      </c>
      <c r="F12" s="24" t="s">
        <v>108</v>
      </c>
      <c r="H12" s="24" t="s">
        <v>111</v>
      </c>
      <c r="I12" s="24" t="s">
        <v>101</v>
      </c>
      <c r="J12" s="24" t="s">
        <v>112</v>
      </c>
      <c r="K12" s="24" t="s">
        <v>108</v>
      </c>
    </row>
    <row r="14" spans="1:11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6" ht="15.75">
      <c r="A16" s="40" t="str">
        <f>'Sch 7, p 2'!A16</f>
        <v>Value Line Natural Gas</v>
      </c>
    </row>
    <row r="18" spans="1:11" ht="15">
      <c r="A18" s="27" t="str">
        <f>+'Sch 7, p 2'!A18</f>
        <v>AGL Resources</v>
      </c>
      <c r="C18" s="11">
        <v>0.135</v>
      </c>
      <c r="D18" s="11">
        <v>0.02</v>
      </c>
      <c r="E18" s="11">
        <v>0.085</v>
      </c>
      <c r="F18" s="11">
        <f>AVERAGE(C18:E18)</f>
        <v>0.08</v>
      </c>
      <c r="G18" s="11"/>
      <c r="H18" s="11">
        <v>0.04</v>
      </c>
      <c r="I18" s="11">
        <v>0.065</v>
      </c>
      <c r="J18" s="11">
        <v>0.06</v>
      </c>
      <c r="K18" s="11">
        <f>AVERAGE(H18:J18)</f>
        <v>0.055</v>
      </c>
    </row>
    <row r="19" spans="1:11" ht="15">
      <c r="A19" s="27" t="str">
        <f>+'Sch 7, p 2'!A19</f>
        <v>Atmos Energy</v>
      </c>
      <c r="C19" s="11">
        <v>0.065</v>
      </c>
      <c r="D19" s="11">
        <v>0.02</v>
      </c>
      <c r="E19" s="11">
        <v>0.085</v>
      </c>
      <c r="F19" s="11">
        <f aca="true" t="shared" si="0" ref="F19:F32">AVERAGE(C19:E19)</f>
        <v>0.05666666666666667</v>
      </c>
      <c r="G19" s="11"/>
      <c r="H19" s="11">
        <v>0.07</v>
      </c>
      <c r="I19" s="11">
        <v>0.02</v>
      </c>
      <c r="J19" s="11">
        <v>0.05</v>
      </c>
      <c r="K19" s="11">
        <f aca="true" t="shared" si="1" ref="K19:K32">AVERAGE(H19:J19)</f>
        <v>0.04666666666666667</v>
      </c>
    </row>
    <row r="20" spans="1:11" ht="15">
      <c r="A20" s="27" t="str">
        <f>+'Sch 7, p 2'!A20</f>
        <v>Cascade Natural Gas</v>
      </c>
      <c r="C20" s="11">
        <v>-0.035</v>
      </c>
      <c r="D20" s="11">
        <v>0</v>
      </c>
      <c r="E20" s="11">
        <v>0</v>
      </c>
      <c r="F20" s="11">
        <f t="shared" si="0"/>
        <v>-0.011666666666666667</v>
      </c>
      <c r="G20" s="11"/>
      <c r="H20" s="11">
        <v>0.09</v>
      </c>
      <c r="I20" s="11">
        <v>0.005</v>
      </c>
      <c r="J20" s="11">
        <v>0.1</v>
      </c>
      <c r="K20" s="11">
        <f t="shared" si="1"/>
        <v>0.065</v>
      </c>
    </row>
    <row r="21" spans="1:11" ht="15">
      <c r="A21" s="27" t="str">
        <f>+'Sch 7, p 2'!A21</f>
        <v>Energen</v>
      </c>
      <c r="C21" s="11">
        <v>0.21</v>
      </c>
      <c r="D21" s="11">
        <v>0.03</v>
      </c>
      <c r="E21" s="11">
        <v>0.125</v>
      </c>
      <c r="F21" s="11">
        <f t="shared" si="0"/>
        <v>0.12166666666666666</v>
      </c>
      <c r="G21" s="11"/>
      <c r="H21" s="11">
        <v>0.1</v>
      </c>
      <c r="I21" s="11">
        <v>0.08</v>
      </c>
      <c r="J21" s="11">
        <v>0.08</v>
      </c>
      <c r="K21" s="11">
        <f t="shared" si="1"/>
        <v>0.08666666666666667</v>
      </c>
    </row>
    <row r="22" spans="1:11" ht="15">
      <c r="A22" s="27" t="str">
        <f>+'Sch 7, p 2'!A22</f>
        <v>Keyspan </v>
      </c>
      <c r="C22" s="11">
        <v>0.255</v>
      </c>
      <c r="D22" s="11">
        <v>0.015</v>
      </c>
      <c r="E22" s="11">
        <v>0.025</v>
      </c>
      <c r="F22" s="11">
        <f t="shared" si="0"/>
        <v>0.09833333333333334</v>
      </c>
      <c r="G22" s="11"/>
      <c r="H22" s="11">
        <v>0.015</v>
      </c>
      <c r="I22" s="11">
        <v>0.025</v>
      </c>
      <c r="J22" s="11">
        <v>0.04</v>
      </c>
      <c r="K22" s="11">
        <f t="shared" si="1"/>
        <v>0.02666666666666667</v>
      </c>
    </row>
    <row r="23" spans="1:11" ht="15">
      <c r="A23" s="27" t="str">
        <f>+'Sch 7, p 2'!A23</f>
        <v>Laclede Group</v>
      </c>
      <c r="C23" s="11">
        <v>0.045</v>
      </c>
      <c r="D23" s="11">
        <v>0.005</v>
      </c>
      <c r="E23" s="11">
        <v>0.025</v>
      </c>
      <c r="F23" s="11">
        <f t="shared" si="0"/>
        <v>0.024999999999999998</v>
      </c>
      <c r="G23" s="11"/>
      <c r="H23" s="11">
        <v>0.06</v>
      </c>
      <c r="I23" s="11">
        <v>0.02</v>
      </c>
      <c r="J23" s="11">
        <v>0.055</v>
      </c>
      <c r="K23" s="11">
        <f t="shared" si="1"/>
        <v>0.045000000000000005</v>
      </c>
    </row>
    <row r="24" spans="1:11" ht="15">
      <c r="A24" s="27" t="str">
        <f>+'Sch 7, p 2'!A24</f>
        <v>New Jersey Resources</v>
      </c>
      <c r="C24" s="11">
        <v>0.085</v>
      </c>
      <c r="D24" s="11">
        <v>0.03</v>
      </c>
      <c r="E24" s="11">
        <v>0.07</v>
      </c>
      <c r="F24" s="11">
        <f t="shared" si="0"/>
        <v>0.06166666666666667</v>
      </c>
      <c r="G24" s="11"/>
      <c r="H24" s="11">
        <v>0.045</v>
      </c>
      <c r="I24" s="11">
        <v>0.045</v>
      </c>
      <c r="J24" s="11">
        <v>0.06</v>
      </c>
      <c r="K24" s="11">
        <f t="shared" si="1"/>
        <v>0.049999999999999996</v>
      </c>
    </row>
    <row r="25" spans="1:11" ht="15">
      <c r="A25" s="27" t="str">
        <f>+'Sch 7, p 2'!A25</f>
        <v>NICOR</v>
      </c>
      <c r="C25" s="11">
        <v>-0.035</v>
      </c>
      <c r="D25" s="11">
        <v>0.035</v>
      </c>
      <c r="E25" s="11">
        <v>0.015</v>
      </c>
      <c r="F25" s="11">
        <f t="shared" si="0"/>
        <v>0.005</v>
      </c>
      <c r="G25" s="11"/>
      <c r="H25" s="11">
        <v>0.04</v>
      </c>
      <c r="I25" s="11">
        <v>0.015</v>
      </c>
      <c r="J25" s="11">
        <v>0.03</v>
      </c>
      <c r="K25" s="11">
        <f t="shared" si="1"/>
        <v>0.028333333333333332</v>
      </c>
    </row>
    <row r="26" spans="1:11" ht="15">
      <c r="A26" s="27" t="str">
        <f>+'Sch 7, p 2'!A26</f>
        <v>Northwest Natural Gas</v>
      </c>
      <c r="C26" s="11">
        <v>0.05</v>
      </c>
      <c r="D26" s="11">
        <v>0.01</v>
      </c>
      <c r="E26" s="11">
        <v>0.035</v>
      </c>
      <c r="F26" s="11">
        <f t="shared" si="0"/>
        <v>0.03166666666666667</v>
      </c>
      <c r="G26" s="11"/>
      <c r="H26" s="11">
        <v>0.07</v>
      </c>
      <c r="I26" s="11">
        <v>0.04</v>
      </c>
      <c r="J26" s="11">
        <v>0.035</v>
      </c>
      <c r="K26" s="11">
        <f t="shared" si="1"/>
        <v>0.04833333333333334</v>
      </c>
    </row>
    <row r="27" spans="1:11" ht="15">
      <c r="A27" s="27" t="str">
        <f>+'Sch 7, p 2'!A27</f>
        <v>Peoples Energy</v>
      </c>
      <c r="C27" s="11">
        <v>0</v>
      </c>
      <c r="D27" s="11">
        <v>0.02</v>
      </c>
      <c r="E27" s="11">
        <v>0.005</v>
      </c>
      <c r="F27" s="11">
        <f t="shared" si="0"/>
        <v>0.008333333333333333</v>
      </c>
      <c r="G27" s="11"/>
      <c r="H27" s="11">
        <v>0.015</v>
      </c>
      <c r="I27" s="11">
        <v>0.005</v>
      </c>
      <c r="J27" s="11"/>
      <c r="K27" s="11">
        <f t="shared" si="1"/>
        <v>0.01</v>
      </c>
    </row>
    <row r="28" spans="1:11" ht="15">
      <c r="A28" s="27" t="str">
        <f>+'Sch 7, p 2'!A28</f>
        <v>Piedmont Natural Gas</v>
      </c>
      <c r="C28" s="11">
        <v>0.05</v>
      </c>
      <c r="D28" s="11">
        <v>0.05</v>
      </c>
      <c r="E28" s="11">
        <v>0.065</v>
      </c>
      <c r="F28" s="11">
        <f t="shared" si="0"/>
        <v>0.055</v>
      </c>
      <c r="G28" s="11"/>
      <c r="H28" s="11">
        <v>0.06</v>
      </c>
      <c r="I28" s="11">
        <v>0.055</v>
      </c>
      <c r="J28" s="11">
        <v>0.045</v>
      </c>
      <c r="K28" s="11">
        <f t="shared" si="1"/>
        <v>0.05333333333333332</v>
      </c>
    </row>
    <row r="29" spans="1:11" ht="15">
      <c r="A29" s="27" t="str">
        <f>+'Sch 7, p 2'!A29</f>
        <v>South Jersey Industries</v>
      </c>
      <c r="C29" s="11">
        <v>0.115</v>
      </c>
      <c r="D29" s="11">
        <v>0.025</v>
      </c>
      <c r="E29" s="11">
        <v>0.13</v>
      </c>
      <c r="F29" s="11">
        <f t="shared" si="0"/>
        <v>0.09000000000000001</v>
      </c>
      <c r="G29" s="11"/>
      <c r="H29" s="11">
        <v>0.07</v>
      </c>
      <c r="I29" s="11">
        <v>0.06</v>
      </c>
      <c r="J29" s="11">
        <v>0.06</v>
      </c>
      <c r="K29" s="11">
        <f t="shared" si="1"/>
        <v>0.06333333333333334</v>
      </c>
    </row>
    <row r="30" spans="1:11" ht="15">
      <c r="A30" s="27" t="str">
        <f>+'Sch 7, p 2'!A30</f>
        <v>Southwest Gas</v>
      </c>
      <c r="C30" s="11">
        <v>-0.005</v>
      </c>
      <c r="D30" s="11">
        <v>0</v>
      </c>
      <c r="E30" s="11">
        <v>0.03</v>
      </c>
      <c r="F30" s="11">
        <f t="shared" si="0"/>
        <v>0.008333333333333333</v>
      </c>
      <c r="G30" s="11"/>
      <c r="H30" s="11">
        <v>0.095</v>
      </c>
      <c r="I30" s="11">
        <v>0</v>
      </c>
      <c r="J30" s="11">
        <v>0.04</v>
      </c>
      <c r="K30" s="11">
        <f t="shared" si="1"/>
        <v>0.045000000000000005</v>
      </c>
    </row>
    <row r="31" spans="1:11" ht="15">
      <c r="A31" s="27" t="str">
        <f>+'Sch 7, p 2'!A31</f>
        <v>UGI </v>
      </c>
      <c r="C31" s="11">
        <v>0.24</v>
      </c>
      <c r="D31" s="11">
        <v>0.04</v>
      </c>
      <c r="E31" s="11">
        <v>0.2</v>
      </c>
      <c r="F31" s="11">
        <f t="shared" si="0"/>
        <v>0.16</v>
      </c>
      <c r="G31" s="11"/>
      <c r="H31" s="11">
        <v>0.055</v>
      </c>
      <c r="I31" s="11">
        <v>0.05</v>
      </c>
      <c r="J31" s="11">
        <v>0.1</v>
      </c>
      <c r="K31" s="11">
        <f t="shared" si="1"/>
        <v>0.06833333333333334</v>
      </c>
    </row>
    <row r="32" spans="1:11" ht="15">
      <c r="A32" s="27" t="str">
        <f>+'Sch 7, p 2'!A32</f>
        <v>WGL Holdings</v>
      </c>
      <c r="C32" s="11">
        <v>0.06</v>
      </c>
      <c r="D32" s="11">
        <v>0.015</v>
      </c>
      <c r="E32" s="11">
        <v>0.03</v>
      </c>
      <c r="F32" s="11">
        <f t="shared" si="0"/>
        <v>0.034999999999999996</v>
      </c>
      <c r="G32" s="11"/>
      <c r="H32" s="11">
        <v>0.02</v>
      </c>
      <c r="I32" s="11">
        <v>0.02</v>
      </c>
      <c r="J32" s="11">
        <v>0.04</v>
      </c>
      <c r="K32" s="11">
        <f t="shared" si="1"/>
        <v>0.02666666666666667</v>
      </c>
    </row>
    <row r="33" spans="1:11" ht="15">
      <c r="A33" s="52"/>
      <c r="B33" s="52"/>
      <c r="C33" s="54"/>
      <c r="D33" s="54"/>
      <c r="E33" s="54"/>
      <c r="F33" s="54"/>
      <c r="G33" s="54"/>
      <c r="H33" s="54"/>
      <c r="I33" s="54"/>
      <c r="J33" s="54"/>
      <c r="K33" s="54"/>
    </row>
    <row r="34" spans="3:11" ht="15"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.75">
      <c r="A35" s="27" t="s">
        <v>108</v>
      </c>
      <c r="C35" s="11">
        <f>AVERAGE(C18:C32)</f>
        <v>0.08233333333333334</v>
      </c>
      <c r="D35" s="11">
        <f>AVERAGE(D18:D32)</f>
        <v>0.021000000000000005</v>
      </c>
      <c r="E35" s="11">
        <f>AVERAGE(E18:E32)</f>
        <v>0.06166666666666668</v>
      </c>
      <c r="F35" s="39">
        <f>AVERAGE(F18:F32)</f>
        <v>0.05500000000000001</v>
      </c>
      <c r="G35" s="11"/>
      <c r="H35" s="11">
        <f>AVERAGE(H18:H32)</f>
        <v>0.05633333333333334</v>
      </c>
      <c r="I35" s="11">
        <f>AVERAGE(I18:I32)</f>
        <v>0.033666666666666664</v>
      </c>
      <c r="J35" s="11">
        <f>AVERAGE(J18:J32)</f>
        <v>0.05678571428571429</v>
      </c>
      <c r="K35" s="39">
        <f>AVERAGE(K18:K32)</f>
        <v>0.04788888888888889</v>
      </c>
    </row>
    <row r="36" spans="1:11" ht="15.75" thickBot="1">
      <c r="A36" s="55"/>
      <c r="B36" s="55"/>
      <c r="C36" s="57"/>
      <c r="D36" s="57"/>
      <c r="E36" s="57"/>
      <c r="F36" s="57"/>
      <c r="G36" s="57"/>
      <c r="H36" s="57"/>
      <c r="I36" s="57"/>
      <c r="J36" s="57"/>
      <c r="K36" s="57"/>
    </row>
    <row r="37" spans="3:11" ht="15.75" thickTop="1"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>
      <c r="A38" s="40" t="str">
        <f>'Sch 7, p 2'!A38</f>
        <v>Morin Electricity</v>
      </c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75">
      <c r="A39" s="40" t="str">
        <f>'Sch 7, p 2'!A39</f>
        <v>Distribution Companies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3:11" ht="15"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5">
      <c r="A41" s="27" t="str">
        <f>+'Sch 7, p 2'!A41</f>
        <v>American Electric Power</v>
      </c>
      <c r="C41" s="11">
        <v>0.035</v>
      </c>
      <c r="D41" s="11">
        <v>-0.09</v>
      </c>
      <c r="E41" s="11">
        <v>-0.035</v>
      </c>
      <c r="F41" s="11">
        <f aca="true" t="shared" si="2" ref="F41:F60">AVERAGE(C41:E41)</f>
        <v>-0.03</v>
      </c>
      <c r="G41" s="11"/>
      <c r="H41" s="11">
        <v>0.04</v>
      </c>
      <c r="I41" s="11">
        <v>0.04</v>
      </c>
      <c r="J41" s="11">
        <v>0.055</v>
      </c>
      <c r="K41" s="11">
        <f>AVERAGE(H41:J41)</f>
        <v>0.045000000000000005</v>
      </c>
    </row>
    <row r="42" spans="1:11" ht="15">
      <c r="A42" s="27" t="str">
        <f>+'Sch 7, p 2'!A42</f>
        <v>Ameren Corp.</v>
      </c>
      <c r="C42" s="11">
        <v>0.015</v>
      </c>
      <c r="D42" s="11">
        <v>0</v>
      </c>
      <c r="E42" s="11">
        <v>0.05</v>
      </c>
      <c r="F42" s="11">
        <f t="shared" si="2"/>
        <v>0.021666666666666667</v>
      </c>
      <c r="G42" s="11"/>
      <c r="H42" s="11">
        <v>0.015</v>
      </c>
      <c r="I42" s="11">
        <v>0</v>
      </c>
      <c r="J42" s="11">
        <v>0.03</v>
      </c>
      <c r="K42" s="11">
        <f>AVERAGE(H42:J42)</f>
        <v>0.015</v>
      </c>
    </row>
    <row r="43" spans="1:11" ht="15">
      <c r="A43" s="27" t="str">
        <f>+'Sch 7, p 2'!A43</f>
        <v>CenterPoint Energy</v>
      </c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>
      <c r="A44" s="27" t="str">
        <f>+'Sch 7, p 2'!A44</f>
        <v>CH Energy Group</v>
      </c>
      <c r="C44" s="11">
        <v>-0.015</v>
      </c>
      <c r="D44" s="11">
        <v>0</v>
      </c>
      <c r="E44" s="11">
        <v>0.02</v>
      </c>
      <c r="F44" s="11">
        <f t="shared" si="2"/>
        <v>0.001666666666666667</v>
      </c>
      <c r="G44" s="11"/>
      <c r="H44" s="11">
        <v>0.03</v>
      </c>
      <c r="I44" s="11">
        <v>0.005</v>
      </c>
      <c r="J44" s="11">
        <v>0.02</v>
      </c>
      <c r="K44" s="11">
        <f aca="true" t="shared" si="3" ref="K44:K60">AVERAGE(H44:J44)</f>
        <v>0.01833333333333333</v>
      </c>
    </row>
    <row r="45" spans="1:11" ht="15">
      <c r="A45" s="27" t="str">
        <f>+'Sch 7, p 2'!A45</f>
        <v>Consolidated Edison</v>
      </c>
      <c r="C45" s="11">
        <v>-0.02</v>
      </c>
      <c r="D45" s="11">
        <v>0.01</v>
      </c>
      <c r="E45" s="11">
        <v>0.025</v>
      </c>
      <c r="F45" s="11">
        <f t="shared" si="2"/>
        <v>0.005</v>
      </c>
      <c r="G45" s="11"/>
      <c r="H45" s="11">
        <v>0.03</v>
      </c>
      <c r="I45" s="11">
        <v>0.01</v>
      </c>
      <c r="J45" s="11">
        <v>0.03</v>
      </c>
      <c r="K45" s="11">
        <f t="shared" si="3"/>
        <v>0.023333333333333334</v>
      </c>
    </row>
    <row r="46" spans="1:11" ht="15">
      <c r="A46" s="27" t="str">
        <f>+'Sch 7, p 2'!A46</f>
        <v>Constellation Energy</v>
      </c>
      <c r="C46" s="11">
        <v>0.075</v>
      </c>
      <c r="D46" s="11">
        <v>-0.07</v>
      </c>
      <c r="E46" s="11">
        <v>0.055</v>
      </c>
      <c r="F46" s="11">
        <f t="shared" si="2"/>
        <v>0.019999999999999997</v>
      </c>
      <c r="G46" s="11"/>
      <c r="H46" s="11">
        <v>0.135</v>
      </c>
      <c r="I46" s="11">
        <v>0.11</v>
      </c>
      <c r="J46" s="11">
        <v>0.065</v>
      </c>
      <c r="K46" s="11">
        <f t="shared" si="3"/>
        <v>0.10333333333333333</v>
      </c>
    </row>
    <row r="47" spans="1:11" ht="15">
      <c r="A47" s="27" t="str">
        <f>+'Sch 7, p 2'!A47</f>
        <v>Duquesne Light Holdings</v>
      </c>
      <c r="C47" s="11">
        <v>-0.12</v>
      </c>
      <c r="D47" s="11">
        <v>-0.085</v>
      </c>
      <c r="E47" s="11">
        <v>-0.145</v>
      </c>
      <c r="F47" s="11">
        <f t="shared" si="2"/>
        <v>-0.11666666666666665</v>
      </c>
      <c r="G47" s="11"/>
      <c r="H47" s="11">
        <v>0.05</v>
      </c>
      <c r="I47" s="11">
        <v>0</v>
      </c>
      <c r="J47" s="11">
        <v>0.05</v>
      </c>
      <c r="K47" s="11">
        <f t="shared" si="3"/>
        <v>0.03333333333333333</v>
      </c>
    </row>
    <row r="48" spans="1:11" ht="15">
      <c r="A48" s="27" t="str">
        <f>+'Sch 7, p 2'!A48</f>
        <v>Energy East Corp.</v>
      </c>
      <c r="C48" s="11">
        <v>-0.025</v>
      </c>
      <c r="D48" s="11">
        <v>0.05</v>
      </c>
      <c r="E48" s="11">
        <v>0.06</v>
      </c>
      <c r="F48" s="11">
        <f t="shared" si="2"/>
        <v>0.028333333333333332</v>
      </c>
      <c r="G48" s="11"/>
      <c r="H48" s="11">
        <v>0.04</v>
      </c>
      <c r="I48" s="11">
        <v>0.045</v>
      </c>
      <c r="J48" s="11">
        <v>0.025</v>
      </c>
      <c r="K48" s="11">
        <f t="shared" si="3"/>
        <v>0.03666666666666666</v>
      </c>
    </row>
    <row r="49" spans="1:11" ht="15">
      <c r="A49" s="27" t="str">
        <f>+'Sch 7, p 2'!A49</f>
        <v>Exelon</v>
      </c>
      <c r="C49" s="11">
        <v>0.115</v>
      </c>
      <c r="D49" s="11"/>
      <c r="E49" s="11">
        <v>0.04</v>
      </c>
      <c r="F49" s="11">
        <f t="shared" si="2"/>
        <v>0.0775</v>
      </c>
      <c r="G49" s="11"/>
      <c r="H49" s="11">
        <v>0.07</v>
      </c>
      <c r="I49" s="11">
        <v>0.08</v>
      </c>
      <c r="J49" s="11">
        <v>0.075</v>
      </c>
      <c r="K49" s="11">
        <f t="shared" si="3"/>
        <v>0.07500000000000001</v>
      </c>
    </row>
    <row r="50" spans="1:11" ht="15">
      <c r="A50" s="27" t="str">
        <f>+'Sch 7, p 2'!A50</f>
        <v>FirstEnergy Corp.</v>
      </c>
      <c r="C50" s="11">
        <v>0</v>
      </c>
      <c r="D50" s="11">
        <v>0.025</v>
      </c>
      <c r="E50" s="11">
        <v>0.06</v>
      </c>
      <c r="F50" s="11">
        <f t="shared" si="2"/>
        <v>0.028333333333333332</v>
      </c>
      <c r="G50" s="11"/>
      <c r="H50" s="11">
        <v>0.115</v>
      </c>
      <c r="I50" s="11">
        <v>0.05</v>
      </c>
      <c r="J50" s="11">
        <v>0.065</v>
      </c>
      <c r="K50" s="11">
        <f t="shared" si="3"/>
        <v>0.07666666666666667</v>
      </c>
    </row>
    <row r="51" spans="1:11" ht="15">
      <c r="A51" s="27" t="str">
        <f>+'Sch 7, p 2'!A51</f>
        <v>Northeast Utilities</v>
      </c>
      <c r="C51" s="11"/>
      <c r="D51" s="11">
        <v>0.375</v>
      </c>
      <c r="E51" s="11">
        <v>0.02</v>
      </c>
      <c r="F51" s="11">
        <f t="shared" si="2"/>
        <v>0.1975</v>
      </c>
      <c r="G51" s="11"/>
      <c r="H51" s="11">
        <v>0.11</v>
      </c>
      <c r="I51" s="11">
        <v>0.09</v>
      </c>
      <c r="J51" s="11">
        <v>0.025</v>
      </c>
      <c r="K51" s="11">
        <f t="shared" si="3"/>
        <v>0.075</v>
      </c>
    </row>
    <row r="52" spans="1:11" ht="15">
      <c r="A52" s="27" t="str">
        <f>+'Sch 7, p 2'!A52</f>
        <v>NSTAR</v>
      </c>
      <c r="C52" s="11">
        <v>0.04</v>
      </c>
      <c r="D52" s="11">
        <v>0.01</v>
      </c>
      <c r="E52" s="11">
        <v>0.02</v>
      </c>
      <c r="F52" s="11">
        <f t="shared" si="2"/>
        <v>0.023333333333333334</v>
      </c>
      <c r="G52" s="11"/>
      <c r="H52" s="11">
        <v>0.06</v>
      </c>
      <c r="I52" s="11">
        <v>0.065</v>
      </c>
      <c r="J52" s="11">
        <v>0.055</v>
      </c>
      <c r="K52" s="11">
        <f t="shared" si="3"/>
        <v>0.06</v>
      </c>
    </row>
    <row r="53" spans="1:11" ht="15">
      <c r="A53" s="27" t="str">
        <f>+'Sch 7, p 2'!A53</f>
        <v>PEPCO Holdings</v>
      </c>
      <c r="C53" s="11">
        <v>-0.01</v>
      </c>
      <c r="D53" s="11"/>
      <c r="E53" s="11">
        <v>0.005</v>
      </c>
      <c r="F53" s="11">
        <f t="shared" si="2"/>
        <v>-0.0025</v>
      </c>
      <c r="G53" s="11"/>
      <c r="H53" s="11">
        <v>0.075</v>
      </c>
      <c r="I53" s="11">
        <v>0.03</v>
      </c>
      <c r="J53" s="11">
        <v>0.03</v>
      </c>
      <c r="K53" s="11">
        <f t="shared" si="3"/>
        <v>0.045000000000000005</v>
      </c>
    </row>
    <row r="54" spans="1:11" ht="15">
      <c r="A54" s="27" t="str">
        <f>+'Sch 7, p 2'!A54</f>
        <v>PPL Corp</v>
      </c>
      <c r="C54" s="11">
        <v>0.085</v>
      </c>
      <c r="D54" s="11">
        <v>0.085</v>
      </c>
      <c r="E54" s="11">
        <v>0.12</v>
      </c>
      <c r="F54" s="11">
        <f t="shared" si="2"/>
        <v>0.09666666666666668</v>
      </c>
      <c r="G54" s="11"/>
      <c r="H54" s="11">
        <v>0.095</v>
      </c>
      <c r="I54" s="11">
        <v>0.115</v>
      </c>
      <c r="J54" s="11">
        <v>0.09</v>
      </c>
      <c r="K54" s="11">
        <f t="shared" si="3"/>
        <v>0.10000000000000002</v>
      </c>
    </row>
    <row r="55" spans="1:11" ht="15">
      <c r="A55" s="27" t="str">
        <f>+'Sch 7, p 2'!A55</f>
        <v>Public Service Enter. Group</v>
      </c>
      <c r="C55" s="11">
        <v>0.02</v>
      </c>
      <c r="D55" s="11">
        <v>0.005</v>
      </c>
      <c r="E55" s="11">
        <v>0.035</v>
      </c>
      <c r="F55" s="11">
        <f t="shared" si="2"/>
        <v>0.02</v>
      </c>
      <c r="G55" s="11"/>
      <c r="H55" s="11">
        <v>0.035</v>
      </c>
      <c r="I55" s="11">
        <v>0.015</v>
      </c>
      <c r="J55" s="11">
        <v>0.055</v>
      </c>
      <c r="K55" s="11">
        <f t="shared" si="3"/>
        <v>0.035</v>
      </c>
    </row>
    <row r="56" spans="1:11" ht="15">
      <c r="A56" s="27" t="str">
        <f>+'Sch 7, p 2'!A56</f>
        <v>SCANA Corp.</v>
      </c>
      <c r="C56" s="11">
        <v>0.07</v>
      </c>
      <c r="D56" s="11">
        <v>0.02</v>
      </c>
      <c r="E56" s="11">
        <v>0.03</v>
      </c>
      <c r="F56" s="11">
        <f t="shared" si="2"/>
        <v>0.04</v>
      </c>
      <c r="G56" s="11"/>
      <c r="H56" s="11">
        <v>0.045</v>
      </c>
      <c r="I56" s="11">
        <v>0.06</v>
      </c>
      <c r="J56" s="11">
        <v>0.055</v>
      </c>
      <c r="K56" s="11">
        <f t="shared" si="3"/>
        <v>0.05333333333333334</v>
      </c>
    </row>
    <row r="57" spans="1:11" ht="15">
      <c r="A57" s="27" t="str">
        <f>+'Sch 7, p 2'!A57</f>
        <v>Sempra Energy</v>
      </c>
      <c r="C57" s="11">
        <v>0.16</v>
      </c>
      <c r="D57" s="11">
        <v>-0.05</v>
      </c>
      <c r="E57" s="11">
        <v>0.105</v>
      </c>
      <c r="F57" s="11">
        <f t="shared" si="2"/>
        <v>0.07166666666666667</v>
      </c>
      <c r="G57" s="11"/>
      <c r="H57" s="11">
        <v>0.055</v>
      </c>
      <c r="I57" s="11">
        <v>0.045</v>
      </c>
      <c r="J57" s="11">
        <v>0.11</v>
      </c>
      <c r="K57" s="11">
        <f t="shared" si="3"/>
        <v>0.07</v>
      </c>
    </row>
    <row r="58" spans="1:11" ht="15">
      <c r="A58" s="27" t="str">
        <f>+'Sch 7, p 2'!A58</f>
        <v>TXU Corp.</v>
      </c>
      <c r="C58" s="11">
        <v>-0.045</v>
      </c>
      <c r="D58" s="11">
        <v>-0.12</v>
      </c>
      <c r="E58" s="11">
        <v>-0.24</v>
      </c>
      <c r="F58" s="11">
        <f t="shared" si="2"/>
        <v>-0.13499999999999998</v>
      </c>
      <c r="G58" s="11"/>
      <c r="H58" s="11">
        <v>0.3</v>
      </c>
      <c r="I58" s="11">
        <v>0.32</v>
      </c>
      <c r="J58" s="11">
        <v>0.31</v>
      </c>
      <c r="K58" s="11">
        <f t="shared" si="3"/>
        <v>0.31</v>
      </c>
    </row>
    <row r="59" spans="1:11" ht="15">
      <c r="A59" s="27" t="str">
        <f>+'Sch 7, p 2'!A59</f>
        <v>Vectren Corp.</v>
      </c>
      <c r="C59" s="11">
        <v>0.04</v>
      </c>
      <c r="D59" s="11">
        <v>0.035</v>
      </c>
      <c r="E59" s="11">
        <v>0.045</v>
      </c>
      <c r="F59" s="11">
        <f t="shared" si="2"/>
        <v>0.04</v>
      </c>
      <c r="G59" s="11"/>
      <c r="H59" s="11">
        <v>0.04</v>
      </c>
      <c r="I59" s="11">
        <v>0.03</v>
      </c>
      <c r="J59" s="11">
        <v>0.04</v>
      </c>
      <c r="K59" s="11">
        <f t="shared" si="3"/>
        <v>0.036666666666666674</v>
      </c>
    </row>
    <row r="60" spans="1:11" ht="15">
      <c r="A60" s="27" t="str">
        <f>+'Sch 7, p 2'!A60</f>
        <v>Wisconsin Energy</v>
      </c>
      <c r="C60" s="11">
        <v>0.075</v>
      </c>
      <c r="D60" s="11">
        <v>-0.11</v>
      </c>
      <c r="E60" s="11">
        <v>0.05</v>
      </c>
      <c r="F60" s="11">
        <f t="shared" si="2"/>
        <v>0.005</v>
      </c>
      <c r="G60" s="11"/>
      <c r="H60" s="11">
        <v>0.06</v>
      </c>
      <c r="I60" s="11">
        <v>0.045</v>
      </c>
      <c r="J60" s="11">
        <v>0.06</v>
      </c>
      <c r="K60" s="11">
        <f t="shared" si="3"/>
        <v>0.05499999999999999</v>
      </c>
    </row>
    <row r="61" spans="1:11" ht="15">
      <c r="A61" s="52"/>
      <c r="B61" s="52"/>
      <c r="C61" s="54"/>
      <c r="D61" s="54"/>
      <c r="E61" s="54"/>
      <c r="F61" s="54"/>
      <c r="G61" s="54"/>
      <c r="H61" s="54"/>
      <c r="I61" s="54"/>
      <c r="J61" s="54"/>
      <c r="K61" s="54"/>
    </row>
    <row r="62" spans="3:11" ht="15"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5.75">
      <c r="A63" s="27" t="str">
        <f>+'Sch 7, p 2'!A63</f>
        <v>Average</v>
      </c>
      <c r="C63" s="11">
        <f>AVERAGE(C41:C60)</f>
        <v>0.027500000000000004</v>
      </c>
      <c r="D63" s="11">
        <f>AVERAGE(D41:D60)</f>
        <v>0.005294117647058822</v>
      </c>
      <c r="E63" s="11">
        <f>AVERAGE(E41:E60)</f>
        <v>0.01684210526315789</v>
      </c>
      <c r="F63" s="39">
        <f>AVERAGE(F41:F60)</f>
        <v>0.020657894736842108</v>
      </c>
      <c r="G63" s="11"/>
      <c r="H63" s="11">
        <f>AVERAGE(H41:H60)</f>
        <v>0.0736842105263158</v>
      </c>
      <c r="I63" s="11">
        <f>AVERAGE(I41:I60)</f>
        <v>0.060789473684210525</v>
      </c>
      <c r="J63" s="11">
        <f>AVERAGE(J41:J60)</f>
        <v>0.0655263157894737</v>
      </c>
      <c r="K63" s="39">
        <f>AVERAGE(K41:K60)</f>
        <v>0.06666666666666668</v>
      </c>
    </row>
    <row r="64" spans="1:11" ht="15.75" thickBot="1">
      <c r="A64" s="55"/>
      <c r="B64" s="55"/>
      <c r="C64" s="57"/>
      <c r="D64" s="57"/>
      <c r="E64" s="57"/>
      <c r="F64" s="57"/>
      <c r="G64" s="57"/>
      <c r="H64" s="57"/>
      <c r="I64" s="57"/>
      <c r="J64" s="57"/>
      <c r="K64" s="57"/>
    </row>
    <row r="65" spans="3:11" ht="15.75" thickTop="1"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5.75">
      <c r="A66" s="40" t="str">
        <f>+'Sch 7, p 2'!A66</f>
        <v>Morin Natural Gas Utilities</v>
      </c>
      <c r="C66" s="11"/>
      <c r="D66" s="11"/>
      <c r="E66" s="11"/>
      <c r="F66" s="11"/>
      <c r="G66" s="11"/>
      <c r="H66" s="11"/>
      <c r="I66" s="11"/>
      <c r="J66" s="11"/>
      <c r="K66" s="11"/>
    </row>
    <row r="67" spans="3:11" ht="15"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5">
      <c r="A68" s="27" t="str">
        <f>+'Sch 7, p 2'!A68</f>
        <v>AGL Resources</v>
      </c>
      <c r="C68" s="11">
        <f aca="true" t="shared" si="4" ref="C68:E69">+C18</f>
        <v>0.135</v>
      </c>
      <c r="D68" s="11">
        <f t="shared" si="4"/>
        <v>0.02</v>
      </c>
      <c r="E68" s="11">
        <f t="shared" si="4"/>
        <v>0.085</v>
      </c>
      <c r="F68" s="11">
        <f aca="true" t="shared" si="5" ref="F68:F79">AVERAGE(C68:E68)</f>
        <v>0.08</v>
      </c>
      <c r="G68" s="11"/>
      <c r="H68" s="11">
        <f aca="true" t="shared" si="6" ref="H68:J69">+H18</f>
        <v>0.04</v>
      </c>
      <c r="I68" s="11">
        <f t="shared" si="6"/>
        <v>0.065</v>
      </c>
      <c r="J68" s="11">
        <f t="shared" si="6"/>
        <v>0.06</v>
      </c>
      <c r="K68" s="11">
        <f aca="true" t="shared" si="7" ref="K68:K79">AVERAGE(H68:J68)</f>
        <v>0.055</v>
      </c>
    </row>
    <row r="69" spans="1:11" ht="15">
      <c r="A69" s="27" t="str">
        <f>+'Sch 7, p 2'!A69</f>
        <v>Atmos Energy</v>
      </c>
      <c r="C69" s="11">
        <f t="shared" si="4"/>
        <v>0.065</v>
      </c>
      <c r="D69" s="11">
        <f t="shared" si="4"/>
        <v>0.02</v>
      </c>
      <c r="E69" s="11">
        <f t="shared" si="4"/>
        <v>0.085</v>
      </c>
      <c r="F69" s="11">
        <f t="shared" si="5"/>
        <v>0.05666666666666667</v>
      </c>
      <c r="G69" s="11"/>
      <c r="H69" s="11">
        <f t="shared" si="6"/>
        <v>0.07</v>
      </c>
      <c r="I69" s="11">
        <f t="shared" si="6"/>
        <v>0.02</v>
      </c>
      <c r="J69" s="11">
        <f t="shared" si="6"/>
        <v>0.05</v>
      </c>
      <c r="K69" s="11">
        <f t="shared" si="7"/>
        <v>0.04666666666666667</v>
      </c>
    </row>
    <row r="70" spans="1:11" ht="15">
      <c r="A70" s="27" t="str">
        <f>+'Sch 7, p 2'!A70</f>
        <v>KeySpan Corp.</v>
      </c>
      <c r="C70" s="11">
        <f aca="true" t="shared" si="8" ref="C70:E72">+C22</f>
        <v>0.255</v>
      </c>
      <c r="D70" s="11">
        <f t="shared" si="8"/>
        <v>0.015</v>
      </c>
      <c r="E70" s="11">
        <f t="shared" si="8"/>
        <v>0.025</v>
      </c>
      <c r="F70" s="11">
        <f t="shared" si="5"/>
        <v>0.09833333333333334</v>
      </c>
      <c r="G70" s="11"/>
      <c r="H70" s="11">
        <f aca="true" t="shared" si="9" ref="H70:J72">+H22</f>
        <v>0.015</v>
      </c>
      <c r="I70" s="11">
        <f t="shared" si="9"/>
        <v>0.025</v>
      </c>
      <c r="J70" s="11">
        <f t="shared" si="9"/>
        <v>0.04</v>
      </c>
      <c r="K70" s="11">
        <f t="shared" si="7"/>
        <v>0.02666666666666667</v>
      </c>
    </row>
    <row r="71" spans="1:11" ht="15">
      <c r="A71" s="27" t="str">
        <f>+'Sch 7, p 2'!A71</f>
        <v>Laclede Group</v>
      </c>
      <c r="C71" s="11">
        <f t="shared" si="8"/>
        <v>0.045</v>
      </c>
      <c r="D71" s="11">
        <f t="shared" si="8"/>
        <v>0.005</v>
      </c>
      <c r="E71" s="11">
        <f t="shared" si="8"/>
        <v>0.025</v>
      </c>
      <c r="F71" s="11">
        <f t="shared" si="5"/>
        <v>0.024999999999999998</v>
      </c>
      <c r="G71" s="11"/>
      <c r="H71" s="11">
        <f t="shared" si="9"/>
        <v>0.06</v>
      </c>
      <c r="I71" s="11">
        <f t="shared" si="9"/>
        <v>0.02</v>
      </c>
      <c r="J71" s="11">
        <f t="shared" si="9"/>
        <v>0.055</v>
      </c>
      <c r="K71" s="11">
        <f t="shared" si="7"/>
        <v>0.045000000000000005</v>
      </c>
    </row>
    <row r="72" spans="1:11" ht="15">
      <c r="A72" s="27" t="str">
        <f>+'Sch 7, p 2'!A72</f>
        <v>New Jersey Resources</v>
      </c>
      <c r="C72" s="11">
        <f t="shared" si="8"/>
        <v>0.085</v>
      </c>
      <c r="D72" s="11">
        <f t="shared" si="8"/>
        <v>0.03</v>
      </c>
      <c r="E72" s="11">
        <f t="shared" si="8"/>
        <v>0.07</v>
      </c>
      <c r="F72" s="11">
        <f t="shared" si="5"/>
        <v>0.06166666666666667</v>
      </c>
      <c r="G72" s="11"/>
      <c r="H72" s="11">
        <f t="shared" si="9"/>
        <v>0.045</v>
      </c>
      <c r="I72" s="11">
        <f t="shared" si="9"/>
        <v>0.045</v>
      </c>
      <c r="J72" s="11">
        <f t="shared" si="9"/>
        <v>0.06</v>
      </c>
      <c r="K72" s="11">
        <f t="shared" si="7"/>
        <v>0.049999999999999996</v>
      </c>
    </row>
    <row r="73" spans="1:11" ht="15">
      <c r="A73" s="27" t="str">
        <f>+'Sch 7, p 2'!A73</f>
        <v>Northwest Natural Gas</v>
      </c>
      <c r="C73" s="11">
        <f aca="true" t="shared" si="10" ref="C73:E76">+C26</f>
        <v>0.05</v>
      </c>
      <c r="D73" s="11">
        <f t="shared" si="10"/>
        <v>0.01</v>
      </c>
      <c r="E73" s="11">
        <f t="shared" si="10"/>
        <v>0.035</v>
      </c>
      <c r="F73" s="11">
        <f t="shared" si="5"/>
        <v>0.03166666666666667</v>
      </c>
      <c r="G73" s="11"/>
      <c r="H73" s="11">
        <f aca="true" t="shared" si="11" ref="H73:J76">+H26</f>
        <v>0.07</v>
      </c>
      <c r="I73" s="11">
        <f t="shared" si="11"/>
        <v>0.04</v>
      </c>
      <c r="J73" s="11">
        <f t="shared" si="11"/>
        <v>0.035</v>
      </c>
      <c r="K73" s="11">
        <f t="shared" si="7"/>
        <v>0.04833333333333334</v>
      </c>
    </row>
    <row r="74" spans="1:11" ht="15">
      <c r="A74" s="27" t="str">
        <f>+'Sch 7, p 2'!A74</f>
        <v>Peoples Energy</v>
      </c>
      <c r="C74" s="11">
        <f t="shared" si="10"/>
        <v>0</v>
      </c>
      <c r="D74" s="11">
        <f t="shared" si="10"/>
        <v>0.02</v>
      </c>
      <c r="E74" s="11">
        <f t="shared" si="10"/>
        <v>0.005</v>
      </c>
      <c r="F74" s="11">
        <f t="shared" si="5"/>
        <v>0.008333333333333333</v>
      </c>
      <c r="G74" s="11"/>
      <c r="H74" s="11">
        <f t="shared" si="11"/>
        <v>0.015</v>
      </c>
      <c r="I74" s="11">
        <f t="shared" si="11"/>
        <v>0.005</v>
      </c>
      <c r="J74" s="11"/>
      <c r="K74" s="11">
        <f t="shared" si="7"/>
        <v>0.01</v>
      </c>
    </row>
    <row r="75" spans="1:11" ht="15">
      <c r="A75" s="27" t="str">
        <f>+'Sch 7, p 2'!A75</f>
        <v>Piedmont Natural Gas</v>
      </c>
      <c r="C75" s="11">
        <f t="shared" si="10"/>
        <v>0.05</v>
      </c>
      <c r="D75" s="11">
        <f t="shared" si="10"/>
        <v>0.05</v>
      </c>
      <c r="E75" s="11">
        <f t="shared" si="10"/>
        <v>0.065</v>
      </c>
      <c r="F75" s="11">
        <f t="shared" si="5"/>
        <v>0.055</v>
      </c>
      <c r="G75" s="11"/>
      <c r="H75" s="11">
        <f t="shared" si="11"/>
        <v>0.06</v>
      </c>
      <c r="I75" s="11">
        <f t="shared" si="11"/>
        <v>0.055</v>
      </c>
      <c r="J75" s="11">
        <f t="shared" si="11"/>
        <v>0.045</v>
      </c>
      <c r="K75" s="11">
        <f t="shared" si="7"/>
        <v>0.05333333333333332</v>
      </c>
    </row>
    <row r="76" spans="1:11" ht="15">
      <c r="A76" s="27" t="str">
        <f>+'Sch 7, p 2'!A76</f>
        <v>South Jersey Industries</v>
      </c>
      <c r="C76" s="11">
        <f t="shared" si="10"/>
        <v>0.115</v>
      </c>
      <c r="D76" s="11">
        <f t="shared" si="10"/>
        <v>0.025</v>
      </c>
      <c r="E76" s="11">
        <f t="shared" si="10"/>
        <v>0.13</v>
      </c>
      <c r="F76" s="11">
        <f t="shared" si="5"/>
        <v>0.09000000000000001</v>
      </c>
      <c r="G76" s="11"/>
      <c r="H76" s="11">
        <f t="shared" si="11"/>
        <v>0.07</v>
      </c>
      <c r="I76" s="11">
        <f t="shared" si="11"/>
        <v>0.06</v>
      </c>
      <c r="J76" s="11">
        <f t="shared" si="11"/>
        <v>0.06</v>
      </c>
      <c r="K76" s="11">
        <f t="shared" si="7"/>
        <v>0.06333333333333334</v>
      </c>
    </row>
    <row r="77" spans="1:11" ht="15">
      <c r="A77" s="27" t="str">
        <f>+'Sch 7, p 2'!A77</f>
        <v>Southwest Gas</v>
      </c>
      <c r="C77" s="11">
        <f aca="true" t="shared" si="12" ref="C77:E79">+C30</f>
        <v>-0.005</v>
      </c>
      <c r="D77" s="11">
        <f t="shared" si="12"/>
        <v>0</v>
      </c>
      <c r="E77" s="11">
        <f t="shared" si="12"/>
        <v>0.03</v>
      </c>
      <c r="F77" s="11">
        <f t="shared" si="5"/>
        <v>0.008333333333333333</v>
      </c>
      <c r="G77" s="11"/>
      <c r="H77" s="11">
        <f aca="true" t="shared" si="13" ref="H77:J79">+H30</f>
        <v>0.095</v>
      </c>
      <c r="I77" s="11">
        <f t="shared" si="13"/>
        <v>0</v>
      </c>
      <c r="J77" s="11">
        <f t="shared" si="13"/>
        <v>0.04</v>
      </c>
      <c r="K77" s="11">
        <f t="shared" si="7"/>
        <v>0.045000000000000005</v>
      </c>
    </row>
    <row r="78" spans="1:11" ht="15">
      <c r="A78" s="27" t="str">
        <f>+'Sch 7, p 2'!A78</f>
        <v>UGI Corp.</v>
      </c>
      <c r="C78" s="11">
        <f t="shared" si="12"/>
        <v>0.24</v>
      </c>
      <c r="D78" s="11">
        <f t="shared" si="12"/>
        <v>0.04</v>
      </c>
      <c r="E78" s="11">
        <f t="shared" si="12"/>
        <v>0.2</v>
      </c>
      <c r="F78" s="11">
        <f t="shared" si="5"/>
        <v>0.16</v>
      </c>
      <c r="G78" s="11"/>
      <c r="H78" s="11">
        <f t="shared" si="13"/>
        <v>0.055</v>
      </c>
      <c r="I78" s="11">
        <f t="shared" si="13"/>
        <v>0.05</v>
      </c>
      <c r="J78" s="11">
        <f t="shared" si="13"/>
        <v>0.1</v>
      </c>
      <c r="K78" s="11">
        <f t="shared" si="7"/>
        <v>0.06833333333333334</v>
      </c>
    </row>
    <row r="79" spans="1:11" ht="15">
      <c r="A79" s="27" t="str">
        <f>+'Sch 7, p 2'!A79</f>
        <v>WGL Corp.</v>
      </c>
      <c r="C79" s="11">
        <f t="shared" si="12"/>
        <v>0.06</v>
      </c>
      <c r="D79" s="11">
        <f t="shared" si="12"/>
        <v>0.015</v>
      </c>
      <c r="E79" s="11">
        <f t="shared" si="12"/>
        <v>0.03</v>
      </c>
      <c r="F79" s="11">
        <f t="shared" si="5"/>
        <v>0.034999999999999996</v>
      </c>
      <c r="G79" s="11"/>
      <c r="H79" s="11">
        <f t="shared" si="13"/>
        <v>0.02</v>
      </c>
      <c r="I79" s="11">
        <f t="shared" si="13"/>
        <v>0.02</v>
      </c>
      <c r="J79" s="11">
        <f t="shared" si="13"/>
        <v>0.04</v>
      </c>
      <c r="K79" s="11">
        <f t="shared" si="7"/>
        <v>0.02666666666666667</v>
      </c>
    </row>
    <row r="80" spans="1:11" ht="15">
      <c r="A80" s="52"/>
      <c r="B80" s="52"/>
      <c r="C80" s="54"/>
      <c r="D80" s="54"/>
      <c r="E80" s="54"/>
      <c r="F80" s="54"/>
      <c r="G80" s="54"/>
      <c r="H80" s="54"/>
      <c r="I80" s="54"/>
      <c r="J80" s="54"/>
      <c r="K80" s="54"/>
    </row>
    <row r="81" spans="3:11" ht="15"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5.75">
      <c r="A82" s="27" t="str">
        <f>+'Sch 7, p 2'!A82</f>
        <v>Average</v>
      </c>
      <c r="C82" s="11">
        <f>AVERAGE(C68:C79)</f>
        <v>0.09125000000000001</v>
      </c>
      <c r="D82" s="11">
        <f>AVERAGE(D68:D79)</f>
        <v>0.020833333333333332</v>
      </c>
      <c r="E82" s="11">
        <f>AVERAGE(E68:E79)</f>
        <v>0.06541666666666668</v>
      </c>
      <c r="F82" s="39">
        <f>AVERAGE(F68:F79)</f>
        <v>0.05916666666666667</v>
      </c>
      <c r="G82" s="11"/>
      <c r="H82" s="11">
        <f>AVERAGE(H68:H79)</f>
        <v>0.05125000000000001</v>
      </c>
      <c r="I82" s="11">
        <f>AVERAGE(I68:I79)</f>
        <v>0.03375</v>
      </c>
      <c r="J82" s="11">
        <f>AVERAGE(J68:J79)</f>
        <v>0.05318181818181819</v>
      </c>
      <c r="K82" s="39">
        <f>AVERAGE(K68:K79)</f>
        <v>0.04486111111111111</v>
      </c>
    </row>
    <row r="83" spans="1:11" ht="15.75" thickBot="1">
      <c r="A83" s="55"/>
      <c r="B83" s="55"/>
      <c r="C83" s="57"/>
      <c r="D83" s="57"/>
      <c r="E83" s="57"/>
      <c r="F83" s="57"/>
      <c r="G83" s="57"/>
      <c r="H83" s="57"/>
      <c r="I83" s="57"/>
      <c r="J83" s="57"/>
      <c r="K83" s="57"/>
    </row>
    <row r="84" spans="3:11" ht="15.75" thickTop="1"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5">
      <c r="A85" s="27" t="str">
        <f>+'Sch 7, p 2'!A85</f>
        <v>Source:  Value Line Investment Survey.</v>
      </c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90" spans="4:6" ht="15">
      <c r="D90" s="36"/>
      <c r="E90" s="36"/>
      <c r="F90" s="36"/>
    </row>
    <row r="91" spans="4:6" ht="15">
      <c r="D91" s="34"/>
      <c r="E91" s="34"/>
      <c r="F91" s="34"/>
    </row>
    <row r="92" spans="4:6" ht="15">
      <c r="D92" s="34"/>
      <c r="E92" s="34"/>
      <c r="F92" s="34"/>
    </row>
    <row r="93" spans="4:6" ht="15">
      <c r="D93" s="34"/>
      <c r="E93" s="34"/>
      <c r="F93" s="34"/>
    </row>
    <row r="94" spans="4:6" ht="15">
      <c r="D94" s="36"/>
      <c r="E94" s="36"/>
      <c r="F94" s="36"/>
    </row>
    <row r="95" spans="4:6" ht="15">
      <c r="D95" s="36"/>
      <c r="E95" s="36"/>
      <c r="F95" s="36"/>
    </row>
    <row r="96" spans="4:6" ht="15">
      <c r="D96" s="36"/>
      <c r="E96" s="36"/>
      <c r="F96" s="36"/>
    </row>
  </sheetData>
  <printOptions horizontalCentered="1"/>
  <pageMargins left="0.5" right="0.5" top="0.5" bottom="0.55" header="0" footer="0"/>
  <pageSetup fitToHeight="1" fitToWidth="1" horizontalDpi="600" verticalDpi="600" orientation="portrait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showOutlineSymbols="0" zoomScale="87" zoomScaleNormal="87" workbookViewId="0" topLeftCell="A1">
      <selection activeCell="H54" sqref="H54"/>
    </sheetView>
  </sheetViews>
  <sheetFormatPr defaultColWidth="8.88671875" defaultRowHeight="15"/>
  <cols>
    <col min="1" max="1" width="23.77734375" style="27" customWidth="1"/>
    <col min="2" max="2" width="2.77734375" style="27" customWidth="1"/>
    <col min="3" max="4" width="12.77734375" style="27" customWidth="1"/>
    <col min="5" max="5" width="13.6640625" style="27" customWidth="1"/>
    <col min="6" max="6" width="12.77734375" style="27" customWidth="1"/>
    <col min="7" max="7" width="13.6640625" style="27" customWidth="1"/>
    <col min="8" max="8" width="10.99609375" style="27" customWidth="1"/>
    <col min="9" max="10" width="10.77734375" style="27" customWidth="1"/>
    <col min="11" max="16384" width="9.77734375" style="27" customWidth="1"/>
  </cols>
  <sheetData>
    <row r="1" ht="15.75">
      <c r="I1" s="2" t="str">
        <f>+'Sch 7, p 3'!J1</f>
        <v>Exhibit No. ___ (DCP-8)</v>
      </c>
    </row>
    <row r="2" ht="15.75">
      <c r="I2" s="2" t="str">
        <f>'Sch 7, p 3'!J2</f>
        <v>Schedule 7</v>
      </c>
    </row>
    <row r="3" ht="15.75">
      <c r="I3" s="2" t="s">
        <v>172</v>
      </c>
    </row>
    <row r="4" ht="15.75">
      <c r="J4" s="2"/>
    </row>
    <row r="5" ht="15.75">
      <c r="J5" s="2"/>
    </row>
    <row r="6" spans="1:10" ht="20.25">
      <c r="A6" s="3" t="str">
        <f>'Sch 7, p 3'!A6</f>
        <v>COMPARISON COMPANIES</v>
      </c>
      <c r="B6" s="3"/>
      <c r="C6" s="3"/>
      <c r="D6" s="3"/>
      <c r="E6" s="3"/>
      <c r="F6" s="3"/>
      <c r="G6" s="3"/>
      <c r="H6" s="3"/>
      <c r="I6" s="3"/>
      <c r="J6" s="3"/>
    </row>
    <row r="7" spans="1:10" ht="20.25">
      <c r="A7" s="3" t="s">
        <v>113</v>
      </c>
      <c r="B7" s="3"/>
      <c r="C7" s="3"/>
      <c r="D7" s="3"/>
      <c r="E7" s="3"/>
      <c r="F7" s="3"/>
      <c r="G7" s="3"/>
      <c r="H7" s="3"/>
      <c r="I7" s="3"/>
      <c r="J7" s="3"/>
    </row>
    <row r="12" spans="1:10" ht="1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4:8" ht="15">
      <c r="D13" s="10" t="s">
        <v>116</v>
      </c>
      <c r="E13" s="10" t="s">
        <v>118</v>
      </c>
      <c r="F13" s="10" t="s">
        <v>116</v>
      </c>
      <c r="G13" s="10" t="s">
        <v>118</v>
      </c>
      <c r="H13" s="10" t="s">
        <v>160</v>
      </c>
    </row>
    <row r="14" spans="3:10" ht="15">
      <c r="C14" s="10" t="s">
        <v>115</v>
      </c>
      <c r="D14" s="10" t="s">
        <v>117</v>
      </c>
      <c r="E14" s="10" t="s">
        <v>117</v>
      </c>
      <c r="F14" s="10" t="s">
        <v>119</v>
      </c>
      <c r="G14" s="10" t="s">
        <v>119</v>
      </c>
      <c r="H14" s="10" t="s">
        <v>111</v>
      </c>
      <c r="I14" s="10" t="s">
        <v>100</v>
      </c>
      <c r="J14" s="10" t="s">
        <v>120</v>
      </c>
    </row>
    <row r="15" spans="3:10" ht="15">
      <c r="C15" s="10" t="s">
        <v>105</v>
      </c>
      <c r="D15" s="10" t="s">
        <v>34</v>
      </c>
      <c r="E15" s="10" t="s">
        <v>34</v>
      </c>
      <c r="F15" s="10" t="s">
        <v>34</v>
      </c>
      <c r="G15" s="10" t="s">
        <v>34</v>
      </c>
      <c r="H15" s="10" t="s">
        <v>34</v>
      </c>
      <c r="I15" s="10" t="s">
        <v>34</v>
      </c>
      <c r="J15" s="10" t="s">
        <v>121</v>
      </c>
    </row>
    <row r="16" ht="15">
      <c r="A16" s="33" t="str">
        <f>+'Sch 7, p 3'!A12</f>
        <v>COMPANY</v>
      </c>
    </row>
    <row r="18" spans="1:10" ht="1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ht="15">
      <c r="A19" s="38"/>
    </row>
    <row r="20" ht="15.75">
      <c r="A20" s="64" t="str">
        <f>+'Sch 7, p 3'!A16</f>
        <v>Value Line Natural Gas</v>
      </c>
    </row>
    <row r="22" spans="1:10" ht="15">
      <c r="A22" s="38" t="str">
        <f>+'Sch 7, p 3'!A18</f>
        <v>AGL Resources</v>
      </c>
      <c r="C22" s="11">
        <f>'Sch 7, p1'!H19*(1+0.5*I22)</f>
        <v>0.04197902241822859</v>
      </c>
      <c r="D22" s="11">
        <f>+'Sch 7, p 2'!H18</f>
        <v>0.05920000000000001</v>
      </c>
      <c r="E22" s="11">
        <f>+'Sch 7, p 2'!L18</f>
        <v>0.05333333333333334</v>
      </c>
      <c r="F22" s="11">
        <f>+'Sch 7, p 3'!F18</f>
        <v>0.08</v>
      </c>
      <c r="G22" s="11">
        <f>+'Sch 7, p 3'!K18</f>
        <v>0.055</v>
      </c>
      <c r="H22" s="11">
        <v>0.043</v>
      </c>
      <c r="I22" s="11">
        <f>AVERAGE(D22:H22)</f>
        <v>0.05810666666666666</v>
      </c>
      <c r="J22" s="11">
        <f>C22+I22</f>
        <v>0.10008568908489525</v>
      </c>
    </row>
    <row r="23" spans="1:10" ht="15">
      <c r="A23" s="38" t="str">
        <f>+'Sch 7, p 3'!A19</f>
        <v>Atmos Energy</v>
      </c>
      <c r="C23" s="11">
        <f>'Sch 7, p1'!H20*(1+0.5*I23)</f>
        <v>0.048066875699888024</v>
      </c>
      <c r="D23" s="11">
        <f>+'Sch 7, p 2'!H19</f>
        <v>0.0216</v>
      </c>
      <c r="E23" s="11">
        <f>+'Sch 7, p 2'!L19</f>
        <v>0.035</v>
      </c>
      <c r="F23" s="11">
        <f>+'Sch 7, p 3'!F19</f>
        <v>0.05666666666666667</v>
      </c>
      <c r="G23" s="11">
        <f>+'Sch 7, p 3'!K19</f>
        <v>0.04666666666666667</v>
      </c>
      <c r="H23" s="11">
        <v>0.06</v>
      </c>
      <c r="I23" s="11">
        <f aca="true" t="shared" si="0" ref="I23:I36">AVERAGE(D23:H23)</f>
        <v>0.04398666666666667</v>
      </c>
      <c r="J23" s="11">
        <f aca="true" t="shared" si="1" ref="J23:J36">C23+I23</f>
        <v>0.09205354236655469</v>
      </c>
    </row>
    <row r="24" spans="1:10" ht="15">
      <c r="A24" s="38" t="str">
        <f>+'Sch 7, p 3'!A20</f>
        <v>Cascade Natural Gas</v>
      </c>
      <c r="C24" s="11">
        <f>'Sch 7, p1'!H21*(1+0.5*I24)</f>
        <v>0.04796118343195266</v>
      </c>
      <c r="D24" s="11">
        <f>+'Sch 7, p 2'!H20</f>
        <v>0.016800000000000002</v>
      </c>
      <c r="E24" s="11">
        <f>+'Sch 7, p 2'!L20</f>
        <v>0.021666666666666667</v>
      </c>
      <c r="F24" s="11">
        <f>+'Sch 7, p 3'!F20</f>
        <v>-0.011666666666666667</v>
      </c>
      <c r="G24" s="11">
        <f>+'Sch 7, p 3'!K20</f>
        <v>0.065</v>
      </c>
      <c r="H24" s="11">
        <v>0.04</v>
      </c>
      <c r="I24" s="11">
        <f t="shared" si="0"/>
        <v>0.02636</v>
      </c>
      <c r="J24" s="11">
        <f t="shared" si="1"/>
        <v>0.07432118343195265</v>
      </c>
    </row>
    <row r="25" spans="1:10" ht="15">
      <c r="A25" s="38" t="str">
        <f>+'Sch 7, p 3'!A21</f>
        <v>Energen</v>
      </c>
      <c r="C25" s="11">
        <f>'Sch 7, p1'!H22*(1+0.5*I25)</f>
        <v>0.013218535940304145</v>
      </c>
      <c r="D25" s="11">
        <f>+'Sch 7, p 2'!H21</f>
        <v>0.11520000000000001</v>
      </c>
      <c r="E25" s="11">
        <f>+'Sch 7, p 2'!L21</f>
        <v>0.19833333333333333</v>
      </c>
      <c r="F25" s="11">
        <f>+'Sch 7, p 3'!F21</f>
        <v>0.12166666666666666</v>
      </c>
      <c r="G25" s="11">
        <f>+'Sch 7, p 3'!K21</f>
        <v>0.08666666666666667</v>
      </c>
      <c r="H25" s="11">
        <v>0.08</v>
      </c>
      <c r="I25" s="11">
        <f t="shared" si="0"/>
        <v>0.12037333333333333</v>
      </c>
      <c r="J25" s="11">
        <f t="shared" si="1"/>
        <v>0.13359186927363748</v>
      </c>
    </row>
    <row r="26" spans="1:10" ht="15">
      <c r="A26" s="38" t="str">
        <f>+'Sch 7, p 3'!A22</f>
        <v>Keyspan </v>
      </c>
      <c r="C26" s="11">
        <f>'Sch 7, p1'!H23*(1+0.5*I26)</f>
        <v>0.04702636296112899</v>
      </c>
      <c r="D26" s="11">
        <f>+'Sch 7, p 2'!H22</f>
        <v>0.026799999999999997</v>
      </c>
      <c r="E26" s="11">
        <f>+'Sch 7, p 2'!L22</f>
        <v>0.02</v>
      </c>
      <c r="F26" s="11">
        <f>+'Sch 7, p 3'!F22</f>
        <v>0.09833333333333334</v>
      </c>
      <c r="G26" s="11">
        <f>+'Sch 7, p 3'!K22</f>
        <v>0.02666666666666667</v>
      </c>
      <c r="H26" s="11">
        <v>0.04</v>
      </c>
      <c r="I26" s="11">
        <f t="shared" si="0"/>
        <v>0.04236</v>
      </c>
      <c r="J26" s="11">
        <f t="shared" si="1"/>
        <v>0.08938636296112899</v>
      </c>
    </row>
    <row r="27" spans="1:10" ht="15">
      <c r="A27" s="38" t="str">
        <f>+'Sch 7, p 3'!A23</f>
        <v>Laclede Group</v>
      </c>
      <c r="C27" s="11">
        <f>'Sch 7, p1'!H24*(1+0.5*I27)</f>
        <v>0.043528431402056686</v>
      </c>
      <c r="D27" s="11">
        <f>+'Sch 7, p 2'!H23</f>
        <v>0.0214</v>
      </c>
      <c r="E27" s="11">
        <f>+'Sch 7, p 2'!L23</f>
        <v>0.04833333333333333</v>
      </c>
      <c r="F27" s="11">
        <f>+'Sch 7, p 3'!F23</f>
        <v>0.024999999999999998</v>
      </c>
      <c r="G27" s="11">
        <f>+'Sch 7, p 3'!K23</f>
        <v>0.045000000000000005</v>
      </c>
      <c r="H27" s="11">
        <v>0.045</v>
      </c>
      <c r="I27" s="11">
        <f t="shared" si="0"/>
        <v>0.03694666666666666</v>
      </c>
      <c r="J27" s="11">
        <f t="shared" si="1"/>
        <v>0.08047509806872336</v>
      </c>
    </row>
    <row r="28" spans="1:10" ht="15">
      <c r="A28" s="38" t="str">
        <f>+'Sch 7, p 3'!A24</f>
        <v>New Jersey Resources</v>
      </c>
      <c r="C28" s="11">
        <f>'Sch 7, p1'!H25*(1+0.5*I28)</f>
        <v>0.03294726809265211</v>
      </c>
      <c r="D28" s="11">
        <f>+'Sch 7, p 2'!H24</f>
        <v>0.07400000000000001</v>
      </c>
      <c r="E28" s="11">
        <f>+'Sch 7, p 2'!L24</f>
        <v>0.07666666666666667</v>
      </c>
      <c r="F28" s="11">
        <f>+'Sch 7, p 3'!F24</f>
        <v>0.06166666666666667</v>
      </c>
      <c r="G28" s="11">
        <f>+'Sch 7, p 3'!K24</f>
        <v>0.049999999999999996</v>
      </c>
      <c r="H28" s="11">
        <v>0.06</v>
      </c>
      <c r="I28" s="11">
        <f t="shared" si="0"/>
        <v>0.06446666666666667</v>
      </c>
      <c r="J28" s="11">
        <f t="shared" si="1"/>
        <v>0.09741393475931878</v>
      </c>
    </row>
    <row r="29" spans="1:10" ht="15">
      <c r="A29" s="38" t="str">
        <f>+'Sch 7, p 3'!A25</f>
        <v>NICOR</v>
      </c>
      <c r="C29" s="11">
        <f>'Sch 7, p1'!H26*(1+0.5*I29)</f>
        <v>0.046542935440069134</v>
      </c>
      <c r="D29" s="11">
        <f>+'Sch 7, p 2'!H25</f>
        <v>0.040600000000000004</v>
      </c>
      <c r="E29" s="11">
        <f>+'Sch 7, p 2'!L25</f>
        <v>0.03166666666666667</v>
      </c>
      <c r="F29" s="11">
        <f>+'Sch 7, p 3'!F25</f>
        <v>0.005</v>
      </c>
      <c r="G29" s="11">
        <f>+'Sch 7, p 3'!K25</f>
        <v>0.028333333333333332</v>
      </c>
      <c r="H29" s="11">
        <v>0.03</v>
      </c>
      <c r="I29" s="11">
        <f t="shared" si="0"/>
        <v>0.02712</v>
      </c>
      <c r="J29" s="11">
        <f t="shared" si="1"/>
        <v>0.07366293544006913</v>
      </c>
    </row>
    <row r="30" spans="1:10" ht="15">
      <c r="A30" s="38" t="str">
        <f>+'Sch 7, p 3'!A26</f>
        <v>Northwest Natural Gas</v>
      </c>
      <c r="C30" s="11">
        <f>'Sch 7, p1'!H27*(1+0.5*I30)</f>
        <v>0.040046812624395786</v>
      </c>
      <c r="D30" s="11">
        <f>+'Sch 7, p 2'!H26</f>
        <v>0.0288</v>
      </c>
      <c r="E30" s="11">
        <f>+'Sch 7, p 2'!L26</f>
        <v>0.03733333333333333</v>
      </c>
      <c r="F30" s="11">
        <f>+'Sch 7, p 3'!F26</f>
        <v>0.03166666666666667</v>
      </c>
      <c r="G30" s="11">
        <f>+'Sch 7, p 3'!K26</f>
        <v>0.04833333333333334</v>
      </c>
      <c r="H30" s="11">
        <v>0.06</v>
      </c>
      <c r="I30" s="11">
        <f t="shared" si="0"/>
        <v>0.04122666666666667</v>
      </c>
      <c r="J30" s="11">
        <f t="shared" si="1"/>
        <v>0.08127347929106246</v>
      </c>
    </row>
    <row r="31" spans="1:10" ht="15">
      <c r="A31" s="38" t="str">
        <f>+'Sch 7, p 3'!A27</f>
        <v>Peoples Energy</v>
      </c>
      <c r="C31" s="11">
        <f>'Sch 7, p1'!H28*(1+0.5*I31)</f>
        <v>0.05970449385394073</v>
      </c>
      <c r="D31" s="11">
        <f>+'Sch 7, p 2'!H27</f>
        <v>0.024800000000000003</v>
      </c>
      <c r="E31" s="11">
        <f>+'Sch 7, p 2'!L27</f>
        <v>0.008333333333333333</v>
      </c>
      <c r="F31" s="11">
        <f>+'Sch 7, p 3'!F27</f>
        <v>0.008333333333333333</v>
      </c>
      <c r="G31" s="11">
        <f>+'Sch 7, p 3'!K27</f>
        <v>0.01</v>
      </c>
      <c r="H31" s="11">
        <v>0.049</v>
      </c>
      <c r="I31" s="11">
        <f t="shared" si="0"/>
        <v>0.020093333333333335</v>
      </c>
      <c r="J31" s="11">
        <f t="shared" si="1"/>
        <v>0.07979782718727406</v>
      </c>
    </row>
    <row r="32" spans="1:10" ht="15">
      <c r="A32" s="38" t="str">
        <f>+'Sch 7, p 3'!A28</f>
        <v>Piedmont Natural Gas</v>
      </c>
      <c r="C32" s="11">
        <f>'Sch 7, p1'!H29*(1+0.5*I32)</f>
        <v>0.04027309382057073</v>
      </c>
      <c r="D32" s="11">
        <f>+'Sch 7, p 2'!H28</f>
        <v>0.030199999999999998</v>
      </c>
      <c r="E32" s="11">
        <f>+'Sch 7, p 2'!L28</f>
        <v>0.03666666666666667</v>
      </c>
      <c r="F32" s="11">
        <f>+'Sch 7, p 3'!F28</f>
        <v>0.055</v>
      </c>
      <c r="G32" s="11">
        <f>+'Sch 7, p 3'!K28</f>
        <v>0.05333333333333332</v>
      </c>
      <c r="H32" s="11">
        <v>0.042</v>
      </c>
      <c r="I32" s="11">
        <f t="shared" si="0"/>
        <v>0.04343999999999999</v>
      </c>
      <c r="J32" s="11">
        <f t="shared" si="1"/>
        <v>0.08371309382057072</v>
      </c>
    </row>
    <row r="33" spans="1:10" ht="15">
      <c r="A33" s="38" t="str">
        <f>+'Sch 7, p 3'!A29</f>
        <v>South Jersey Industries</v>
      </c>
      <c r="C33" s="11">
        <f>'Sch 7, p1'!H30*(1+0.5*I33)</f>
        <v>0.03473856502242153</v>
      </c>
      <c r="D33" s="11">
        <f>+'Sch 7, p 2'!H29</f>
        <v>0.0506</v>
      </c>
      <c r="E33" s="11">
        <f>+'Sch 7, p 2'!L29</f>
        <v>0.065</v>
      </c>
      <c r="F33" s="11">
        <f>+'Sch 7, p 3'!F29</f>
        <v>0.09000000000000001</v>
      </c>
      <c r="G33" s="11">
        <f>+'Sch 7, p 3'!K29</f>
        <v>0.06333333333333334</v>
      </c>
      <c r="H33" s="11">
        <v>0.06</v>
      </c>
      <c r="I33" s="11">
        <f t="shared" si="0"/>
        <v>0.06578666666666667</v>
      </c>
      <c r="J33" s="11">
        <f t="shared" si="1"/>
        <v>0.1005252316890882</v>
      </c>
    </row>
    <row r="34" spans="1:10" ht="15">
      <c r="A34" s="38" t="str">
        <f>+'Sch 7, p 3'!A30</f>
        <v>Southwest Gas</v>
      </c>
      <c r="C34" s="11">
        <f>'Sch 7, p1'!H31*(1+0.5*I34)</f>
        <v>0.02878947429032072</v>
      </c>
      <c r="D34" s="11">
        <f>+'Sch 7, p 2'!H30</f>
        <v>0.024</v>
      </c>
      <c r="E34" s="11">
        <f>+'Sch 7, p 2'!L30</f>
        <v>0.055</v>
      </c>
      <c r="F34" s="11">
        <f>+'Sch 7, p 3'!F30</f>
        <v>0.008333333333333333</v>
      </c>
      <c r="G34" s="11">
        <f>+'Sch 7, p 3'!K30</f>
        <v>0.045000000000000005</v>
      </c>
      <c r="H34" s="11">
        <v>0.03</v>
      </c>
      <c r="I34" s="11">
        <f t="shared" si="0"/>
        <v>0.032466666666666665</v>
      </c>
      <c r="J34" s="11">
        <f t="shared" si="1"/>
        <v>0.061256140956987386</v>
      </c>
    </row>
    <row r="35" spans="1:10" ht="15">
      <c r="A35" s="38" t="str">
        <f>+'Sch 7, p 3'!A31</f>
        <v>UGI </v>
      </c>
      <c r="C35" s="11">
        <f>'Sch 7, p1'!H32*(1+0.5*I35)</f>
        <v>0.03227796847635726</v>
      </c>
      <c r="D35" s="11">
        <f>+'Sch 7, p 2'!H31</f>
        <v>0.087</v>
      </c>
      <c r="E35" s="11">
        <f>+'Sch 7, p 2'!L31</f>
        <v>0.07666666666666666</v>
      </c>
      <c r="F35" s="11">
        <f>+'Sch 7, p 3'!F31</f>
        <v>0.16</v>
      </c>
      <c r="G35" s="11">
        <f>+'Sch 7, p 3'!K31</f>
        <v>0.06833333333333334</v>
      </c>
      <c r="H35" s="11">
        <v>0.08</v>
      </c>
      <c r="I35" s="11">
        <f t="shared" si="0"/>
        <v>0.09440000000000001</v>
      </c>
      <c r="J35" s="11">
        <f t="shared" si="1"/>
        <v>0.12667796847635726</v>
      </c>
    </row>
    <row r="36" spans="1:10" ht="15">
      <c r="A36" s="38" t="str">
        <f>+'Sch 7, p 3'!A32</f>
        <v>WGL Holdings</v>
      </c>
      <c r="C36" s="11">
        <f>'Sch 7, p1'!H33*(1+0.5*I36)</f>
        <v>0.04758160193838699</v>
      </c>
      <c r="D36" s="11">
        <f>+'Sch 7, p 2'!H32</f>
        <v>0.0374</v>
      </c>
      <c r="E36" s="11">
        <f>+'Sch 7, p 2'!L32</f>
        <v>0.03333333333333333</v>
      </c>
      <c r="F36" s="11">
        <f>+'Sch 7, p 3'!F32</f>
        <v>0.034999999999999996</v>
      </c>
      <c r="G36" s="11">
        <f>+'Sch 7, p 3'!K32</f>
        <v>0.02666666666666667</v>
      </c>
      <c r="H36" s="11">
        <v>0.035</v>
      </c>
      <c r="I36" s="11">
        <f t="shared" si="0"/>
        <v>0.03348</v>
      </c>
      <c r="J36" s="11">
        <f t="shared" si="1"/>
        <v>0.08106160193838699</v>
      </c>
    </row>
    <row r="37" spans="1:10" ht="15">
      <c r="A37" s="65"/>
      <c r="B37" s="52"/>
      <c r="C37" s="54"/>
      <c r="D37" s="54"/>
      <c r="E37" s="54"/>
      <c r="F37" s="54"/>
      <c r="G37" s="54"/>
      <c r="H37" s="54"/>
      <c r="I37" s="54"/>
      <c r="J37" s="54"/>
    </row>
    <row r="38" spans="1:10" ht="15">
      <c r="A38" s="38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38" t="s">
        <v>196</v>
      </c>
      <c r="C39" s="11">
        <f aca="true" t="shared" si="2" ref="C39:J39">AVERAGE(C22:C36)</f>
        <v>0.0403121750275116</v>
      </c>
      <c r="D39" s="11">
        <f t="shared" si="2"/>
        <v>0.04389333333333333</v>
      </c>
      <c r="E39" s="11">
        <f t="shared" si="2"/>
        <v>0.053155555555555546</v>
      </c>
      <c r="F39" s="11">
        <f t="shared" si="2"/>
        <v>0.05500000000000001</v>
      </c>
      <c r="G39" s="11">
        <f t="shared" si="2"/>
        <v>0.04788888888888889</v>
      </c>
      <c r="H39" s="11">
        <f t="shared" si="2"/>
        <v>0.05026666666666667</v>
      </c>
      <c r="I39" s="11">
        <f t="shared" si="2"/>
        <v>0.05004088888888889</v>
      </c>
      <c r="J39" s="39">
        <f t="shared" si="2"/>
        <v>0.0903530639164005</v>
      </c>
    </row>
    <row r="40" spans="1:10" ht="15">
      <c r="A40" s="65"/>
      <c r="B40" s="52"/>
      <c r="C40" s="54"/>
      <c r="D40" s="54"/>
      <c r="E40" s="54"/>
      <c r="F40" s="54"/>
      <c r="G40" s="54"/>
      <c r="H40" s="54"/>
      <c r="I40" s="54"/>
      <c r="J40" s="54"/>
    </row>
    <row r="41" spans="1:10" ht="15">
      <c r="A41" s="88"/>
      <c r="B41" s="44"/>
      <c r="C41" s="50"/>
      <c r="D41" s="50"/>
      <c r="E41" s="50"/>
      <c r="F41" s="50"/>
      <c r="G41" s="50"/>
      <c r="H41" s="50"/>
      <c r="I41" s="50"/>
      <c r="J41" s="50"/>
    </row>
    <row r="42" spans="1:10" ht="15.75">
      <c r="A42" s="88" t="s">
        <v>185</v>
      </c>
      <c r="B42" s="44"/>
      <c r="C42" s="50"/>
      <c r="D42" s="50"/>
      <c r="E42" s="50"/>
      <c r="F42" s="50"/>
      <c r="G42" s="50"/>
      <c r="H42" s="50"/>
      <c r="I42" s="50"/>
      <c r="J42" s="72">
        <f>MEDIAN(J22:J36)</f>
        <v>0.08371309382057072</v>
      </c>
    </row>
    <row r="43" spans="1:10" ht="15">
      <c r="A43" s="65"/>
      <c r="B43" s="52"/>
      <c r="C43" s="54"/>
      <c r="D43" s="54"/>
      <c r="E43" s="54"/>
      <c r="F43" s="54"/>
      <c r="G43" s="54"/>
      <c r="H43" s="54"/>
      <c r="I43" s="54"/>
      <c r="J43" s="54"/>
    </row>
    <row r="44" spans="1:10" ht="15">
      <c r="A44" s="38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38" t="s">
        <v>148</v>
      </c>
      <c r="C45" s="11"/>
      <c r="D45" s="11">
        <f>+C39+D39</f>
        <v>0.08420550836084494</v>
      </c>
      <c r="E45" s="84">
        <f>+C39+E39</f>
        <v>0.09346773058306715</v>
      </c>
      <c r="F45" s="39">
        <f>+C39+F39</f>
        <v>0.0953121750275116</v>
      </c>
      <c r="G45" s="84">
        <f>+C39+G39</f>
        <v>0.0882010639164005</v>
      </c>
      <c r="H45" s="84">
        <f>+C39+H39</f>
        <v>0.09057884169417826</v>
      </c>
      <c r="I45" s="11">
        <f>+C39+I39</f>
        <v>0.0903530639164005</v>
      </c>
      <c r="J45" s="11"/>
    </row>
    <row r="46" spans="1:10" ht="15.75" thickBot="1">
      <c r="A46" s="66"/>
      <c r="B46" s="55"/>
      <c r="C46" s="57"/>
      <c r="D46" s="57"/>
      <c r="E46" s="57"/>
      <c r="F46" s="57"/>
      <c r="G46" s="57"/>
      <c r="H46" s="57"/>
      <c r="I46" s="57"/>
      <c r="J46" s="57"/>
    </row>
    <row r="47" spans="1:10" ht="15.75" thickTop="1">
      <c r="A47" s="38"/>
      <c r="C47" s="11"/>
      <c r="D47" s="11"/>
      <c r="E47" s="11"/>
      <c r="F47" s="11"/>
      <c r="G47" s="11"/>
      <c r="H47" s="11"/>
      <c r="I47" s="11"/>
      <c r="J47" s="11"/>
    </row>
    <row r="48" spans="1:10" ht="15.75">
      <c r="A48" s="64" t="str">
        <f>+'Sch 7, p 3'!A38</f>
        <v>Morin Electricity</v>
      </c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64" t="str">
        <f>+'Sch 7, p 3'!A39</f>
        <v>Distribution Companies</v>
      </c>
      <c r="C49" s="11"/>
      <c r="D49" s="11"/>
      <c r="E49" s="11"/>
      <c r="F49" s="11"/>
      <c r="G49" s="11"/>
      <c r="H49" s="11"/>
      <c r="I49" s="11"/>
      <c r="J49" s="11"/>
    </row>
    <row r="50" spans="1:10" ht="15.75">
      <c r="A50" s="64"/>
      <c r="C50" s="11"/>
      <c r="D50" s="11"/>
      <c r="E50" s="11"/>
      <c r="F50" s="11"/>
      <c r="G50" s="11"/>
      <c r="H50" s="11"/>
      <c r="I50" s="11"/>
      <c r="J50" s="11"/>
    </row>
    <row r="51" spans="1:10" ht="15">
      <c r="A51" s="117" t="str">
        <f>+'Sch 7, p 3'!A41</f>
        <v>American Electric Power</v>
      </c>
      <c r="C51" s="11">
        <f>'Sch 7, p1'!H42*(1+0.5*I51)</f>
        <v>0.04446610929933787</v>
      </c>
      <c r="D51" s="11">
        <f>+'Sch 7, p 2'!H41</f>
        <v>0.0424</v>
      </c>
      <c r="E51" s="11">
        <f>+'Sch 7, p 2'!L41</f>
        <v>0.04666666666666667</v>
      </c>
      <c r="F51" s="11">
        <f>+'Sch 7, p 3'!F41</f>
        <v>-0.03</v>
      </c>
      <c r="G51" s="11">
        <f>+'Sch 7, p 3'!K41</f>
        <v>0.045000000000000005</v>
      </c>
      <c r="H51" s="11">
        <v>0.03</v>
      </c>
      <c r="I51" s="11">
        <f aca="true" t="shared" si="3" ref="I51:I70">AVERAGE(D51:H51)</f>
        <v>0.026813333333333335</v>
      </c>
      <c r="J51" s="11">
        <f aca="true" t="shared" si="4" ref="J51:J70">C51+I51</f>
        <v>0.0712794426326712</v>
      </c>
    </row>
    <row r="52" spans="1:10" ht="15">
      <c r="A52" s="117" t="str">
        <f>+'Sch 7, p 3'!A42</f>
        <v>Ameren Corp.</v>
      </c>
      <c r="C52" s="11">
        <f>'Sch 7, p1'!H43*(1+0.5*I52)</f>
        <v>0.05175294781382229</v>
      </c>
      <c r="D52" s="11">
        <f>+'Sch 7, p 2'!H42</f>
        <v>0.0172</v>
      </c>
      <c r="E52" s="11">
        <f>+'Sch 7, p 2'!L42</f>
        <v>0.018333333333333337</v>
      </c>
      <c r="F52" s="11">
        <f>+'Sch 7, p 3'!F42</f>
        <v>0.021666666666666667</v>
      </c>
      <c r="G52" s="11">
        <f>+'Sch 7, p 3'!K42</f>
        <v>0.015</v>
      </c>
      <c r="H52" s="11">
        <v>0.04</v>
      </c>
      <c r="I52" s="11">
        <f t="shared" si="3"/>
        <v>0.022439999999999998</v>
      </c>
      <c r="J52" s="11">
        <f t="shared" si="4"/>
        <v>0.07419294781382228</v>
      </c>
    </row>
    <row r="53" spans="1:10" ht="15">
      <c r="A53" s="117" t="str">
        <f>+'Sch 7, p 3'!A43</f>
        <v>CenterPoint Energy</v>
      </c>
      <c r="C53" s="11">
        <f>'Sch 7, p1'!H44*(1+0.5*I53)</f>
        <v>0.051434326710816776</v>
      </c>
      <c r="D53" s="11">
        <f>+'Sch 7, p 2'!H43</f>
        <v>0.07160000000000001</v>
      </c>
      <c r="E53" s="11">
        <f>+'Sch 7, p 2'!L43</f>
        <v>0.08166666666666667</v>
      </c>
      <c r="F53" s="11"/>
      <c r="G53" s="11"/>
      <c r="H53" s="11">
        <v>0.06</v>
      </c>
      <c r="I53" s="11">
        <f t="shared" si="3"/>
        <v>0.07108888888888888</v>
      </c>
      <c r="J53" s="11">
        <f t="shared" si="4"/>
        <v>0.12252321559970566</v>
      </c>
    </row>
    <row r="54" spans="1:10" ht="15">
      <c r="A54" s="117" t="str">
        <f>+'Sch 7, p 3'!A44</f>
        <v>CH Energy Group</v>
      </c>
      <c r="C54" s="11">
        <f>'Sch 7, p1'!H45*(1+0.5*I54)</f>
        <v>0.04663027965284473</v>
      </c>
      <c r="D54" s="11">
        <f>+'Sch 7, p 2'!H44</f>
        <v>0.0176</v>
      </c>
      <c r="E54" s="11">
        <f>+'Sch 7, p 2'!L44</f>
        <v>0.021666666666666667</v>
      </c>
      <c r="F54" s="11">
        <f>+'Sch 7, p 3'!F44</f>
        <v>0.001666666666666667</v>
      </c>
      <c r="G54" s="11">
        <f>+'Sch 7, p 3'!K44</f>
        <v>0.01833333333333333</v>
      </c>
      <c r="H54" s="11"/>
      <c r="I54" s="11">
        <f t="shared" si="3"/>
        <v>0.014816666666666665</v>
      </c>
      <c r="J54" s="11">
        <f t="shared" si="4"/>
        <v>0.0614469463195114</v>
      </c>
    </row>
    <row r="55" spans="1:10" ht="15">
      <c r="A55" s="117" t="str">
        <f>+'Sch 7, p 3'!A45</f>
        <v>Consolidated Edison</v>
      </c>
      <c r="C55" s="11">
        <f>'Sch 7, p1'!H46*(1+0.5*I55)</f>
        <v>0.054022730261885414</v>
      </c>
      <c r="D55" s="11">
        <f>+'Sch 7, p 2'!H45</f>
        <v>0.028199999999999996</v>
      </c>
      <c r="E55" s="11">
        <f>+'Sch 7, p 2'!L45</f>
        <v>0.023333333333333334</v>
      </c>
      <c r="F55" s="11">
        <f>+'Sch 7, p 3'!F45</f>
        <v>0.005</v>
      </c>
      <c r="G55" s="11">
        <f>+'Sch 7, p 3'!K45</f>
        <v>0.023333333333333334</v>
      </c>
      <c r="H55" s="11">
        <v>0.04</v>
      </c>
      <c r="I55" s="11">
        <f t="shared" si="3"/>
        <v>0.023973333333333336</v>
      </c>
      <c r="J55" s="11">
        <f t="shared" si="4"/>
        <v>0.07799606359521875</v>
      </c>
    </row>
    <row r="56" spans="1:10" ht="15">
      <c r="A56" s="117" t="str">
        <f>+'Sch 7, p 3'!A46</f>
        <v>Constellation Energy</v>
      </c>
      <c r="C56" s="11">
        <f>'Sch 7, p1'!H47*(1+0.5*I56)</f>
        <v>0.029671238633154476</v>
      </c>
      <c r="D56" s="11">
        <f>+'Sch 7, p 2'!H46</f>
        <v>0.06820000000000001</v>
      </c>
      <c r="E56" s="11">
        <f>+'Sch 7, p 2'!L46</f>
        <v>0.10166666666666667</v>
      </c>
      <c r="F56" s="11">
        <f>+'Sch 7, p 3'!F46</f>
        <v>0.019999999999999997</v>
      </c>
      <c r="G56" s="11">
        <f>+'Sch 7, p 3'!K46</f>
        <v>0.10333333333333333</v>
      </c>
      <c r="H56" s="11">
        <v>0.13</v>
      </c>
      <c r="I56" s="11">
        <f t="shared" si="3"/>
        <v>0.08464</v>
      </c>
      <c r="J56" s="11">
        <f t="shared" si="4"/>
        <v>0.11431123863315448</v>
      </c>
    </row>
    <row r="57" spans="1:10" ht="15">
      <c r="A57" s="117" t="str">
        <f>+'Sch 7, p 3'!A47</f>
        <v>Duquesne Light Holdings</v>
      </c>
      <c r="C57" s="11">
        <f>'Sch 7, p1'!H48*(1+0.5*I57)</f>
        <v>0.060792047068370866</v>
      </c>
      <c r="D57" s="11">
        <f>+'Sch 7, p 2'!H47</f>
        <v>0.027800000000000002</v>
      </c>
      <c r="E57" s="11">
        <f>+'Sch 7, p 2'!L47</f>
        <v>0.021666666666666667</v>
      </c>
      <c r="F57" s="11">
        <f>+'Sch 7, p 3'!F47</f>
        <v>-0.11666666666666665</v>
      </c>
      <c r="G57" s="11">
        <f>+'Sch 7, p 3'!K47</f>
        <v>0.03333333333333333</v>
      </c>
      <c r="H57" s="11">
        <v>0.022</v>
      </c>
      <c r="I57" s="11">
        <f t="shared" si="3"/>
        <v>-0.00237333333333333</v>
      </c>
      <c r="J57" s="11">
        <f t="shared" si="4"/>
        <v>0.058418713735037535</v>
      </c>
    </row>
    <row r="58" spans="1:10" ht="15">
      <c r="A58" s="117" t="str">
        <f>+'Sch 7, p 3'!A48</f>
        <v>Energy East Corp.</v>
      </c>
      <c r="C58" s="11">
        <f>'Sch 7, p1'!H49*(1+0.5*I58)</f>
        <v>0.04959705136290379</v>
      </c>
      <c r="D58" s="11">
        <f>+'Sch 7, p 2'!H48</f>
        <v>0.0412</v>
      </c>
      <c r="E58" s="11">
        <f>+'Sch 7, p 2'!L48</f>
        <v>0.023333333333333334</v>
      </c>
      <c r="F58" s="11">
        <f>+'Sch 7, p 3'!F48</f>
        <v>0.028333333333333332</v>
      </c>
      <c r="G58" s="11">
        <f>+'Sch 7, p 3'!K48</f>
        <v>0.03666666666666666</v>
      </c>
      <c r="H58" s="11">
        <v>0.04</v>
      </c>
      <c r="I58" s="11">
        <f t="shared" si="3"/>
        <v>0.03390666666666667</v>
      </c>
      <c r="J58" s="11">
        <f t="shared" si="4"/>
        <v>0.08350371802957046</v>
      </c>
    </row>
    <row r="59" spans="1:10" ht="15">
      <c r="A59" s="117" t="str">
        <f>+'Sch 7, p 3'!A49</f>
        <v>Exelon</v>
      </c>
      <c r="C59" s="11">
        <f>'Sch 7, p1'!H50*(1+0.5*I59)</f>
        <v>0.03045930236082068</v>
      </c>
      <c r="D59" s="11">
        <f>+'Sch 7, p 2'!H49</f>
        <v>0.1136</v>
      </c>
      <c r="E59" s="11">
        <f>+'Sch 7, p 2'!L49</f>
        <v>0.10333333333333333</v>
      </c>
      <c r="F59" s="11">
        <f>+'Sch 7, p 3'!F49</f>
        <v>0.0775</v>
      </c>
      <c r="G59" s="11">
        <f>+'Sch 7, p 3'!K49</f>
        <v>0.07500000000000001</v>
      </c>
      <c r="H59" s="11">
        <v>0.1</v>
      </c>
      <c r="I59" s="11">
        <f t="shared" si="3"/>
        <v>0.09388666666666667</v>
      </c>
      <c r="J59" s="11">
        <f t="shared" si="4"/>
        <v>0.12434596902748735</v>
      </c>
    </row>
    <row r="60" spans="1:10" ht="15">
      <c r="A60" s="117" t="str">
        <f>+'Sch 7, p 3'!A50</f>
        <v>FirstEnergy Corp.</v>
      </c>
      <c r="C60" s="11">
        <f>'Sch 7, p1'!H51*(1+0.5*I60)</f>
        <v>0.03591385214007782</v>
      </c>
      <c r="D60" s="11">
        <f>+'Sch 7, p 2'!H50</f>
        <v>0.0354</v>
      </c>
      <c r="E60" s="11">
        <f>+'Sch 7, p 2'!L50</f>
        <v>0.065</v>
      </c>
      <c r="F60" s="11">
        <f>+'Sch 7, p 3'!F50</f>
        <v>0.028333333333333332</v>
      </c>
      <c r="G60" s="11">
        <f>+'Sch 7, p 3'!K50</f>
        <v>0.07666666666666667</v>
      </c>
      <c r="H60" s="11">
        <v>0.05</v>
      </c>
      <c r="I60" s="11">
        <f t="shared" si="3"/>
        <v>0.05108</v>
      </c>
      <c r="J60" s="11">
        <f t="shared" si="4"/>
        <v>0.08699385214007782</v>
      </c>
    </row>
    <row r="61" spans="1:10" ht="15">
      <c r="A61" s="117" t="str">
        <f>+'Sch 7, p 3'!A51</f>
        <v>Northeast Utilities</v>
      </c>
      <c r="C61" s="11">
        <f>'Sch 7, p1'!H52*(1+0.5*I61)</f>
        <v>0.03632224159402241</v>
      </c>
      <c r="D61" s="11">
        <f>+'Sch 7, p 2'!H51</f>
        <v>0.0342</v>
      </c>
      <c r="E61" s="11">
        <f>+'Sch 7, p 2'!L51</f>
        <v>0.04</v>
      </c>
      <c r="F61" s="11">
        <f>+'Sch 7, p 3'!F51</f>
        <v>0.1975</v>
      </c>
      <c r="G61" s="11">
        <f>+'Sch 7, p 3'!K51</f>
        <v>0.075</v>
      </c>
      <c r="H61" s="11">
        <v>0.07</v>
      </c>
      <c r="I61" s="11">
        <f t="shared" si="3"/>
        <v>0.08334</v>
      </c>
      <c r="J61" s="11">
        <f t="shared" si="4"/>
        <v>0.11966224159402242</v>
      </c>
    </row>
    <row r="62" spans="1:10" ht="15">
      <c r="A62" s="117" t="str">
        <f>+'Sch 7, p 3'!A52</f>
        <v>NSTAR</v>
      </c>
      <c r="C62" s="11">
        <f>'Sch 7, p1'!H53*(1+0.5*I62)</f>
        <v>0.04483209831917586</v>
      </c>
      <c r="D62" s="11">
        <f>+'Sch 7, p 2'!H52</f>
        <v>0.05</v>
      </c>
      <c r="E62" s="11">
        <f>+'Sch 7, p 2'!L52</f>
        <v>0.049999999999999996</v>
      </c>
      <c r="F62" s="11">
        <f>+'Sch 7, p 3'!F52</f>
        <v>0.023333333333333334</v>
      </c>
      <c r="G62" s="11">
        <f>+'Sch 7, p 3'!K52</f>
        <v>0.06</v>
      </c>
      <c r="H62" s="11">
        <v>0.05</v>
      </c>
      <c r="I62" s="11">
        <f t="shared" si="3"/>
        <v>0.04666666666666667</v>
      </c>
      <c r="J62" s="11">
        <f t="shared" si="4"/>
        <v>0.09149876498584253</v>
      </c>
    </row>
    <row r="63" spans="1:10" ht="15">
      <c r="A63" s="117" t="str">
        <f>+'Sch 7, p 3'!A53</f>
        <v>PEPCO Holdings</v>
      </c>
      <c r="C63" s="11">
        <f>'Sch 7, p1'!H54*(1+0.5*I63)</f>
        <v>0.04626464231021658</v>
      </c>
      <c r="D63" s="11">
        <f>+'Sch 7, p 2'!H53</f>
        <v>0.04959999999999999</v>
      </c>
      <c r="E63" s="11">
        <f>+'Sch 7, p 2'!L53</f>
        <v>0.034999999999999996</v>
      </c>
      <c r="F63" s="11">
        <f>+'Sch 7, p 3'!F53</f>
        <v>-0.0025</v>
      </c>
      <c r="G63" s="11">
        <f>+'Sch 7, p 3'!K53</f>
        <v>0.045000000000000005</v>
      </c>
      <c r="H63" s="11">
        <v>0.04</v>
      </c>
      <c r="I63" s="11">
        <f t="shared" si="3"/>
        <v>0.03342</v>
      </c>
      <c r="J63" s="11">
        <f t="shared" si="4"/>
        <v>0.07968464231021657</v>
      </c>
    </row>
    <row r="64" spans="1:10" ht="15">
      <c r="A64" s="117" t="str">
        <f>+'Sch 7, p 3'!A54</f>
        <v>PPL Corp</v>
      </c>
      <c r="C64" s="11">
        <f>'Sch 7, p1'!H55*(1+0.5*I64)</f>
        <v>0.038458419243986255</v>
      </c>
      <c r="D64" s="11">
        <f>+'Sch 7, p 2'!H54</f>
        <v>0.1248</v>
      </c>
      <c r="E64" s="11">
        <f>+'Sch 7, p 2'!L54</f>
        <v>0.09166666666666667</v>
      </c>
      <c r="F64" s="11">
        <f>+'Sch 7, p 3'!F54</f>
        <v>0.09666666666666668</v>
      </c>
      <c r="G64" s="11">
        <f>+'Sch 7, p 3'!K54</f>
        <v>0.10000000000000002</v>
      </c>
      <c r="H64" s="11">
        <v>0.1</v>
      </c>
      <c r="I64" s="11">
        <f t="shared" si="3"/>
        <v>0.10262666666666669</v>
      </c>
      <c r="J64" s="11">
        <f t="shared" si="4"/>
        <v>0.14108508591065294</v>
      </c>
    </row>
    <row r="65" spans="1:10" ht="15">
      <c r="A65" s="117" t="str">
        <f>+'Sch 7, p 3'!A55</f>
        <v>Public Service Enter. Group</v>
      </c>
      <c r="C65" s="11">
        <f>'Sch 7, p1'!H56*(1+0.5*I65)</f>
        <v>0.03681201610992656</v>
      </c>
      <c r="D65" s="11">
        <f>+'Sch 7, p 2'!H55</f>
        <v>0.0626</v>
      </c>
      <c r="E65" s="11">
        <f>+'Sch 7, p 2'!L55</f>
        <v>0.055</v>
      </c>
      <c r="F65" s="11">
        <f>+'Sch 7, p 3'!F55</f>
        <v>0.02</v>
      </c>
      <c r="G65" s="11">
        <f>+'Sch 7, p 3'!K55</f>
        <v>0.035</v>
      </c>
      <c r="H65" s="11">
        <v>0.05</v>
      </c>
      <c r="I65" s="11">
        <f t="shared" si="3"/>
        <v>0.044520000000000004</v>
      </c>
      <c r="J65" s="11">
        <f t="shared" si="4"/>
        <v>0.08133201610992656</v>
      </c>
    </row>
    <row r="66" spans="1:10" ht="15">
      <c r="A66" s="117" t="str">
        <f>+'Sch 7, p 3'!A56</f>
        <v>SCANA Corp.</v>
      </c>
      <c r="C66" s="11">
        <f>'Sch 7, p1'!H57*(1+0.5*I66)</f>
        <v>0.04449874563558774</v>
      </c>
      <c r="D66" s="11">
        <f>+'Sch 7, p 2'!H56</f>
        <v>0.053000000000000005</v>
      </c>
      <c r="E66" s="11">
        <f>+'Sch 7, p 2'!L56</f>
        <v>0.045000000000000005</v>
      </c>
      <c r="F66" s="11">
        <f>+'Sch 7, p 3'!F56</f>
        <v>0.04</v>
      </c>
      <c r="G66" s="11">
        <f>+'Sch 7, p 3'!K56</f>
        <v>0.05333333333333334</v>
      </c>
      <c r="H66" s="11">
        <v>0.05</v>
      </c>
      <c r="I66" s="11">
        <f t="shared" si="3"/>
        <v>0.048266666666666666</v>
      </c>
      <c r="J66" s="11">
        <f t="shared" si="4"/>
        <v>0.09276541230225441</v>
      </c>
    </row>
    <row r="67" spans="1:10" ht="15">
      <c r="A67" s="117" t="str">
        <f>+'Sch 7, p 3'!A57</f>
        <v>Sempra Energy</v>
      </c>
      <c r="C67" s="11">
        <f>'Sch 7, p1'!H58*(1+0.5*I67)</f>
        <v>0.02767650515578224</v>
      </c>
      <c r="D67" s="11">
        <f>+'Sch 7, p 2'!H57</f>
        <v>0.1226</v>
      </c>
      <c r="E67" s="11">
        <f>+'Sch 7, p 2'!L57</f>
        <v>0.08833333333333333</v>
      </c>
      <c r="F67" s="11">
        <f>+'Sch 7, p 3'!F57</f>
        <v>0.07166666666666667</v>
      </c>
      <c r="G67" s="11">
        <f>+'Sch 7, p 3'!K57</f>
        <v>0.07</v>
      </c>
      <c r="H67" s="11">
        <v>0.048</v>
      </c>
      <c r="I67" s="11">
        <f t="shared" si="3"/>
        <v>0.08012</v>
      </c>
      <c r="J67" s="11">
        <f t="shared" si="4"/>
        <v>0.10779650515578224</v>
      </c>
    </row>
    <row r="68" spans="1:10" ht="15">
      <c r="A68" s="117" t="str">
        <f>+'Sch 7, p 3'!A58</f>
        <v>TXU Corp.</v>
      </c>
      <c r="C68" s="11">
        <f>'Sch 7, p1'!H59*(1+0.5*I68)</f>
        <v>0.03293730910955173</v>
      </c>
      <c r="D68" s="11">
        <f>+'Sch 7, p 2'!H58</f>
        <v>0.024</v>
      </c>
      <c r="E68" s="11">
        <f>+'Sch 7, p 2'!L58</f>
        <v>0.05666666666666667</v>
      </c>
      <c r="F68" s="11">
        <f>+'Sch 7, p 3'!F58</f>
        <v>-0.13499999999999998</v>
      </c>
      <c r="G68" s="11">
        <f>+'Sch 7, p 3'!K58</f>
        <v>0.31</v>
      </c>
      <c r="H68" s="11">
        <v>0.115</v>
      </c>
      <c r="I68" s="11">
        <f t="shared" si="3"/>
        <v>0.07413333333333334</v>
      </c>
      <c r="J68" s="11">
        <f t="shared" si="4"/>
        <v>0.10707064244288507</v>
      </c>
    </row>
    <row r="69" spans="1:10" ht="15">
      <c r="A69" s="117" t="str">
        <f>+'Sch 7, p 3'!A59</f>
        <v>Vectren Corp.</v>
      </c>
      <c r="C69" s="11">
        <f>'Sch 7, p1'!H60*(1+0.5*I69)</f>
        <v>0.04707035633055345</v>
      </c>
      <c r="D69" s="11">
        <f>+'Sch 7, p 2'!H59</f>
        <v>0.028000000000000004</v>
      </c>
      <c r="E69" s="11">
        <f>+'Sch 7, p 2'!L59</f>
        <v>0.03833333333333334</v>
      </c>
      <c r="F69" s="11">
        <f>+'Sch 7, p 3'!F59</f>
        <v>0.04</v>
      </c>
      <c r="G69" s="11">
        <f>+'Sch 7, p 3'!K59</f>
        <v>0.036666666666666674</v>
      </c>
      <c r="H69" s="11">
        <v>0.035</v>
      </c>
      <c r="I69" s="11">
        <f t="shared" si="3"/>
        <v>0.03560000000000001</v>
      </c>
      <c r="J69" s="11">
        <f t="shared" si="4"/>
        <v>0.08267035633055346</v>
      </c>
    </row>
    <row r="70" spans="1:10" ht="15">
      <c r="A70" s="117" t="str">
        <f>+'Sch 7, p 3'!A60</f>
        <v>Wisconsin Energy</v>
      </c>
      <c r="C70" s="11">
        <f>'Sch 7, p1'!H61*(1+0.5*I70)</f>
        <v>0.02391790565321867</v>
      </c>
      <c r="D70" s="11">
        <f>+'Sch 7, p 2'!H60</f>
        <v>0.06820000000000001</v>
      </c>
      <c r="E70" s="11">
        <f>+'Sch 7, p 2'!L60</f>
        <v>0.07</v>
      </c>
      <c r="F70" s="11">
        <f>+'Sch 7, p 3'!F60</f>
        <v>0.005</v>
      </c>
      <c r="G70" s="11">
        <f>+'Sch 7, p 3'!K60</f>
        <v>0.05499999999999999</v>
      </c>
      <c r="H70" s="11">
        <v>0.08</v>
      </c>
      <c r="I70" s="11">
        <f t="shared" si="3"/>
        <v>0.05564</v>
      </c>
      <c r="J70" s="11">
        <f t="shared" si="4"/>
        <v>0.07955790565321867</v>
      </c>
    </row>
    <row r="71" spans="1:10" ht="15">
      <c r="A71" s="65"/>
      <c r="B71" s="52"/>
      <c r="C71" s="54"/>
      <c r="D71" s="54"/>
      <c r="E71" s="54"/>
      <c r="F71" s="54"/>
      <c r="G71" s="54"/>
      <c r="H71" s="54"/>
      <c r="I71" s="54"/>
      <c r="J71" s="54"/>
    </row>
    <row r="72" spans="1:10" ht="15">
      <c r="A72" s="38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38" t="s">
        <v>196</v>
      </c>
      <c r="C73" s="11">
        <f aca="true" t="shared" si="5" ref="C73:J73">AVERAGE(C51:C70)</f>
        <v>0.04167650623830281</v>
      </c>
      <c r="D73" s="11">
        <f t="shared" si="5"/>
        <v>0.054010000000000016</v>
      </c>
      <c r="E73" s="11">
        <f t="shared" si="5"/>
        <v>0.053833333333333344</v>
      </c>
      <c r="F73" s="11">
        <f t="shared" si="5"/>
        <v>0.020657894736842108</v>
      </c>
      <c r="G73" s="11">
        <f t="shared" si="5"/>
        <v>0.06666666666666668</v>
      </c>
      <c r="H73" s="11">
        <f t="shared" si="5"/>
        <v>0.060526315789473706</v>
      </c>
      <c r="I73" s="11">
        <f t="shared" si="5"/>
        <v>0.05123027777777778</v>
      </c>
      <c r="J73" s="39">
        <f t="shared" si="5"/>
        <v>0.0929067840160806</v>
      </c>
    </row>
    <row r="74" spans="1:10" ht="15">
      <c r="A74" s="65"/>
      <c r="B74" s="52"/>
      <c r="C74" s="54"/>
      <c r="D74" s="54"/>
      <c r="E74" s="54"/>
      <c r="F74" s="54"/>
      <c r="G74" s="54"/>
      <c r="H74" s="54"/>
      <c r="I74" s="54"/>
      <c r="J74" s="54"/>
    </row>
    <row r="75" spans="1:10" ht="15">
      <c r="A75" s="88"/>
      <c r="B75" s="44"/>
      <c r="C75" s="50"/>
      <c r="D75" s="50"/>
      <c r="E75" s="50"/>
      <c r="F75" s="50"/>
      <c r="G75" s="50"/>
      <c r="H75" s="50"/>
      <c r="I75" s="50"/>
      <c r="J75" s="50"/>
    </row>
    <row r="76" spans="1:10" ht="15.75">
      <c r="A76" s="88" t="s">
        <v>185</v>
      </c>
      <c r="B76" s="44"/>
      <c r="C76" s="50"/>
      <c r="D76" s="50"/>
      <c r="E76" s="50"/>
      <c r="F76" s="50"/>
      <c r="G76" s="50"/>
      <c r="H76" s="50"/>
      <c r="I76" s="50"/>
      <c r="J76" s="72">
        <f>MEDIAN(J51:J70)</f>
        <v>0.08524878508482414</v>
      </c>
    </row>
    <row r="77" spans="1:10" ht="15">
      <c r="A77" s="65"/>
      <c r="B77" s="52"/>
      <c r="C77" s="54"/>
      <c r="D77" s="54"/>
      <c r="E77" s="54"/>
      <c r="F77" s="54"/>
      <c r="G77" s="54"/>
      <c r="H77" s="54"/>
      <c r="I77" s="54"/>
      <c r="J77" s="54"/>
    </row>
    <row r="78" spans="1:10" ht="15">
      <c r="A78" s="38"/>
      <c r="C78" s="11"/>
      <c r="D78" s="11"/>
      <c r="E78" s="11"/>
      <c r="F78" s="11"/>
      <c r="G78" s="11"/>
      <c r="H78" s="11"/>
      <c r="I78" s="11"/>
      <c r="J78" s="11"/>
    </row>
    <row r="79" spans="1:10" ht="15.75">
      <c r="A79" s="38" t="s">
        <v>148</v>
      </c>
      <c r="C79" s="11"/>
      <c r="D79" s="84">
        <f>+C73+D73</f>
        <v>0.09568650623830283</v>
      </c>
      <c r="E79" s="11">
        <f>+C73+E73</f>
        <v>0.09550983957163615</v>
      </c>
      <c r="F79" s="84">
        <f>+C73+F73</f>
        <v>0.06233440097514492</v>
      </c>
      <c r="G79" s="39">
        <f>+C73+G73</f>
        <v>0.10834317290496949</v>
      </c>
      <c r="H79" s="84">
        <f>+C73+H73</f>
        <v>0.10220282202777652</v>
      </c>
      <c r="I79" s="84">
        <f>+C73+I73</f>
        <v>0.09290678401608059</v>
      </c>
      <c r="J79" s="11"/>
    </row>
    <row r="80" spans="1:10" ht="15.75" thickBot="1">
      <c r="A80" s="66"/>
      <c r="B80" s="55"/>
      <c r="C80" s="57"/>
      <c r="D80" s="57"/>
      <c r="E80" s="57"/>
      <c r="F80" s="87"/>
      <c r="G80" s="57"/>
      <c r="H80" s="87"/>
      <c r="I80" s="57"/>
      <c r="J80" s="57"/>
    </row>
    <row r="81" spans="1:10" ht="15.75" thickTop="1">
      <c r="A81" s="38"/>
      <c r="C81" s="11"/>
      <c r="D81" s="11"/>
      <c r="E81" s="11"/>
      <c r="F81" s="11"/>
      <c r="G81" s="11"/>
      <c r="H81" s="11"/>
      <c r="I81" s="11"/>
      <c r="J81" s="11"/>
    </row>
    <row r="82" spans="1:10" ht="15.75">
      <c r="A82" s="64" t="str">
        <f>+'Sch 7, p 3'!A66</f>
        <v>Morin Natural Gas Utilities</v>
      </c>
      <c r="C82" s="11"/>
      <c r="D82" s="11"/>
      <c r="E82" s="11"/>
      <c r="F82" s="11"/>
      <c r="G82" s="11"/>
      <c r="H82" s="11"/>
      <c r="I82" s="11"/>
      <c r="J82" s="11"/>
    </row>
    <row r="83" spans="1:10" ht="15">
      <c r="A83" s="38"/>
      <c r="C83" s="11"/>
      <c r="D83" s="11"/>
      <c r="E83" s="11"/>
      <c r="F83" s="11"/>
      <c r="G83" s="11"/>
      <c r="H83" s="11"/>
      <c r="I83" s="11"/>
      <c r="J83" s="11"/>
    </row>
    <row r="84" spans="1:10" ht="15">
      <c r="A84" s="38" t="str">
        <f>+'Sch 7, p 3'!A68</f>
        <v>AGL Resources</v>
      </c>
      <c r="C84" s="11">
        <f>'Sch 7, p1'!H69*(1+0.5*I84)</f>
        <v>0.04197902241822859</v>
      </c>
      <c r="D84" s="11">
        <f>+'Sch 7, p 2'!H68</f>
        <v>0.05920000000000001</v>
      </c>
      <c r="E84" s="11">
        <f>+'Sch 7, p 2'!L68</f>
        <v>0.05333333333333334</v>
      </c>
      <c r="F84" s="11">
        <f>+'Sch 7, p 3'!F68</f>
        <v>0.08</v>
      </c>
      <c r="G84" s="11">
        <f>+'Sch 7, p 3'!K68</f>
        <v>0.055</v>
      </c>
      <c r="H84" s="11">
        <f>+H22</f>
        <v>0.043</v>
      </c>
      <c r="I84" s="11">
        <f aca="true" t="shared" si="6" ref="I84:I95">AVERAGE(D84:H84)</f>
        <v>0.05810666666666666</v>
      </c>
      <c r="J84" s="11">
        <f aca="true" t="shared" si="7" ref="J84:J95">C84+I84</f>
        <v>0.10008568908489525</v>
      </c>
    </row>
    <row r="85" spans="1:10" ht="15">
      <c r="A85" s="38" t="str">
        <f>+'Sch 7, p 3'!A69</f>
        <v>Atmos Energy</v>
      </c>
      <c r="C85" s="11">
        <f>'Sch 7, p1'!H70*(1+0.5*I85)</f>
        <v>0.048066875699888024</v>
      </c>
      <c r="D85" s="11">
        <f>+'Sch 7, p 2'!H69</f>
        <v>0.0216</v>
      </c>
      <c r="E85" s="11">
        <f>+'Sch 7, p 2'!L69</f>
        <v>0.035</v>
      </c>
      <c r="F85" s="11">
        <f>+'Sch 7, p 3'!F69</f>
        <v>0.05666666666666667</v>
      </c>
      <c r="G85" s="11">
        <f>+'Sch 7, p 3'!K69</f>
        <v>0.04666666666666667</v>
      </c>
      <c r="H85" s="11">
        <f>+H23</f>
        <v>0.06</v>
      </c>
      <c r="I85" s="11">
        <f t="shared" si="6"/>
        <v>0.04398666666666667</v>
      </c>
      <c r="J85" s="11">
        <f t="shared" si="7"/>
        <v>0.09205354236655469</v>
      </c>
    </row>
    <row r="86" spans="1:10" ht="15">
      <c r="A86" s="38" t="str">
        <f>+'Sch 7, p 3'!A70</f>
        <v>KeySpan Corp.</v>
      </c>
      <c r="C86" s="11">
        <f>'Sch 7, p1'!H71*(1+0.5*I86)</f>
        <v>0.04702636296112899</v>
      </c>
      <c r="D86" s="11">
        <f>+'Sch 7, p 2'!H70</f>
        <v>0.026799999999999997</v>
      </c>
      <c r="E86" s="11">
        <f>+'Sch 7, p 2'!L70</f>
        <v>0.02</v>
      </c>
      <c r="F86" s="11">
        <f>+'Sch 7, p 3'!F70</f>
        <v>0.09833333333333334</v>
      </c>
      <c r="G86" s="11">
        <f>+'Sch 7, p 3'!K70</f>
        <v>0.02666666666666667</v>
      </c>
      <c r="H86" s="11">
        <f>+H26</f>
        <v>0.04</v>
      </c>
      <c r="I86" s="11">
        <f t="shared" si="6"/>
        <v>0.04236</v>
      </c>
      <c r="J86" s="11">
        <f t="shared" si="7"/>
        <v>0.08938636296112899</v>
      </c>
    </row>
    <row r="87" spans="1:10" ht="15">
      <c r="A87" s="38" t="str">
        <f>+'Sch 7, p 3'!A71</f>
        <v>Laclede Group</v>
      </c>
      <c r="C87" s="11">
        <f>'Sch 7, p1'!H72*(1+0.5*I87)</f>
        <v>0.043528431402056686</v>
      </c>
      <c r="D87" s="11">
        <f>+'Sch 7, p 2'!H71</f>
        <v>0.0214</v>
      </c>
      <c r="E87" s="11">
        <f>+'Sch 7, p 2'!L71</f>
        <v>0.04833333333333333</v>
      </c>
      <c r="F87" s="11">
        <f>+'Sch 7, p 3'!F71</f>
        <v>0.024999999999999998</v>
      </c>
      <c r="G87" s="11">
        <f>+'Sch 7, p 3'!K71</f>
        <v>0.045000000000000005</v>
      </c>
      <c r="H87" s="11">
        <f>+H27</f>
        <v>0.045</v>
      </c>
      <c r="I87" s="11">
        <f t="shared" si="6"/>
        <v>0.03694666666666666</v>
      </c>
      <c r="J87" s="11">
        <f t="shared" si="7"/>
        <v>0.08047509806872336</v>
      </c>
    </row>
    <row r="88" spans="1:10" ht="15">
      <c r="A88" s="38" t="str">
        <f>+'Sch 7, p 3'!A72</f>
        <v>New Jersey Resources</v>
      </c>
      <c r="C88" s="11">
        <f>'Sch 7, p1'!H73*(1+0.5*I88)</f>
        <v>0.03294726809265211</v>
      </c>
      <c r="D88" s="11">
        <f>+'Sch 7, p 2'!H72</f>
        <v>0.07400000000000001</v>
      </c>
      <c r="E88" s="11">
        <f>+'Sch 7, p 2'!L72</f>
        <v>0.07666666666666667</v>
      </c>
      <c r="F88" s="11">
        <f>+'Sch 7, p 3'!F72</f>
        <v>0.06166666666666667</v>
      </c>
      <c r="G88" s="11">
        <f>+'Sch 7, p 3'!K72</f>
        <v>0.049999999999999996</v>
      </c>
      <c r="H88" s="11">
        <f>+H28</f>
        <v>0.06</v>
      </c>
      <c r="I88" s="11">
        <f t="shared" si="6"/>
        <v>0.06446666666666667</v>
      </c>
      <c r="J88" s="11">
        <f t="shared" si="7"/>
        <v>0.09741393475931878</v>
      </c>
    </row>
    <row r="89" spans="1:10" ht="15">
      <c r="A89" s="38" t="str">
        <f>+'Sch 7, p 3'!A73</f>
        <v>Northwest Natural Gas</v>
      </c>
      <c r="C89" s="11">
        <f>'Sch 7, p1'!H74*(1+0.5*I89)</f>
        <v>0.040046812624395786</v>
      </c>
      <c r="D89" s="11">
        <f>+'Sch 7, p 2'!H73</f>
        <v>0.0288</v>
      </c>
      <c r="E89" s="11">
        <f>+'Sch 7, p 2'!L73</f>
        <v>0.03733333333333333</v>
      </c>
      <c r="F89" s="11">
        <f>+'Sch 7, p 3'!F73</f>
        <v>0.03166666666666667</v>
      </c>
      <c r="G89" s="11">
        <f>+'Sch 7, p 3'!K73</f>
        <v>0.04833333333333334</v>
      </c>
      <c r="H89" s="11">
        <f aca="true" t="shared" si="8" ref="H89:H95">+H30</f>
        <v>0.06</v>
      </c>
      <c r="I89" s="11">
        <f t="shared" si="6"/>
        <v>0.04122666666666667</v>
      </c>
      <c r="J89" s="11">
        <f t="shared" si="7"/>
        <v>0.08127347929106246</v>
      </c>
    </row>
    <row r="90" spans="1:10" ht="15">
      <c r="A90" s="38" t="str">
        <f>+'Sch 7, p 3'!A74</f>
        <v>Peoples Energy</v>
      </c>
      <c r="C90" s="11">
        <f>'Sch 7, p1'!H75*(1+0.5*I90)</f>
        <v>0.05970449385394073</v>
      </c>
      <c r="D90" s="11">
        <f>+'Sch 7, p 2'!H74</f>
        <v>0.024800000000000003</v>
      </c>
      <c r="E90" s="11">
        <f>+'Sch 7, p 2'!L74</f>
        <v>0.008333333333333333</v>
      </c>
      <c r="F90" s="11">
        <f>+'Sch 7, p 3'!F74</f>
        <v>0.008333333333333333</v>
      </c>
      <c r="G90" s="11">
        <f>+G31</f>
        <v>0.01</v>
      </c>
      <c r="H90" s="11">
        <f t="shared" si="8"/>
        <v>0.049</v>
      </c>
      <c r="I90" s="11">
        <f t="shared" si="6"/>
        <v>0.020093333333333335</v>
      </c>
      <c r="J90" s="11">
        <f t="shared" si="7"/>
        <v>0.07979782718727406</v>
      </c>
    </row>
    <row r="91" spans="1:10" ht="15">
      <c r="A91" s="38" t="str">
        <f>+'Sch 7, p 3'!A75</f>
        <v>Piedmont Natural Gas</v>
      </c>
      <c r="C91" s="11">
        <f>'Sch 7, p1'!H76*(1+0.5*I91)</f>
        <v>0.04027309382057073</v>
      </c>
      <c r="D91" s="11">
        <f>+'Sch 7, p 2'!H75</f>
        <v>0.030199999999999998</v>
      </c>
      <c r="E91" s="11">
        <f>+'Sch 7, p 2'!L75</f>
        <v>0.03666666666666667</v>
      </c>
      <c r="F91" s="11">
        <f>+'Sch 7, p 3'!F75</f>
        <v>0.055</v>
      </c>
      <c r="G91" s="11">
        <f>+'Sch 7, p 3'!K75</f>
        <v>0.05333333333333332</v>
      </c>
      <c r="H91" s="11">
        <f t="shared" si="8"/>
        <v>0.042</v>
      </c>
      <c r="I91" s="11">
        <f t="shared" si="6"/>
        <v>0.04343999999999999</v>
      </c>
      <c r="J91" s="11">
        <f t="shared" si="7"/>
        <v>0.08371309382057072</v>
      </c>
    </row>
    <row r="92" spans="1:10" ht="15">
      <c r="A92" s="38" t="str">
        <f>+'Sch 7, p 3'!A76</f>
        <v>South Jersey Industries</v>
      </c>
      <c r="C92" s="11">
        <f>'Sch 7, p1'!H77*(1+0.5*I92)</f>
        <v>0.03473856502242153</v>
      </c>
      <c r="D92" s="11">
        <f>+'Sch 7, p 2'!H76</f>
        <v>0.0506</v>
      </c>
      <c r="E92" s="11">
        <f>+'Sch 7, p 2'!L76</f>
        <v>0.065</v>
      </c>
      <c r="F92" s="11">
        <f>+'Sch 7, p 3'!F76</f>
        <v>0.09000000000000001</v>
      </c>
      <c r="G92" s="11">
        <f>+'Sch 7, p 3'!K76</f>
        <v>0.06333333333333334</v>
      </c>
      <c r="H92" s="11">
        <f t="shared" si="8"/>
        <v>0.06</v>
      </c>
      <c r="I92" s="11">
        <f t="shared" si="6"/>
        <v>0.06578666666666667</v>
      </c>
      <c r="J92" s="11">
        <f t="shared" si="7"/>
        <v>0.1005252316890882</v>
      </c>
    </row>
    <row r="93" spans="1:10" ht="15">
      <c r="A93" s="38" t="str">
        <f>+'Sch 7, p 3'!A77</f>
        <v>Southwest Gas</v>
      </c>
      <c r="C93" s="11">
        <f>'Sch 7, p1'!H78*(1+0.5*I93)</f>
        <v>0.02878947429032072</v>
      </c>
      <c r="D93" s="11">
        <f>+'Sch 7, p 2'!H77</f>
        <v>0.024</v>
      </c>
      <c r="E93" s="11">
        <f>+'Sch 7, p 2'!L77</f>
        <v>0.055</v>
      </c>
      <c r="F93" s="11">
        <f>+'Sch 7, p 3'!F77</f>
        <v>0.008333333333333333</v>
      </c>
      <c r="G93" s="11">
        <f>+'Sch 7, p 3'!K77</f>
        <v>0.045000000000000005</v>
      </c>
      <c r="H93" s="11">
        <f t="shared" si="8"/>
        <v>0.03</v>
      </c>
      <c r="I93" s="11">
        <f t="shared" si="6"/>
        <v>0.032466666666666665</v>
      </c>
      <c r="J93" s="11">
        <f t="shared" si="7"/>
        <v>0.061256140956987386</v>
      </c>
    </row>
    <row r="94" spans="1:10" ht="15">
      <c r="A94" s="38" t="str">
        <f>+'Sch 7, p 3'!A78</f>
        <v>UGI Corp.</v>
      </c>
      <c r="C94" s="11">
        <f>'Sch 7, p1'!H79*(1+0.5*I94)</f>
        <v>0.03227796847635726</v>
      </c>
      <c r="D94" s="11">
        <f>+'Sch 7, p 2'!H78</f>
        <v>0.087</v>
      </c>
      <c r="E94" s="11">
        <f>+'Sch 7, p 2'!L78</f>
        <v>0.07666666666666666</v>
      </c>
      <c r="F94" s="11">
        <f>+'Sch 7, p 3'!F78</f>
        <v>0.16</v>
      </c>
      <c r="G94" s="11">
        <f>+'Sch 7, p 3'!K78</f>
        <v>0.06833333333333334</v>
      </c>
      <c r="H94" s="11">
        <f t="shared" si="8"/>
        <v>0.08</v>
      </c>
      <c r="I94" s="11">
        <f t="shared" si="6"/>
        <v>0.09440000000000001</v>
      </c>
      <c r="J94" s="11">
        <f t="shared" si="7"/>
        <v>0.12667796847635726</v>
      </c>
    </row>
    <row r="95" spans="1:10" ht="15">
      <c r="A95" s="38" t="str">
        <f>+'Sch 7, p 3'!A79</f>
        <v>WGL Corp.</v>
      </c>
      <c r="C95" s="11">
        <f>'Sch 7, p1'!H80*(1+0.5*I95)</f>
        <v>0.04758160193838699</v>
      </c>
      <c r="D95" s="11">
        <f>+'Sch 7, p 2'!H79</f>
        <v>0.0374</v>
      </c>
      <c r="E95" s="11">
        <f>+'Sch 7, p 2'!L79</f>
        <v>0.03333333333333333</v>
      </c>
      <c r="F95" s="11">
        <f>+'Sch 7, p 3'!F79</f>
        <v>0.034999999999999996</v>
      </c>
      <c r="G95" s="11">
        <f>+'Sch 7, p 3'!K79</f>
        <v>0.02666666666666667</v>
      </c>
      <c r="H95" s="11">
        <f t="shared" si="8"/>
        <v>0.035</v>
      </c>
      <c r="I95" s="11">
        <f t="shared" si="6"/>
        <v>0.03348</v>
      </c>
      <c r="J95" s="11">
        <f t="shared" si="7"/>
        <v>0.08106160193838699</v>
      </c>
    </row>
    <row r="96" spans="1:10" ht="15">
      <c r="A96" s="65"/>
      <c r="B96" s="52"/>
      <c r="C96" s="54"/>
      <c r="D96" s="54"/>
      <c r="E96" s="54"/>
      <c r="F96" s="54"/>
      <c r="G96" s="54"/>
      <c r="H96" s="54"/>
      <c r="I96" s="54"/>
      <c r="J96" s="54"/>
    </row>
    <row r="97" spans="1:10" ht="15">
      <c r="A97" s="38"/>
      <c r="C97" s="11"/>
      <c r="D97" s="11"/>
      <c r="E97" s="11"/>
      <c r="F97" s="11"/>
      <c r="G97" s="11"/>
      <c r="H97" s="11"/>
      <c r="I97" s="11"/>
      <c r="J97" s="11"/>
    </row>
    <row r="98" spans="1:10" ht="15.75">
      <c r="A98" s="38" t="s">
        <v>196</v>
      </c>
      <c r="C98" s="11">
        <f aca="true" t="shared" si="9" ref="C98:J98">AVERAGE(C84:C95)</f>
        <v>0.04141333088336234</v>
      </c>
      <c r="D98" s="11">
        <f t="shared" si="9"/>
        <v>0.040483333333333336</v>
      </c>
      <c r="E98" s="11">
        <f t="shared" si="9"/>
        <v>0.04547222222222222</v>
      </c>
      <c r="F98" s="11">
        <f t="shared" si="9"/>
        <v>0.05916666666666667</v>
      </c>
      <c r="G98" s="11">
        <f t="shared" si="9"/>
        <v>0.04486111111111111</v>
      </c>
      <c r="H98" s="11">
        <f t="shared" si="9"/>
        <v>0.050333333333333334</v>
      </c>
      <c r="I98" s="11">
        <f t="shared" si="9"/>
        <v>0.048063333333333326</v>
      </c>
      <c r="J98" s="39">
        <f t="shared" si="9"/>
        <v>0.08947666421669569</v>
      </c>
    </row>
    <row r="99" spans="1:10" ht="15">
      <c r="A99" s="65"/>
      <c r="B99" s="52"/>
      <c r="C99" s="54"/>
      <c r="D99" s="54"/>
      <c r="E99" s="54"/>
      <c r="F99" s="54"/>
      <c r="G99" s="54"/>
      <c r="H99" s="54"/>
      <c r="I99" s="54"/>
      <c r="J99" s="54"/>
    </row>
    <row r="100" spans="1:10" ht="15">
      <c r="A100" s="38"/>
      <c r="C100" s="11"/>
      <c r="D100" s="11"/>
      <c r="E100" s="11"/>
      <c r="F100" s="11"/>
      <c r="G100" s="11"/>
      <c r="H100" s="11"/>
      <c r="I100" s="11"/>
      <c r="J100" s="11"/>
    </row>
    <row r="101" spans="1:10" ht="15.75">
      <c r="A101" s="38" t="s">
        <v>185</v>
      </c>
      <c r="C101" s="11"/>
      <c r="D101" s="11"/>
      <c r="E101" s="11"/>
      <c r="F101" s="11"/>
      <c r="G101" s="11"/>
      <c r="H101" s="11"/>
      <c r="I101" s="11"/>
      <c r="J101" s="39">
        <f>MEDIAN(J84:J95)</f>
        <v>0.08654972839084986</v>
      </c>
    </row>
    <row r="102" spans="1:10" ht="15">
      <c r="A102" s="65"/>
      <c r="B102" s="52"/>
      <c r="C102" s="54"/>
      <c r="D102" s="54"/>
      <c r="E102" s="54"/>
      <c r="F102" s="54"/>
      <c r="G102" s="54"/>
      <c r="H102" s="54"/>
      <c r="I102" s="54"/>
      <c r="J102" s="54"/>
    </row>
    <row r="103" spans="1:10" ht="15">
      <c r="A103" s="38"/>
      <c r="C103" s="11"/>
      <c r="D103" s="11"/>
      <c r="E103" s="11"/>
      <c r="F103" s="11"/>
      <c r="G103" s="11"/>
      <c r="H103" s="11"/>
      <c r="I103" s="11"/>
      <c r="J103" s="11"/>
    </row>
    <row r="104" spans="1:10" ht="15.75">
      <c r="A104" s="38" t="s">
        <v>148</v>
      </c>
      <c r="C104" s="11"/>
      <c r="D104" s="84">
        <f>+C98+D98</f>
        <v>0.08189666421669567</v>
      </c>
      <c r="E104" s="84">
        <f>+C98+E98</f>
        <v>0.08688555310558456</v>
      </c>
      <c r="F104" s="39">
        <f>+C98+F98</f>
        <v>0.10057999755002901</v>
      </c>
      <c r="G104" s="11">
        <f>+C98+G98</f>
        <v>0.08627444199447346</v>
      </c>
      <c r="H104" s="11">
        <f>+C98+H98</f>
        <v>0.09174666421669567</v>
      </c>
      <c r="I104" s="11">
        <f>+D98+I98</f>
        <v>0.08854666666666666</v>
      </c>
      <c r="J104" s="11"/>
    </row>
    <row r="105" spans="1:10" ht="15.75" thickBot="1">
      <c r="A105" s="66"/>
      <c r="B105" s="55"/>
      <c r="C105" s="57"/>
      <c r="D105" s="57"/>
      <c r="E105" s="57"/>
      <c r="F105" s="57"/>
      <c r="G105" s="57"/>
      <c r="H105" s="57"/>
      <c r="I105" s="57"/>
      <c r="J105" s="57"/>
    </row>
    <row r="106" spans="1:10" ht="15.75" thickTop="1">
      <c r="A106" s="38"/>
      <c r="C106" s="11"/>
      <c r="D106" s="11"/>
      <c r="E106" s="11"/>
      <c r="F106" s="11"/>
      <c r="G106" s="11"/>
      <c r="H106" s="11"/>
      <c r="I106" s="11"/>
      <c r="J106" s="11"/>
    </row>
    <row r="107" spans="1:10" ht="15">
      <c r="A107" s="27" t="s">
        <v>114</v>
      </c>
      <c r="C107" s="11"/>
      <c r="D107" s="11"/>
      <c r="E107" s="11"/>
      <c r="F107" s="11"/>
      <c r="G107" s="11"/>
      <c r="H107" s="11"/>
      <c r="I107" s="11"/>
      <c r="J107" s="11"/>
    </row>
    <row r="108" spans="3:10" ht="15">
      <c r="C108" s="11"/>
      <c r="D108" s="11"/>
      <c r="E108" s="11"/>
      <c r="F108" s="11"/>
      <c r="G108" s="11"/>
      <c r="H108" s="11"/>
      <c r="I108" s="11"/>
      <c r="J108" s="11"/>
    </row>
    <row r="109" spans="3:10" ht="15">
      <c r="C109" s="11"/>
      <c r="D109" s="11"/>
      <c r="E109" s="11"/>
      <c r="F109" s="11"/>
      <c r="G109" s="11"/>
      <c r="H109" s="11"/>
      <c r="I109" s="11"/>
      <c r="J109" s="11"/>
    </row>
    <row r="110" spans="3:10" ht="15">
      <c r="C110" s="11"/>
      <c r="D110" s="11"/>
      <c r="E110" s="11"/>
      <c r="F110" s="11"/>
      <c r="G110" s="11"/>
      <c r="H110" s="11"/>
      <c r="I110" s="11"/>
      <c r="J110" s="11"/>
    </row>
    <row r="111" spans="3:10" ht="15">
      <c r="C111" s="11"/>
      <c r="D111" s="11"/>
      <c r="E111" s="11"/>
      <c r="F111" s="11"/>
      <c r="G111" s="11"/>
      <c r="H111" s="11"/>
      <c r="I111" s="11"/>
      <c r="J111" s="11"/>
    </row>
    <row r="112" spans="3:10" ht="15">
      <c r="C112" s="11"/>
      <c r="D112" s="11"/>
      <c r="E112" s="11"/>
      <c r="F112" s="11"/>
      <c r="G112" s="11"/>
      <c r="H112" s="11"/>
      <c r="I112" s="11"/>
      <c r="J112" s="11"/>
    </row>
    <row r="113" spans="3:10" ht="15">
      <c r="C113" s="11"/>
      <c r="D113" s="11"/>
      <c r="E113" s="11"/>
      <c r="F113" s="11"/>
      <c r="G113" s="11"/>
      <c r="H113" s="11"/>
      <c r="I113" s="11"/>
      <c r="J113" s="11"/>
    </row>
    <row r="114" spans="3:10" ht="15">
      <c r="C114" s="11"/>
      <c r="D114" s="11"/>
      <c r="E114" s="11"/>
      <c r="F114" s="11"/>
      <c r="G114" s="11"/>
      <c r="H114" s="11"/>
      <c r="I114" s="11"/>
      <c r="J114" s="11"/>
    </row>
    <row r="115" spans="3:10" ht="15">
      <c r="C115" s="11"/>
      <c r="D115" s="11"/>
      <c r="E115" s="11"/>
      <c r="F115" s="11"/>
      <c r="G115" s="11"/>
      <c r="H115" s="11"/>
      <c r="I115" s="11"/>
      <c r="J115" s="11"/>
    </row>
    <row r="116" spans="3:10" ht="15">
      <c r="C116" s="11"/>
      <c r="D116" s="11"/>
      <c r="E116" s="11"/>
      <c r="F116" s="11"/>
      <c r="G116" s="11"/>
      <c r="H116" s="11"/>
      <c r="I116" s="11"/>
      <c r="J116" s="11"/>
    </row>
    <row r="117" spans="3:10" ht="15">
      <c r="C117" s="11"/>
      <c r="D117" s="11"/>
      <c r="E117" s="11"/>
      <c r="F117" s="11"/>
      <c r="G117" s="11"/>
      <c r="H117" s="11"/>
      <c r="I117" s="11"/>
      <c r="J117" s="11"/>
    </row>
    <row r="118" spans="3:10" ht="15">
      <c r="C118" s="11"/>
      <c r="D118" s="11"/>
      <c r="E118" s="11"/>
      <c r="F118" s="11"/>
      <c r="G118" s="11"/>
      <c r="H118" s="11"/>
      <c r="I118" s="11"/>
      <c r="J118" s="11"/>
    </row>
    <row r="119" spans="3:10" ht="15">
      <c r="C119" s="11"/>
      <c r="D119" s="11"/>
      <c r="E119" s="11"/>
      <c r="F119" s="11"/>
      <c r="G119" s="11"/>
      <c r="H119" s="11"/>
      <c r="I119" s="11"/>
      <c r="J119" s="11"/>
    </row>
    <row r="120" spans="3:10" ht="15">
      <c r="C120" s="11"/>
      <c r="D120" s="11"/>
      <c r="E120" s="11"/>
      <c r="F120" s="11"/>
      <c r="G120" s="11"/>
      <c r="H120" s="11"/>
      <c r="I120" s="11"/>
      <c r="J120" s="11"/>
    </row>
    <row r="121" spans="3:10" ht="15">
      <c r="C121" s="11"/>
      <c r="D121" s="11"/>
      <c r="E121" s="11"/>
      <c r="F121" s="11"/>
      <c r="G121" s="11"/>
      <c r="H121" s="11"/>
      <c r="I121" s="11"/>
      <c r="J121" s="11"/>
    </row>
    <row r="122" spans="3:10" ht="15">
      <c r="C122" s="11"/>
      <c r="D122" s="11"/>
      <c r="E122" s="11"/>
      <c r="F122" s="11"/>
      <c r="G122" s="11"/>
      <c r="H122" s="11"/>
      <c r="I122" s="11"/>
      <c r="J122" s="11"/>
    </row>
    <row r="123" spans="3:10" ht="15">
      <c r="C123" s="11"/>
      <c r="D123" s="11"/>
      <c r="E123" s="11"/>
      <c r="F123" s="11"/>
      <c r="G123" s="11"/>
      <c r="H123" s="11"/>
      <c r="I123" s="11"/>
      <c r="J123" s="11"/>
    </row>
    <row r="124" spans="3:10" ht="15">
      <c r="C124" s="11"/>
      <c r="D124" s="11"/>
      <c r="E124" s="11"/>
      <c r="F124" s="11"/>
      <c r="G124" s="11"/>
      <c r="H124" s="11"/>
      <c r="I124" s="11"/>
      <c r="J124" s="11"/>
    </row>
  </sheetData>
  <printOptions horizontalCentered="1"/>
  <pageMargins left="0.5" right="0.5" top="0.5" bottom="0.55" header="0" footer="0"/>
  <pageSetup fitToHeight="1" fitToWidth="1" horizontalDpi="600" verticalDpi="600" orientation="portrait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OutlineSymbols="0" zoomScale="87" zoomScaleNormal="87" workbookViewId="0" topLeftCell="A1">
      <selection activeCell="H2" sqref="H2"/>
    </sheetView>
  </sheetViews>
  <sheetFormatPr defaultColWidth="8.88671875" defaultRowHeight="15"/>
  <cols>
    <col min="1" max="1" width="9.77734375" style="7" customWidth="1"/>
    <col min="2" max="2" width="5.77734375" style="7" customWidth="1"/>
    <col min="3" max="3" width="9.77734375" style="7" customWidth="1"/>
    <col min="4" max="4" width="5.77734375" style="7" customWidth="1"/>
    <col min="5" max="5" width="9.77734375" style="7" customWidth="1"/>
    <col min="6" max="6" width="5.77734375" style="7" customWidth="1"/>
    <col min="7" max="7" width="12.77734375" style="7" customWidth="1"/>
    <col min="8" max="16384" width="9.77734375" style="7" customWidth="1"/>
  </cols>
  <sheetData>
    <row r="1" spans="6:8" ht="15.75">
      <c r="F1" s="2"/>
      <c r="H1" s="40" t="s">
        <v>337</v>
      </c>
    </row>
    <row r="2" spans="5:8" ht="15.75">
      <c r="E2" s="10"/>
      <c r="F2" s="2"/>
      <c r="H2" s="40" t="s">
        <v>91</v>
      </c>
    </row>
    <row r="3" ht="15.75">
      <c r="G3" s="2"/>
    </row>
    <row r="5" spans="1:9" ht="20.25">
      <c r="A5" s="231" t="s">
        <v>132</v>
      </c>
      <c r="B5" s="231"/>
      <c r="C5" s="231"/>
      <c r="D5" s="231"/>
      <c r="E5" s="231"/>
      <c r="F5" s="231"/>
      <c r="G5" s="231"/>
      <c r="H5" s="231"/>
      <c r="I5" s="231"/>
    </row>
    <row r="6" spans="1:9" ht="20.25">
      <c r="A6" s="231" t="s">
        <v>304</v>
      </c>
      <c r="B6" s="231"/>
      <c r="C6" s="231"/>
      <c r="D6" s="231"/>
      <c r="E6" s="231"/>
      <c r="F6" s="231"/>
      <c r="G6" s="231"/>
      <c r="H6" s="231"/>
      <c r="I6" s="231"/>
    </row>
    <row r="7" spans="1:9" ht="20.25">
      <c r="A7" s="231" t="s">
        <v>305</v>
      </c>
      <c r="B7" s="231"/>
      <c r="C7" s="231"/>
      <c r="D7" s="231"/>
      <c r="E7" s="231"/>
      <c r="F7" s="231"/>
      <c r="G7" s="231"/>
      <c r="H7" s="231"/>
      <c r="I7" s="231"/>
    </row>
    <row r="11" spans="8:9" ht="15">
      <c r="H11" s="10" t="s">
        <v>306</v>
      </c>
      <c r="I11" s="10" t="s">
        <v>191</v>
      </c>
    </row>
    <row r="12" spans="1:9" ht="15">
      <c r="A12" s="10" t="s">
        <v>77</v>
      </c>
      <c r="B12" s="10"/>
      <c r="C12" s="10" t="s">
        <v>111</v>
      </c>
      <c r="D12" s="10"/>
      <c r="E12" s="10" t="s">
        <v>112</v>
      </c>
      <c r="F12" s="10"/>
      <c r="G12" s="10" t="s">
        <v>307</v>
      </c>
      <c r="H12" s="10" t="s">
        <v>308</v>
      </c>
      <c r="I12" s="10" t="s">
        <v>192</v>
      </c>
    </row>
    <row r="13" spans="1:9" ht="15">
      <c r="A13" s="71"/>
      <c r="B13" s="71"/>
      <c r="C13" s="71"/>
      <c r="D13" s="71"/>
      <c r="E13" s="71"/>
      <c r="F13" s="71"/>
      <c r="G13" s="71"/>
      <c r="H13" s="193"/>
      <c r="I13" s="193"/>
    </row>
    <row r="14" spans="1:7" ht="15">
      <c r="A14" s="194"/>
      <c r="B14" s="194"/>
      <c r="C14" s="194"/>
      <c r="D14" s="194"/>
      <c r="E14" s="194"/>
      <c r="F14" s="194"/>
      <c r="G14" s="194"/>
    </row>
    <row r="15" spans="1:7" ht="15">
      <c r="A15" s="194">
        <v>1977</v>
      </c>
      <c r="B15" s="194"/>
      <c r="C15" s="195"/>
      <c r="D15" s="195"/>
      <c r="E15" s="195">
        <v>79.07</v>
      </c>
      <c r="F15" s="194"/>
      <c r="G15" s="194"/>
    </row>
    <row r="16" spans="1:9" ht="15">
      <c r="A16" s="10">
        <f>+A15+1</f>
        <v>1978</v>
      </c>
      <c r="B16" s="10"/>
      <c r="C16" s="196">
        <v>12.33</v>
      </c>
      <c r="D16" s="196"/>
      <c r="E16" s="196">
        <v>85.35</v>
      </c>
      <c r="F16" s="196"/>
      <c r="G16" s="197">
        <f aca="true" t="shared" si="0" ref="G16:G42">C16/(AVERAGE(E15:E16))</f>
        <v>0.14998175404452013</v>
      </c>
      <c r="H16" s="13">
        <v>0.079</v>
      </c>
      <c r="I16" s="13">
        <f>+G16-H16</f>
        <v>0.07098175404452013</v>
      </c>
    </row>
    <row r="17" spans="1:9" ht="15">
      <c r="A17" s="10">
        <f aca="true" t="shared" si="1" ref="A17:A34">A16+1</f>
        <v>1979</v>
      </c>
      <c r="B17" s="10"/>
      <c r="C17" s="196">
        <v>14.86</v>
      </c>
      <c r="D17" s="196"/>
      <c r="E17" s="196">
        <v>94.27</v>
      </c>
      <c r="F17" s="196"/>
      <c r="G17" s="197">
        <f t="shared" si="0"/>
        <v>0.16546041643469545</v>
      </c>
      <c r="H17" s="13">
        <v>0.0886</v>
      </c>
      <c r="I17" s="13">
        <f aca="true" t="shared" si="2" ref="I17:I42">+G17-H17</f>
        <v>0.07686041643469545</v>
      </c>
    </row>
    <row r="18" spans="1:9" ht="15">
      <c r="A18" s="10">
        <f t="shared" si="1"/>
        <v>1980</v>
      </c>
      <c r="B18" s="10"/>
      <c r="C18" s="196">
        <v>14.82</v>
      </c>
      <c r="D18" s="196"/>
      <c r="E18" s="196">
        <v>102.48</v>
      </c>
      <c r="F18" s="196"/>
      <c r="G18" s="197">
        <f t="shared" si="0"/>
        <v>0.15064803049555273</v>
      </c>
      <c r="H18" s="13">
        <v>0.0997</v>
      </c>
      <c r="I18" s="13">
        <f t="shared" si="2"/>
        <v>0.05094803049555273</v>
      </c>
    </row>
    <row r="19" spans="1:9" ht="15">
      <c r="A19" s="10">
        <f t="shared" si="1"/>
        <v>1981</v>
      </c>
      <c r="B19" s="10"/>
      <c r="C19" s="196">
        <v>15.36</v>
      </c>
      <c r="D19" s="196"/>
      <c r="E19" s="196">
        <v>109.43</v>
      </c>
      <c r="F19" s="196"/>
      <c r="G19" s="197">
        <f t="shared" si="0"/>
        <v>0.14496720305790192</v>
      </c>
      <c r="H19" s="13">
        <v>0.1155</v>
      </c>
      <c r="I19" s="13">
        <f t="shared" si="2"/>
        <v>0.029467203057901917</v>
      </c>
    </row>
    <row r="20" spans="1:9" ht="15">
      <c r="A20" s="10">
        <f t="shared" si="1"/>
        <v>1982</v>
      </c>
      <c r="B20" s="10"/>
      <c r="C20" s="196">
        <v>12.64</v>
      </c>
      <c r="D20" s="196"/>
      <c r="E20" s="196">
        <v>112.46</v>
      </c>
      <c r="F20" s="196"/>
      <c r="G20" s="197">
        <f t="shared" si="0"/>
        <v>0.11393032583712652</v>
      </c>
      <c r="H20" s="13">
        <v>0.135</v>
      </c>
      <c r="I20" s="13">
        <f t="shared" si="2"/>
        <v>-0.02106967416287349</v>
      </c>
    </row>
    <row r="21" spans="1:9" ht="15">
      <c r="A21" s="10">
        <f t="shared" si="1"/>
        <v>1983</v>
      </c>
      <c r="B21" s="10"/>
      <c r="C21" s="196">
        <v>14.03</v>
      </c>
      <c r="D21" s="196"/>
      <c r="E21" s="196">
        <v>116.93</v>
      </c>
      <c r="F21" s="196"/>
      <c r="G21" s="197">
        <f t="shared" si="0"/>
        <v>0.12232442565063865</v>
      </c>
      <c r="H21" s="13">
        <v>0.1038</v>
      </c>
      <c r="I21" s="13">
        <f t="shared" si="2"/>
        <v>0.01852442565063865</v>
      </c>
    </row>
    <row r="22" spans="1:9" ht="15">
      <c r="A22" s="10">
        <f t="shared" si="1"/>
        <v>1984</v>
      </c>
      <c r="B22" s="10"/>
      <c r="C22" s="196">
        <v>16.64</v>
      </c>
      <c r="D22" s="196"/>
      <c r="E22" s="196">
        <v>122.47</v>
      </c>
      <c r="F22" s="196"/>
      <c r="G22" s="197">
        <f t="shared" si="0"/>
        <v>0.13901420217209692</v>
      </c>
      <c r="H22" s="13">
        <v>0.1174</v>
      </c>
      <c r="I22" s="13">
        <f t="shared" si="2"/>
        <v>0.02161420217209692</v>
      </c>
    </row>
    <row r="23" spans="1:9" ht="15">
      <c r="A23" s="10">
        <f t="shared" si="1"/>
        <v>1985</v>
      </c>
      <c r="B23" s="10"/>
      <c r="C23" s="196">
        <v>14.61</v>
      </c>
      <c r="D23" s="196"/>
      <c r="E23" s="196">
        <v>125.2</v>
      </c>
      <c r="F23" s="196"/>
      <c r="G23" s="197">
        <f t="shared" si="0"/>
        <v>0.11797956958856541</v>
      </c>
      <c r="H23" s="13">
        <v>0.1125</v>
      </c>
      <c r="I23" s="13">
        <f t="shared" si="2"/>
        <v>0.005479569588565408</v>
      </c>
    </row>
    <row r="24" spans="1:9" ht="15">
      <c r="A24" s="10">
        <f t="shared" si="1"/>
        <v>1986</v>
      </c>
      <c r="B24" s="10"/>
      <c r="C24" s="196">
        <v>14.48</v>
      </c>
      <c r="D24" s="196"/>
      <c r="E24" s="196">
        <v>126.82</v>
      </c>
      <c r="F24" s="196"/>
      <c r="G24" s="197">
        <f t="shared" si="0"/>
        <v>0.11491151495913024</v>
      </c>
      <c r="H24" s="13">
        <v>0.0898</v>
      </c>
      <c r="I24" s="13">
        <f t="shared" si="2"/>
        <v>0.025111514959130235</v>
      </c>
    </row>
    <row r="25" spans="1:9" ht="15">
      <c r="A25" s="10">
        <f t="shared" si="1"/>
        <v>1987</v>
      </c>
      <c r="B25" s="10"/>
      <c r="C25" s="196">
        <v>17.5</v>
      </c>
      <c r="D25" s="196"/>
      <c r="E25" s="196">
        <v>134.04</v>
      </c>
      <c r="F25" s="196"/>
      <c r="G25" s="197">
        <f t="shared" si="0"/>
        <v>0.13417158629149734</v>
      </c>
      <c r="H25" s="13">
        <v>0.0792</v>
      </c>
      <c r="I25" s="13">
        <f t="shared" si="2"/>
        <v>0.05497158629149733</v>
      </c>
    </row>
    <row r="26" spans="1:9" ht="15">
      <c r="A26" s="10">
        <f t="shared" si="1"/>
        <v>1988</v>
      </c>
      <c r="B26" s="10"/>
      <c r="C26" s="196">
        <v>23.75</v>
      </c>
      <c r="D26" s="196"/>
      <c r="E26" s="196">
        <v>141.32</v>
      </c>
      <c r="F26" s="196"/>
      <c r="G26" s="197">
        <f t="shared" si="0"/>
        <v>0.17250145264381173</v>
      </c>
      <c r="H26" s="13">
        <v>0.0897</v>
      </c>
      <c r="I26" s="13">
        <f t="shared" si="2"/>
        <v>0.08280145264381172</v>
      </c>
    </row>
    <row r="27" spans="1:9" ht="15">
      <c r="A27" s="10">
        <f t="shared" si="1"/>
        <v>1989</v>
      </c>
      <c r="B27" s="10"/>
      <c r="C27" s="196">
        <v>22.87</v>
      </c>
      <c r="D27" s="196"/>
      <c r="E27" s="196">
        <v>147.26</v>
      </c>
      <c r="F27" s="196"/>
      <c r="G27" s="197">
        <f t="shared" si="0"/>
        <v>0.15850024256705247</v>
      </c>
      <c r="H27" s="13">
        <v>0.0881</v>
      </c>
      <c r="I27" s="13">
        <f t="shared" si="2"/>
        <v>0.07040024256705248</v>
      </c>
    </row>
    <row r="28" spans="1:9" ht="15">
      <c r="A28" s="10">
        <f t="shared" si="1"/>
        <v>1990</v>
      </c>
      <c r="B28" s="10"/>
      <c r="C28" s="196">
        <v>21.73</v>
      </c>
      <c r="D28" s="196"/>
      <c r="E28" s="196">
        <v>153.01</v>
      </c>
      <c r="F28" s="196"/>
      <c r="G28" s="197">
        <f t="shared" si="0"/>
        <v>0.14473640390315384</v>
      </c>
      <c r="H28" s="13">
        <v>0.0819</v>
      </c>
      <c r="I28" s="13">
        <f t="shared" si="2"/>
        <v>0.06283640390315384</v>
      </c>
    </row>
    <row r="29" spans="1:9" ht="15">
      <c r="A29" s="10">
        <f t="shared" si="1"/>
        <v>1991</v>
      </c>
      <c r="B29" s="10"/>
      <c r="C29" s="196">
        <v>16.29</v>
      </c>
      <c r="D29" s="196"/>
      <c r="E29" s="196">
        <v>158.85</v>
      </c>
      <c r="F29" s="196"/>
      <c r="G29" s="197">
        <f t="shared" si="0"/>
        <v>0.1044699544667479</v>
      </c>
      <c r="H29" s="13">
        <v>0.0822</v>
      </c>
      <c r="I29" s="13">
        <f t="shared" si="2"/>
        <v>0.0222699544667479</v>
      </c>
    </row>
    <row r="30" spans="1:9" ht="15">
      <c r="A30" s="10">
        <f t="shared" si="1"/>
        <v>1992</v>
      </c>
      <c r="B30" s="10"/>
      <c r="C30" s="196">
        <v>19.09</v>
      </c>
      <c r="D30" s="196"/>
      <c r="E30" s="196">
        <v>149.74</v>
      </c>
      <c r="F30" s="196"/>
      <c r="G30" s="197">
        <f t="shared" si="0"/>
        <v>0.12372403512751547</v>
      </c>
      <c r="H30" s="13">
        <v>0.0729</v>
      </c>
      <c r="I30" s="13">
        <f t="shared" si="2"/>
        <v>0.05082403512751546</v>
      </c>
    </row>
    <row r="31" spans="1:9" ht="15">
      <c r="A31" s="10">
        <f t="shared" si="1"/>
        <v>1993</v>
      </c>
      <c r="B31" s="10"/>
      <c r="C31" s="196">
        <v>21.89</v>
      </c>
      <c r="D31" s="196"/>
      <c r="E31" s="196">
        <v>180.88</v>
      </c>
      <c r="F31" s="196"/>
      <c r="G31" s="197">
        <f t="shared" si="0"/>
        <v>0.13241788155586473</v>
      </c>
      <c r="H31" s="13">
        <v>0.0717</v>
      </c>
      <c r="I31" s="13">
        <f t="shared" si="2"/>
        <v>0.06071788155586473</v>
      </c>
    </row>
    <row r="32" spans="1:9" ht="15">
      <c r="A32" s="10">
        <f t="shared" si="1"/>
        <v>1994</v>
      </c>
      <c r="B32" s="10"/>
      <c r="C32" s="196">
        <v>30.6</v>
      </c>
      <c r="D32" s="196"/>
      <c r="E32" s="196">
        <v>193.06</v>
      </c>
      <c r="F32" s="196"/>
      <c r="G32" s="197">
        <f t="shared" si="0"/>
        <v>0.1636626196716051</v>
      </c>
      <c r="H32" s="13">
        <v>0.0659</v>
      </c>
      <c r="I32" s="13">
        <f t="shared" si="2"/>
        <v>0.09776261967160509</v>
      </c>
    </row>
    <row r="33" spans="1:9" ht="15">
      <c r="A33" s="10">
        <f t="shared" si="1"/>
        <v>1995</v>
      </c>
      <c r="B33" s="10"/>
      <c r="C33" s="196">
        <v>33.96</v>
      </c>
      <c r="D33" s="196"/>
      <c r="E33" s="196">
        <v>215.51</v>
      </c>
      <c r="F33" s="196"/>
      <c r="G33" s="197">
        <f t="shared" si="0"/>
        <v>0.1662383434907115</v>
      </c>
      <c r="H33" s="13">
        <v>0.076</v>
      </c>
      <c r="I33" s="13">
        <f t="shared" si="2"/>
        <v>0.09023834349071151</v>
      </c>
    </row>
    <row r="34" spans="1:9" ht="15">
      <c r="A34" s="10">
        <f t="shared" si="1"/>
        <v>1996</v>
      </c>
      <c r="B34" s="10"/>
      <c r="C34" s="196">
        <v>38.73</v>
      </c>
      <c r="D34" s="196"/>
      <c r="E34" s="196">
        <v>237.08</v>
      </c>
      <c r="F34" s="196"/>
      <c r="G34" s="197">
        <f t="shared" si="0"/>
        <v>0.17114827990013035</v>
      </c>
      <c r="H34" s="13">
        <v>0.0618</v>
      </c>
      <c r="I34" s="13">
        <f t="shared" si="2"/>
        <v>0.10934827990013035</v>
      </c>
    </row>
    <row r="35" spans="1:9" ht="15">
      <c r="A35" s="10">
        <v>1997</v>
      </c>
      <c r="B35" s="10"/>
      <c r="C35" s="196">
        <v>39.72</v>
      </c>
      <c r="D35" s="196"/>
      <c r="E35" s="196">
        <v>249.52</v>
      </c>
      <c r="F35" s="196"/>
      <c r="G35" s="197">
        <f t="shared" si="0"/>
        <v>0.16325524044389642</v>
      </c>
      <c r="H35" s="13">
        <v>0.0664</v>
      </c>
      <c r="I35" s="13">
        <f t="shared" si="2"/>
        <v>0.09685524044389641</v>
      </c>
    </row>
    <row r="36" spans="1:9" ht="15">
      <c r="A36" s="10">
        <v>1998</v>
      </c>
      <c r="B36" s="10"/>
      <c r="C36" s="196">
        <v>37.71</v>
      </c>
      <c r="D36" s="196"/>
      <c r="E36" s="196">
        <v>266.4</v>
      </c>
      <c r="F36" s="196"/>
      <c r="G36" s="197">
        <f t="shared" si="0"/>
        <v>0.1461854551093193</v>
      </c>
      <c r="H36" s="13">
        <v>0.0583</v>
      </c>
      <c r="I36" s="13">
        <f t="shared" si="2"/>
        <v>0.0878854551093193</v>
      </c>
    </row>
    <row r="37" spans="1:9" ht="15">
      <c r="A37" s="10">
        <v>1999</v>
      </c>
      <c r="B37" s="10"/>
      <c r="C37" s="196">
        <v>48.17</v>
      </c>
      <c r="D37" s="196"/>
      <c r="E37" s="196">
        <v>290.68</v>
      </c>
      <c r="F37" s="196"/>
      <c r="G37" s="197">
        <f t="shared" si="0"/>
        <v>0.1729374596108279</v>
      </c>
      <c r="H37" s="13">
        <v>0.0557</v>
      </c>
      <c r="I37" s="13">
        <f t="shared" si="2"/>
        <v>0.1172374596108279</v>
      </c>
    </row>
    <row r="38" spans="1:9" ht="15">
      <c r="A38" s="10">
        <v>2000</v>
      </c>
      <c r="B38" s="10"/>
      <c r="C38" s="196">
        <v>50</v>
      </c>
      <c r="D38" s="196"/>
      <c r="E38" s="196">
        <v>325.8</v>
      </c>
      <c r="F38" s="196"/>
      <c r="G38" s="197">
        <f t="shared" si="0"/>
        <v>0.1622112639501687</v>
      </c>
      <c r="H38" s="13">
        <v>0.065</v>
      </c>
      <c r="I38" s="13">
        <f t="shared" si="2"/>
        <v>0.09721126395016869</v>
      </c>
    </row>
    <row r="39" spans="1:9" ht="15">
      <c r="A39" s="10">
        <f>+A38+1</f>
        <v>2001</v>
      </c>
      <c r="B39" s="10"/>
      <c r="C39" s="199">
        <v>24.69</v>
      </c>
      <c r="D39" s="199"/>
      <c r="E39" s="199">
        <v>338.37</v>
      </c>
      <c r="F39" s="10"/>
      <c r="G39" s="197">
        <f t="shared" si="0"/>
        <v>0.07434843488865801</v>
      </c>
      <c r="H39" s="13">
        <v>0.0553</v>
      </c>
      <c r="I39" s="13">
        <f t="shared" si="2"/>
        <v>0.01904843488865801</v>
      </c>
    </row>
    <row r="40" spans="1:9" ht="15">
      <c r="A40" s="10">
        <f>+A39+1</f>
        <v>2002</v>
      </c>
      <c r="B40" s="10"/>
      <c r="C40" s="199">
        <v>27.59</v>
      </c>
      <c r="D40" s="199"/>
      <c r="E40" s="199">
        <v>321.72</v>
      </c>
      <c r="F40" s="10"/>
      <c r="G40" s="197">
        <f t="shared" si="0"/>
        <v>0.0835946613340605</v>
      </c>
      <c r="H40" s="13">
        <v>0.0559</v>
      </c>
      <c r="I40" s="13">
        <f t="shared" si="2"/>
        <v>0.027694661334060504</v>
      </c>
    </row>
    <row r="41" spans="1:9" ht="15">
      <c r="A41" s="10">
        <f>+A40+1</f>
        <v>2003</v>
      </c>
      <c r="B41" s="10"/>
      <c r="C41" s="199">
        <v>48.73</v>
      </c>
      <c r="D41" s="199"/>
      <c r="E41" s="199">
        <v>367.17</v>
      </c>
      <c r="F41" s="10"/>
      <c r="G41" s="197">
        <f t="shared" si="0"/>
        <v>0.14147396536457196</v>
      </c>
      <c r="H41" s="13">
        <v>0.048</v>
      </c>
      <c r="I41" s="13">
        <f t="shared" si="2"/>
        <v>0.09347396536457196</v>
      </c>
    </row>
    <row r="42" spans="1:9" ht="15">
      <c r="A42" s="10">
        <f>+A41+1</f>
        <v>2004</v>
      </c>
      <c r="B42" s="10"/>
      <c r="C42" s="199">
        <v>58.55</v>
      </c>
      <c r="D42" s="199"/>
      <c r="E42" s="199">
        <v>414.75</v>
      </c>
      <c r="F42" s="10"/>
      <c r="G42" s="197">
        <f t="shared" si="0"/>
        <v>0.14975956619603026</v>
      </c>
      <c r="H42" s="13">
        <v>0.050199999999999995</v>
      </c>
      <c r="I42" s="13">
        <f t="shared" si="2"/>
        <v>0.09955956619603026</v>
      </c>
    </row>
    <row r="43" spans="1:8" ht="15.75">
      <c r="A43" s="10"/>
      <c r="B43" s="10"/>
      <c r="C43" s="10"/>
      <c r="D43" s="10"/>
      <c r="E43" s="10"/>
      <c r="F43" s="10"/>
      <c r="G43" s="200"/>
      <c r="H43" s="198"/>
    </row>
    <row r="44" spans="1:9" ht="15.75">
      <c r="A44" s="10" t="s">
        <v>108</v>
      </c>
      <c r="B44" s="10"/>
      <c r="C44" s="10"/>
      <c r="D44" s="10"/>
      <c r="E44" s="10"/>
      <c r="F44" s="10"/>
      <c r="G44" s="200">
        <f>AVERAGE(G16:G42)</f>
        <v>0.1401686773613278</v>
      </c>
      <c r="H44" s="200">
        <f>AVERAGE(H16:H42)</f>
        <v>0.08020370370370372</v>
      </c>
      <c r="I44" s="200">
        <f>AVERAGE(I16:I42)</f>
        <v>0.05996497365762413</v>
      </c>
    </row>
    <row r="46" ht="15">
      <c r="A46" s="7" t="s">
        <v>330</v>
      </c>
    </row>
  </sheetData>
  <mergeCells count="3">
    <mergeCell ref="A5:I5"/>
    <mergeCell ref="A7:I7"/>
    <mergeCell ref="A6:I6"/>
  </mergeCells>
  <printOptions horizontalCentered="1"/>
  <pageMargins left="0.5" right="0.5" top="0.5" bottom="0.55" header="0" footer="0"/>
  <pageSetup fitToHeight="1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="87" zoomScaleNormal="87" workbookViewId="0" topLeftCell="A1">
      <selection activeCell="H2" sqref="H2"/>
    </sheetView>
  </sheetViews>
  <sheetFormatPr defaultColWidth="8.88671875" defaultRowHeight="15"/>
  <cols>
    <col min="1" max="1" width="23.5546875" style="0" bestFit="1" customWidth="1"/>
    <col min="2" max="2" width="3.77734375" style="0" customWidth="1"/>
    <col min="3" max="3" width="10.3359375" style="0" bestFit="1" customWidth="1"/>
    <col min="4" max="4" width="3.77734375" style="0" customWidth="1"/>
    <col min="6" max="6" width="3.77734375" style="0" customWidth="1"/>
    <col min="8" max="8" width="3.77734375" style="0" customWidth="1"/>
  </cols>
  <sheetData>
    <row r="1" spans="1:9" ht="15.75">
      <c r="A1" s="27"/>
      <c r="B1" s="27"/>
      <c r="C1" s="27"/>
      <c r="D1" s="27"/>
      <c r="E1" s="27"/>
      <c r="F1" s="27"/>
      <c r="G1" s="2"/>
      <c r="H1" s="40" t="s">
        <v>338</v>
      </c>
      <c r="I1" s="27"/>
    </row>
    <row r="2" spans="1:9" ht="15.75">
      <c r="A2" s="27"/>
      <c r="B2" s="27"/>
      <c r="C2" s="27"/>
      <c r="D2" s="27"/>
      <c r="E2" s="27"/>
      <c r="F2" s="27"/>
      <c r="G2" s="2"/>
      <c r="H2" s="2" t="s">
        <v>104</v>
      </c>
      <c r="I2" s="27"/>
    </row>
    <row r="3" spans="1:9" ht="15.75">
      <c r="A3" s="27"/>
      <c r="B3" s="27"/>
      <c r="C3" s="27"/>
      <c r="D3" s="27"/>
      <c r="E3" s="27"/>
      <c r="F3" s="27"/>
      <c r="G3" s="2"/>
      <c r="H3" s="40"/>
      <c r="I3" s="27"/>
    </row>
    <row r="4" spans="1:9" ht="15.75">
      <c r="A4" s="27"/>
      <c r="B4" s="27"/>
      <c r="C4" s="27"/>
      <c r="D4" s="27"/>
      <c r="E4" s="27"/>
      <c r="F4" s="27"/>
      <c r="G4" s="27"/>
      <c r="H4" s="27"/>
      <c r="I4" s="2"/>
    </row>
    <row r="5" spans="1:9" ht="15.75">
      <c r="A5" s="27"/>
      <c r="B5" s="27"/>
      <c r="C5" s="27"/>
      <c r="D5" s="27"/>
      <c r="E5" s="27"/>
      <c r="F5" s="27"/>
      <c r="G5" s="27"/>
      <c r="H5" s="27"/>
      <c r="I5" s="2"/>
    </row>
    <row r="6" spans="1:9" ht="20.25">
      <c r="A6" s="3" t="s">
        <v>92</v>
      </c>
      <c r="B6" s="3"/>
      <c r="C6" s="3"/>
      <c r="D6" s="3"/>
      <c r="E6" s="3"/>
      <c r="F6" s="3"/>
      <c r="G6" s="3"/>
      <c r="H6" s="3"/>
      <c r="I6" s="3"/>
    </row>
    <row r="7" spans="1:9" ht="20.25">
      <c r="A7" s="3" t="s">
        <v>122</v>
      </c>
      <c r="B7" s="3"/>
      <c r="C7" s="3"/>
      <c r="D7" s="3"/>
      <c r="E7" s="3"/>
      <c r="F7" s="3"/>
      <c r="G7" s="3"/>
      <c r="H7" s="3"/>
      <c r="I7" s="3"/>
    </row>
    <row r="8" spans="1:9" ht="20.25">
      <c r="A8" s="232" t="s">
        <v>193</v>
      </c>
      <c r="B8" s="232"/>
      <c r="C8" s="232"/>
      <c r="D8" s="232"/>
      <c r="E8" s="232"/>
      <c r="F8" s="232"/>
      <c r="G8" s="232"/>
      <c r="H8" s="232"/>
      <c r="I8" s="233"/>
    </row>
    <row r="9" spans="1:9" ht="15">
      <c r="A9" s="27"/>
      <c r="B9" s="27"/>
      <c r="C9" s="27"/>
      <c r="D9" s="27"/>
      <c r="E9" s="27"/>
      <c r="F9" s="27"/>
      <c r="G9" s="27"/>
      <c r="H9" s="27"/>
      <c r="I9" s="27"/>
    </row>
    <row r="10" spans="1:9" ht="15.75" thickBo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5.75" thickTop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5">
      <c r="A12" s="27"/>
      <c r="B12" s="27"/>
      <c r="C12" s="10" t="s">
        <v>124</v>
      </c>
      <c r="D12" s="10"/>
      <c r="E12" s="10"/>
      <c r="F12" s="10"/>
      <c r="G12" s="10" t="s">
        <v>191</v>
      </c>
      <c r="H12" s="10"/>
      <c r="I12" s="10" t="s">
        <v>127</v>
      </c>
    </row>
    <row r="13" spans="1:9" ht="15">
      <c r="A13" s="10" t="str">
        <f>'Sch 7, p 4'!A16</f>
        <v>COMPANY</v>
      </c>
      <c r="B13" s="27"/>
      <c r="C13" s="10" t="s">
        <v>39</v>
      </c>
      <c r="D13" s="10"/>
      <c r="E13" s="10" t="s">
        <v>125</v>
      </c>
      <c r="F13" s="10"/>
      <c r="G13" s="10" t="s">
        <v>192</v>
      </c>
      <c r="H13" s="10"/>
      <c r="I13" s="10" t="s">
        <v>121</v>
      </c>
    </row>
    <row r="14" spans="1:9" ht="15.75" thickBot="1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5.75" thickTop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5.75">
      <c r="A17" s="40" t="str">
        <f>+'Sch 7, p 4'!A20</f>
        <v>Value Line Natural Gas</v>
      </c>
      <c r="B17" s="27"/>
      <c r="C17" s="27"/>
      <c r="D17" s="27"/>
      <c r="E17" s="27"/>
      <c r="F17" s="27"/>
      <c r="G17" s="27"/>
      <c r="H17" s="27"/>
      <c r="I17" s="27"/>
    </row>
    <row r="18" spans="1:9" ht="15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15">
      <c r="A19" s="41" t="str">
        <f>+'Sch 7, p 4'!A22</f>
        <v>AGL Resources</v>
      </c>
      <c r="B19" s="27"/>
      <c r="C19" s="13">
        <v>0.0529</v>
      </c>
      <c r="D19" s="27"/>
      <c r="E19" s="16">
        <f>+'Sch 12, p 2'!E16</f>
        <v>0.95</v>
      </c>
      <c r="F19" s="27"/>
      <c r="G19" s="13">
        <v>0.058</v>
      </c>
      <c r="H19" s="27"/>
      <c r="I19" s="11">
        <f>+C19+(E19*G19)</f>
        <v>0.10800000000000001</v>
      </c>
    </row>
    <row r="20" spans="1:9" ht="15">
      <c r="A20" s="41" t="str">
        <f>+'Sch 7, p 4'!A23</f>
        <v>Atmos Energy</v>
      </c>
      <c r="B20" s="27"/>
      <c r="C20" s="13">
        <f>+C19</f>
        <v>0.0529</v>
      </c>
      <c r="D20" s="27"/>
      <c r="E20" s="16">
        <f>+'Sch 12, p 2'!E17</f>
        <v>0.75</v>
      </c>
      <c r="F20" s="27"/>
      <c r="G20" s="13">
        <f>+G19</f>
        <v>0.058</v>
      </c>
      <c r="H20" s="27"/>
      <c r="I20" s="11">
        <f aca="true" t="shared" si="0" ref="I20:I33">+C20+(E20*G20)</f>
        <v>0.09640000000000001</v>
      </c>
    </row>
    <row r="21" spans="1:9" ht="15">
      <c r="A21" s="41" t="str">
        <f>+'Sch 7, p 4'!A24</f>
        <v>Cascade Natural Gas</v>
      </c>
      <c r="B21" s="27"/>
      <c r="C21" s="13">
        <f aca="true" t="shared" si="1" ref="C21:C33">+C20</f>
        <v>0.0529</v>
      </c>
      <c r="D21" s="27"/>
      <c r="E21" s="16">
        <f>+'Sch 12, p 2'!E18</f>
        <v>0.85</v>
      </c>
      <c r="F21" s="27"/>
      <c r="G21" s="13">
        <f aca="true" t="shared" si="2" ref="G21:G33">+G20</f>
        <v>0.058</v>
      </c>
      <c r="H21" s="27"/>
      <c r="I21" s="11">
        <f t="shared" si="0"/>
        <v>0.10220000000000001</v>
      </c>
    </row>
    <row r="22" spans="1:9" ht="15">
      <c r="A22" s="41" t="str">
        <f>+'Sch 7, p 4'!A25</f>
        <v>Energen</v>
      </c>
      <c r="B22" s="27"/>
      <c r="C22" s="13">
        <f t="shared" si="1"/>
        <v>0.0529</v>
      </c>
      <c r="D22" s="27"/>
      <c r="E22" s="16">
        <f>+'Sch 12, p 2'!E19</f>
        <v>0.85</v>
      </c>
      <c r="F22" s="27"/>
      <c r="G22" s="13">
        <f t="shared" si="2"/>
        <v>0.058</v>
      </c>
      <c r="H22" s="27"/>
      <c r="I22" s="11">
        <f t="shared" si="0"/>
        <v>0.10220000000000001</v>
      </c>
    </row>
    <row r="23" spans="1:9" ht="15">
      <c r="A23" s="41" t="str">
        <f>+'Sch 7, p 4'!A26</f>
        <v>Keyspan </v>
      </c>
      <c r="B23" s="27"/>
      <c r="C23" s="13">
        <f t="shared" si="1"/>
        <v>0.0529</v>
      </c>
      <c r="D23" s="27"/>
      <c r="E23" s="16">
        <f>+'Sch 12, p 2'!E20</f>
        <v>0.9</v>
      </c>
      <c r="F23" s="27"/>
      <c r="G23" s="13">
        <f t="shared" si="2"/>
        <v>0.058</v>
      </c>
      <c r="H23" s="27"/>
      <c r="I23" s="11">
        <f t="shared" si="0"/>
        <v>0.1051</v>
      </c>
    </row>
    <row r="24" spans="1:9" ht="15">
      <c r="A24" s="41" t="str">
        <f>+'Sch 7, p 4'!A27</f>
        <v>Laclede Group</v>
      </c>
      <c r="B24" s="27"/>
      <c r="C24" s="13">
        <f t="shared" si="1"/>
        <v>0.0529</v>
      </c>
      <c r="D24" s="27"/>
      <c r="E24" s="16">
        <f>+'Sch 12, p 2'!E21</f>
        <v>0.85</v>
      </c>
      <c r="F24" s="27"/>
      <c r="G24" s="13">
        <f t="shared" si="2"/>
        <v>0.058</v>
      </c>
      <c r="H24" s="27"/>
      <c r="I24" s="11">
        <f t="shared" si="0"/>
        <v>0.10220000000000001</v>
      </c>
    </row>
    <row r="25" spans="1:9" ht="15">
      <c r="A25" s="41" t="str">
        <f>+'Sch 7, p 4'!A28</f>
        <v>New Jersey Resources</v>
      </c>
      <c r="B25" s="27"/>
      <c r="C25" s="13">
        <f t="shared" si="1"/>
        <v>0.0529</v>
      </c>
      <c r="D25" s="27"/>
      <c r="E25" s="16">
        <f>+'Sch 12, p 2'!E22</f>
        <v>0.8</v>
      </c>
      <c r="F25" s="27"/>
      <c r="G25" s="13">
        <f t="shared" si="2"/>
        <v>0.058</v>
      </c>
      <c r="H25" s="27"/>
      <c r="I25" s="11">
        <f t="shared" si="0"/>
        <v>0.0993</v>
      </c>
    </row>
    <row r="26" spans="1:9" ht="15">
      <c r="A26" s="41" t="str">
        <f>+'Sch 7, p 4'!A29</f>
        <v>NICOR</v>
      </c>
      <c r="B26" s="27"/>
      <c r="C26" s="13">
        <f t="shared" si="1"/>
        <v>0.0529</v>
      </c>
      <c r="D26" s="27"/>
      <c r="E26" s="16">
        <f>+'Sch 12, p 2'!E23</f>
        <v>1.2</v>
      </c>
      <c r="F26" s="27"/>
      <c r="G26" s="13">
        <f t="shared" si="2"/>
        <v>0.058</v>
      </c>
      <c r="H26" s="27"/>
      <c r="I26" s="11">
        <f t="shared" si="0"/>
        <v>0.1225</v>
      </c>
    </row>
    <row r="27" spans="1:9" ht="15">
      <c r="A27" s="41" t="str">
        <f>+'Sch 7, p 4'!A30</f>
        <v>Northwest Natural Gas</v>
      </c>
      <c r="B27" s="27"/>
      <c r="C27" s="13">
        <f t="shared" si="1"/>
        <v>0.0529</v>
      </c>
      <c r="D27" s="27"/>
      <c r="E27" s="16">
        <f>+'Sch 12, p 2'!E24</f>
        <v>0.75</v>
      </c>
      <c r="F27" s="27"/>
      <c r="G27" s="13">
        <f t="shared" si="2"/>
        <v>0.058</v>
      </c>
      <c r="H27" s="27"/>
      <c r="I27" s="11">
        <f t="shared" si="0"/>
        <v>0.09640000000000001</v>
      </c>
    </row>
    <row r="28" spans="1:9" ht="15">
      <c r="A28" s="41" t="str">
        <f>+'Sch 7, p 4'!A31</f>
        <v>Peoples Energy</v>
      </c>
      <c r="B28" s="27"/>
      <c r="C28" s="13">
        <f t="shared" si="1"/>
        <v>0.0529</v>
      </c>
      <c r="D28" s="27"/>
      <c r="E28" s="16">
        <f>+'Sch 12, p 2'!E25</f>
        <v>0.9</v>
      </c>
      <c r="F28" s="27"/>
      <c r="G28" s="13">
        <f t="shared" si="2"/>
        <v>0.058</v>
      </c>
      <c r="H28" s="27"/>
      <c r="I28" s="11">
        <f t="shared" si="0"/>
        <v>0.1051</v>
      </c>
    </row>
    <row r="29" spans="1:9" ht="15">
      <c r="A29" s="41" t="str">
        <f>+'Sch 7, p 4'!A32</f>
        <v>Piedmont Natural Gas</v>
      </c>
      <c r="B29" s="27"/>
      <c r="C29" s="13">
        <f t="shared" si="1"/>
        <v>0.0529</v>
      </c>
      <c r="D29" s="27"/>
      <c r="E29" s="16">
        <f>+'Sch 12, p 2'!E26</f>
        <v>0.85</v>
      </c>
      <c r="F29" s="27"/>
      <c r="G29" s="13">
        <f t="shared" si="2"/>
        <v>0.058</v>
      </c>
      <c r="H29" s="27"/>
      <c r="I29" s="11">
        <f t="shared" si="0"/>
        <v>0.10220000000000001</v>
      </c>
    </row>
    <row r="30" spans="1:9" ht="15">
      <c r="A30" s="41" t="str">
        <f>+'Sch 7, p 4'!A33</f>
        <v>South Jersey Industries</v>
      </c>
      <c r="B30" s="27"/>
      <c r="C30" s="13">
        <f t="shared" si="1"/>
        <v>0.0529</v>
      </c>
      <c r="D30" s="27"/>
      <c r="E30" s="16">
        <f>+'Sch 12, p 2'!E27</f>
        <v>0.7</v>
      </c>
      <c r="F30" s="27"/>
      <c r="G30" s="13">
        <f t="shared" si="2"/>
        <v>0.058</v>
      </c>
      <c r="H30" s="27"/>
      <c r="I30" s="11">
        <f t="shared" si="0"/>
        <v>0.0935</v>
      </c>
    </row>
    <row r="31" spans="1:9" ht="15">
      <c r="A31" s="41" t="str">
        <f>+'Sch 7, p 4'!A34</f>
        <v>Southwest Gas</v>
      </c>
      <c r="B31" s="27"/>
      <c r="C31" s="13">
        <f>+C30</f>
        <v>0.0529</v>
      </c>
      <c r="D31" s="27"/>
      <c r="E31" s="16">
        <f>+'Sch 12, p 2'!E28</f>
        <v>0.85</v>
      </c>
      <c r="F31" s="27"/>
      <c r="G31" s="13">
        <f t="shared" si="2"/>
        <v>0.058</v>
      </c>
      <c r="H31" s="27"/>
      <c r="I31" s="11">
        <f t="shared" si="0"/>
        <v>0.10220000000000001</v>
      </c>
    </row>
    <row r="32" spans="1:9" ht="15">
      <c r="A32" s="41" t="str">
        <f>+'Sch 7, p 4'!A35</f>
        <v>UGI </v>
      </c>
      <c r="B32" s="27"/>
      <c r="C32" s="13">
        <f t="shared" si="1"/>
        <v>0.0529</v>
      </c>
      <c r="D32" s="27"/>
      <c r="E32" s="16">
        <f>+'Sch 12, p 2'!E29</f>
        <v>0.9</v>
      </c>
      <c r="F32" s="27"/>
      <c r="G32" s="13">
        <f t="shared" si="2"/>
        <v>0.058</v>
      </c>
      <c r="H32" s="27"/>
      <c r="I32" s="11">
        <f t="shared" si="0"/>
        <v>0.1051</v>
      </c>
    </row>
    <row r="33" spans="1:9" ht="15">
      <c r="A33" s="41" t="str">
        <f>+'Sch 7, p 4'!A36</f>
        <v>WGL Holdings</v>
      </c>
      <c r="B33" s="27"/>
      <c r="C33" s="13">
        <f t="shared" si="1"/>
        <v>0.0529</v>
      </c>
      <c r="D33" s="27"/>
      <c r="E33" s="16">
        <f>+'Sch 12, p 2'!E30</f>
        <v>0.8</v>
      </c>
      <c r="F33" s="27"/>
      <c r="G33" s="13">
        <f t="shared" si="2"/>
        <v>0.058</v>
      </c>
      <c r="H33" s="27"/>
      <c r="I33" s="11">
        <f t="shared" si="0"/>
        <v>0.0993</v>
      </c>
    </row>
    <row r="34" spans="1:9" ht="15">
      <c r="A34" s="52"/>
      <c r="B34" s="52"/>
      <c r="C34" s="67"/>
      <c r="D34" s="52"/>
      <c r="E34" s="68"/>
      <c r="F34" s="52"/>
      <c r="G34" s="67"/>
      <c r="H34" s="52"/>
      <c r="I34" s="54"/>
    </row>
    <row r="35" spans="1:9" ht="15">
      <c r="A35" s="27"/>
      <c r="B35" s="27"/>
      <c r="C35" s="13"/>
      <c r="D35" s="27"/>
      <c r="E35" s="16"/>
      <c r="F35" s="27"/>
      <c r="G35" s="13"/>
      <c r="H35" s="27"/>
      <c r="I35" s="11"/>
    </row>
    <row r="36" spans="1:9" ht="15.75">
      <c r="A36" s="27" t="s">
        <v>196</v>
      </c>
      <c r="B36" s="27"/>
      <c r="C36" s="13">
        <f>AVERAGE(C19:C33)</f>
        <v>0.05289999999999999</v>
      </c>
      <c r="D36" s="27"/>
      <c r="E36" s="16">
        <f>AVERAGE(E19:E33)</f>
        <v>0.8599999999999999</v>
      </c>
      <c r="F36" s="27"/>
      <c r="G36" s="13">
        <f>AVERAGE(G19:G33)</f>
        <v>0.058000000000000024</v>
      </c>
      <c r="H36" s="27"/>
      <c r="I36" s="39">
        <f>AVERAGE(I19:I33)</f>
        <v>0.10278000000000001</v>
      </c>
    </row>
    <row r="37" spans="1:9" ht="15.75">
      <c r="A37" s="52"/>
      <c r="B37" s="52"/>
      <c r="C37" s="67"/>
      <c r="D37" s="52"/>
      <c r="E37" s="68"/>
      <c r="F37" s="52"/>
      <c r="G37" s="67"/>
      <c r="H37" s="52"/>
      <c r="I37" s="58"/>
    </row>
    <row r="38" spans="1:9" ht="15.75">
      <c r="A38" s="27"/>
      <c r="B38" s="27"/>
      <c r="C38" s="13"/>
      <c r="D38" s="27"/>
      <c r="E38" s="16"/>
      <c r="F38" s="27"/>
      <c r="G38" s="13"/>
      <c r="H38" s="27"/>
      <c r="I38" s="39"/>
    </row>
    <row r="39" spans="1:9" ht="15.75">
      <c r="A39" s="27" t="s">
        <v>185</v>
      </c>
      <c r="B39" s="27"/>
      <c r="C39" s="13"/>
      <c r="D39" s="27"/>
      <c r="E39" s="16"/>
      <c r="F39" s="27"/>
      <c r="G39" s="13"/>
      <c r="H39" s="27"/>
      <c r="I39" s="39">
        <f>MEDIAN(I19:I33)</f>
        <v>0.10220000000000001</v>
      </c>
    </row>
    <row r="40" spans="1:9" ht="15.75" thickBot="1">
      <c r="A40" s="55"/>
      <c r="B40" s="55"/>
      <c r="C40" s="69"/>
      <c r="D40" s="55"/>
      <c r="E40" s="70"/>
      <c r="F40" s="55"/>
      <c r="G40" s="69"/>
      <c r="H40" s="55"/>
      <c r="I40" s="57"/>
    </row>
    <row r="41" spans="1:9" ht="15.75" thickTop="1">
      <c r="A41" s="27"/>
      <c r="B41" s="27"/>
      <c r="C41" s="13"/>
      <c r="D41" s="27"/>
      <c r="E41" s="16"/>
      <c r="F41" s="27"/>
      <c r="G41" s="13"/>
      <c r="H41" s="27"/>
      <c r="I41" s="11"/>
    </row>
    <row r="42" spans="1:9" ht="15.75">
      <c r="A42" s="40" t="str">
        <f>+'Sch 7, p 4'!A48</f>
        <v>Morin Electricity</v>
      </c>
      <c r="B42" s="27"/>
      <c r="C42" s="13"/>
      <c r="D42" s="27"/>
      <c r="E42" s="16"/>
      <c r="F42" s="27"/>
      <c r="G42" s="13"/>
      <c r="H42" s="27"/>
      <c r="I42" s="11"/>
    </row>
    <row r="43" spans="1:9" ht="15.75">
      <c r="A43" s="40" t="str">
        <f>+'Sch 7, p 4'!A49</f>
        <v>Distribution Companies</v>
      </c>
      <c r="B43" s="27"/>
      <c r="C43" s="13"/>
      <c r="D43" s="27"/>
      <c r="E43" s="16"/>
      <c r="F43" s="27"/>
      <c r="G43" s="13"/>
      <c r="H43" s="27"/>
      <c r="I43" s="11"/>
    </row>
    <row r="44" spans="1:9" ht="15">
      <c r="A44" s="27"/>
      <c r="B44" s="27"/>
      <c r="C44" s="13"/>
      <c r="D44" s="27"/>
      <c r="E44" s="16"/>
      <c r="F44" s="27"/>
      <c r="G44" s="13"/>
      <c r="H44" s="27"/>
      <c r="I44" s="11"/>
    </row>
    <row r="45" spans="1:9" ht="15">
      <c r="A45" s="41" t="str">
        <f>+'Sch 7, p 4'!A51</f>
        <v>American Electric Power</v>
      </c>
      <c r="B45" s="27"/>
      <c r="C45" s="13">
        <f>+C33</f>
        <v>0.0529</v>
      </c>
      <c r="D45" s="27"/>
      <c r="E45" s="16">
        <f>+'Sch 12, p 2'!E40</f>
        <v>1.25</v>
      </c>
      <c r="F45" s="27"/>
      <c r="G45" s="13">
        <f>+G33</f>
        <v>0.058</v>
      </c>
      <c r="H45" s="27"/>
      <c r="I45" s="11">
        <f>+C45+(E45*G45)</f>
        <v>0.1254</v>
      </c>
    </row>
    <row r="46" spans="1:9" ht="15">
      <c r="A46" s="41" t="str">
        <f>+'Sch 7, p 4'!A52</f>
        <v>Ameren Corp.</v>
      </c>
      <c r="B46" s="27"/>
      <c r="C46" s="13">
        <f>+C33</f>
        <v>0.0529</v>
      </c>
      <c r="D46" s="27"/>
      <c r="E46" s="16">
        <f>+'Sch 12, p 2'!E41</f>
        <v>0.75</v>
      </c>
      <c r="F46" s="27"/>
      <c r="G46" s="13">
        <f>+G33</f>
        <v>0.058</v>
      </c>
      <c r="H46" s="27"/>
      <c r="I46" s="11">
        <f aca="true" t="shared" si="3" ref="I46:I64">+C46+(E46*G46)</f>
        <v>0.09640000000000001</v>
      </c>
    </row>
    <row r="47" spans="1:9" ht="15">
      <c r="A47" s="41" t="str">
        <f>+'Sch 7, p 4'!A53</f>
        <v>CenterPoint Energy</v>
      </c>
      <c r="B47" s="27"/>
      <c r="C47" s="13">
        <f>+C46</f>
        <v>0.0529</v>
      </c>
      <c r="D47" s="27"/>
      <c r="E47" s="16">
        <f>+'Sch 12, p 2'!E42</f>
        <v>0.65</v>
      </c>
      <c r="F47" s="27"/>
      <c r="G47" s="13">
        <f>+G46</f>
        <v>0.058</v>
      </c>
      <c r="H47" s="27"/>
      <c r="I47" s="11">
        <f t="shared" si="3"/>
        <v>0.09060000000000001</v>
      </c>
    </row>
    <row r="48" spans="1:9" ht="15">
      <c r="A48" s="41" t="str">
        <f>+'Sch 7, p 4'!A54</f>
        <v>CH Energy Group</v>
      </c>
      <c r="B48" s="27"/>
      <c r="C48" s="13">
        <f aca="true" t="shared" si="4" ref="C48:C64">+C47</f>
        <v>0.0529</v>
      </c>
      <c r="D48" s="27"/>
      <c r="E48" s="16">
        <f>+'Sch 12, p 2'!E43</f>
        <v>0.85</v>
      </c>
      <c r="F48" s="27"/>
      <c r="G48" s="13">
        <f aca="true" t="shared" si="5" ref="G48:G64">+G47</f>
        <v>0.058</v>
      </c>
      <c r="H48" s="27"/>
      <c r="I48" s="11">
        <f t="shared" si="3"/>
        <v>0.10220000000000001</v>
      </c>
    </row>
    <row r="49" spans="1:9" ht="15">
      <c r="A49" s="41" t="str">
        <f>+'Sch 7, p 4'!A55</f>
        <v>Consolidated Edison</v>
      </c>
      <c r="B49" s="27"/>
      <c r="C49" s="13">
        <f t="shared" si="4"/>
        <v>0.0529</v>
      </c>
      <c r="D49" s="27"/>
      <c r="E49" s="16">
        <f>+'Sch 12, p 2'!E44</f>
        <v>0.7</v>
      </c>
      <c r="F49" s="27"/>
      <c r="G49" s="13">
        <f t="shared" si="5"/>
        <v>0.058</v>
      </c>
      <c r="H49" s="27"/>
      <c r="I49" s="11">
        <f t="shared" si="3"/>
        <v>0.0935</v>
      </c>
    </row>
    <row r="50" spans="1:9" ht="15">
      <c r="A50" s="41" t="str">
        <f>+'Sch 7, p 4'!A56</f>
        <v>Constellation Energy</v>
      </c>
      <c r="B50" s="27"/>
      <c r="C50" s="13">
        <f t="shared" si="4"/>
        <v>0.0529</v>
      </c>
      <c r="D50" s="27"/>
      <c r="E50" s="16">
        <f>+'Sch 12, p 2'!E45</f>
        <v>1.05</v>
      </c>
      <c r="F50" s="27"/>
      <c r="G50" s="13">
        <f t="shared" si="5"/>
        <v>0.058</v>
      </c>
      <c r="H50" s="27"/>
      <c r="I50" s="11">
        <f t="shared" si="3"/>
        <v>0.11380000000000001</v>
      </c>
    </row>
    <row r="51" spans="1:9" ht="15">
      <c r="A51" s="41" t="str">
        <f>+'Sch 7, p 4'!A57</f>
        <v>Duquesne Light Holdings</v>
      </c>
      <c r="B51" s="27"/>
      <c r="C51" s="13">
        <f t="shared" si="4"/>
        <v>0.0529</v>
      </c>
      <c r="D51" s="27"/>
      <c r="E51" s="16">
        <f>+'Sch 12, p 2'!E46</f>
        <v>0.9</v>
      </c>
      <c r="F51" s="27"/>
      <c r="G51" s="13">
        <f t="shared" si="5"/>
        <v>0.058</v>
      </c>
      <c r="H51" s="27"/>
      <c r="I51" s="11">
        <f t="shared" si="3"/>
        <v>0.1051</v>
      </c>
    </row>
    <row r="52" spans="1:9" ht="15">
      <c r="A52" s="41" t="str">
        <f>+'Sch 7, p 4'!A58</f>
        <v>Energy East Corp.</v>
      </c>
      <c r="B52" s="27"/>
      <c r="C52" s="13">
        <f t="shared" si="4"/>
        <v>0.0529</v>
      </c>
      <c r="D52" s="27"/>
      <c r="E52" s="16">
        <f>+'Sch 12, p 2'!E47</f>
        <v>0.9</v>
      </c>
      <c r="F52" s="27"/>
      <c r="G52" s="13">
        <f t="shared" si="5"/>
        <v>0.058</v>
      </c>
      <c r="H52" s="27"/>
      <c r="I52" s="11">
        <f t="shared" si="3"/>
        <v>0.1051</v>
      </c>
    </row>
    <row r="53" spans="1:9" ht="15">
      <c r="A53" s="41" t="str">
        <f>+'Sch 7, p 4'!A59</f>
        <v>Exelon</v>
      </c>
      <c r="B53" s="27"/>
      <c r="C53" s="13">
        <f t="shared" si="4"/>
        <v>0.0529</v>
      </c>
      <c r="D53" s="27"/>
      <c r="E53" s="16">
        <f>+'Sch 12, p 2'!E48</f>
        <v>0.85</v>
      </c>
      <c r="F53" s="27"/>
      <c r="G53" s="13">
        <f t="shared" si="5"/>
        <v>0.058</v>
      </c>
      <c r="H53" s="27"/>
      <c r="I53" s="11">
        <f t="shared" si="3"/>
        <v>0.10220000000000001</v>
      </c>
    </row>
    <row r="54" spans="1:9" ht="15">
      <c r="A54" s="41" t="str">
        <f>+'Sch 7, p 4'!A60</f>
        <v>FirstEnergy Corp.</v>
      </c>
      <c r="B54" s="27"/>
      <c r="C54" s="13">
        <f t="shared" si="4"/>
        <v>0.0529</v>
      </c>
      <c r="D54" s="27"/>
      <c r="E54" s="16">
        <f>+'Sch 12, p 2'!E49</f>
        <v>0.8</v>
      </c>
      <c r="F54" s="27"/>
      <c r="G54" s="13">
        <f t="shared" si="5"/>
        <v>0.058</v>
      </c>
      <c r="H54" s="27"/>
      <c r="I54" s="11">
        <f t="shared" si="3"/>
        <v>0.0993</v>
      </c>
    </row>
    <row r="55" spans="1:9" ht="15">
      <c r="A55" s="41" t="str">
        <f>+'Sch 7, p 4'!A61</f>
        <v>Northeast Utilities</v>
      </c>
      <c r="B55" s="27"/>
      <c r="C55" s="13">
        <f t="shared" si="4"/>
        <v>0.0529</v>
      </c>
      <c r="D55" s="27"/>
      <c r="E55" s="16">
        <f>+'Sch 12, p 2'!E50</f>
        <v>0.85</v>
      </c>
      <c r="F55" s="27"/>
      <c r="G55" s="13">
        <f t="shared" si="5"/>
        <v>0.058</v>
      </c>
      <c r="H55" s="27"/>
      <c r="I55" s="11">
        <f t="shared" si="3"/>
        <v>0.10220000000000001</v>
      </c>
    </row>
    <row r="56" spans="1:9" ht="15">
      <c r="A56" s="41" t="str">
        <f>+'Sch 7, p 4'!A62</f>
        <v>NSTAR</v>
      </c>
      <c r="B56" s="27"/>
      <c r="C56" s="13">
        <f t="shared" si="4"/>
        <v>0.0529</v>
      </c>
      <c r="D56" s="27"/>
      <c r="E56" s="16">
        <f>+'Sch 12, p 2'!E51</f>
        <v>0.8</v>
      </c>
      <c r="F56" s="27"/>
      <c r="G56" s="13">
        <f t="shared" si="5"/>
        <v>0.058</v>
      </c>
      <c r="H56" s="27"/>
      <c r="I56" s="11">
        <f t="shared" si="3"/>
        <v>0.0993</v>
      </c>
    </row>
    <row r="57" spans="1:9" ht="15">
      <c r="A57" s="41" t="str">
        <f>+'Sch 7, p 4'!A63</f>
        <v>PEPCO Holdings</v>
      </c>
      <c r="B57" s="27"/>
      <c r="C57" s="13">
        <f t="shared" si="4"/>
        <v>0.0529</v>
      </c>
      <c r="D57" s="27"/>
      <c r="E57" s="16">
        <f>+'Sch 12, p 2'!E52</f>
        <v>0.9</v>
      </c>
      <c r="F57" s="27"/>
      <c r="G57" s="13">
        <f t="shared" si="5"/>
        <v>0.058</v>
      </c>
      <c r="H57" s="27"/>
      <c r="I57" s="11">
        <f t="shared" si="3"/>
        <v>0.1051</v>
      </c>
    </row>
    <row r="58" spans="1:9" ht="15">
      <c r="A58" s="41" t="str">
        <f>+'Sch 7, p 4'!A64</f>
        <v>PPL Corp</v>
      </c>
      <c r="B58" s="27"/>
      <c r="C58" s="13">
        <f t="shared" si="4"/>
        <v>0.0529</v>
      </c>
      <c r="D58" s="27"/>
      <c r="E58" s="16">
        <f>+'Sch 12, p 2'!E53</f>
        <v>1.05</v>
      </c>
      <c r="F58" s="27"/>
      <c r="G58" s="13">
        <f t="shared" si="5"/>
        <v>0.058</v>
      </c>
      <c r="H58" s="27"/>
      <c r="I58" s="11">
        <f t="shared" si="3"/>
        <v>0.11380000000000001</v>
      </c>
    </row>
    <row r="59" spans="1:9" ht="15">
      <c r="A59" s="41" t="str">
        <f>+'Sch 7, p 4'!A65</f>
        <v>Public Service Enter. Group</v>
      </c>
      <c r="B59" s="27"/>
      <c r="C59" s="13">
        <f t="shared" si="4"/>
        <v>0.0529</v>
      </c>
      <c r="D59" s="27"/>
      <c r="E59" s="16">
        <f>+'Sch 12, p 2'!E54</f>
        <v>0.95</v>
      </c>
      <c r="F59" s="27"/>
      <c r="G59" s="13">
        <f t="shared" si="5"/>
        <v>0.058</v>
      </c>
      <c r="H59" s="27"/>
      <c r="I59" s="11">
        <f t="shared" si="3"/>
        <v>0.10800000000000001</v>
      </c>
    </row>
    <row r="60" spans="1:9" ht="15">
      <c r="A60" s="41" t="str">
        <f>+'Sch 7, p 4'!A66</f>
        <v>SCANA Corp.</v>
      </c>
      <c r="B60" s="27"/>
      <c r="C60" s="13">
        <f t="shared" si="4"/>
        <v>0.0529</v>
      </c>
      <c r="D60" s="27"/>
      <c r="E60" s="16">
        <f>+'Sch 12, p 2'!E55</f>
        <v>0.8</v>
      </c>
      <c r="F60" s="27"/>
      <c r="G60" s="13">
        <f t="shared" si="5"/>
        <v>0.058</v>
      </c>
      <c r="H60" s="27"/>
      <c r="I60" s="11">
        <f t="shared" si="3"/>
        <v>0.0993</v>
      </c>
    </row>
    <row r="61" spans="1:9" ht="15">
      <c r="A61" s="41" t="str">
        <f>+'Sch 7, p 4'!A67</f>
        <v>Sempra Energy</v>
      </c>
      <c r="B61" s="27"/>
      <c r="C61" s="13">
        <f t="shared" si="4"/>
        <v>0.0529</v>
      </c>
      <c r="D61" s="27"/>
      <c r="E61" s="16">
        <f>+'Sch 12, p 2'!E56</f>
        <v>1.05</v>
      </c>
      <c r="F61" s="27"/>
      <c r="G61" s="13">
        <f t="shared" si="5"/>
        <v>0.058</v>
      </c>
      <c r="H61" s="27"/>
      <c r="I61" s="11">
        <f t="shared" si="3"/>
        <v>0.11380000000000001</v>
      </c>
    </row>
    <row r="62" spans="1:9" ht="15">
      <c r="A62" s="41" t="str">
        <f>+'Sch 7, p 4'!A68</f>
        <v>TXU Corp.</v>
      </c>
      <c r="B62" s="27"/>
      <c r="C62" s="13">
        <f t="shared" si="4"/>
        <v>0.0529</v>
      </c>
      <c r="D62" s="27"/>
      <c r="E62" s="16">
        <f>+'Sch 12, p 2'!E57</f>
        <v>1.1</v>
      </c>
      <c r="F62" s="27"/>
      <c r="G62" s="13">
        <f t="shared" si="5"/>
        <v>0.058</v>
      </c>
      <c r="H62" s="27"/>
      <c r="I62" s="11">
        <f t="shared" si="3"/>
        <v>0.11670000000000001</v>
      </c>
    </row>
    <row r="63" spans="1:9" ht="15">
      <c r="A63" s="41" t="str">
        <f>+'Sch 7, p 4'!A69</f>
        <v>Vectren Corp.</v>
      </c>
      <c r="B63" s="27"/>
      <c r="C63" s="13">
        <f t="shared" si="4"/>
        <v>0.0529</v>
      </c>
      <c r="D63" s="27"/>
      <c r="E63" s="16">
        <f>+'Sch 12, p 2'!E58</f>
        <v>0.85</v>
      </c>
      <c r="F63" s="27"/>
      <c r="G63" s="13">
        <f t="shared" si="5"/>
        <v>0.058</v>
      </c>
      <c r="H63" s="27"/>
      <c r="I63" s="11">
        <f t="shared" si="3"/>
        <v>0.10220000000000001</v>
      </c>
    </row>
    <row r="64" spans="1:9" ht="15">
      <c r="A64" s="41" t="str">
        <f>+'Sch 7, p 4'!A70</f>
        <v>Wisconsin Energy</v>
      </c>
      <c r="B64" s="27"/>
      <c r="C64" s="13">
        <f t="shared" si="4"/>
        <v>0.0529</v>
      </c>
      <c r="D64" s="27"/>
      <c r="E64" s="16">
        <f>+'Sch 12, p 2'!E59</f>
        <v>0.8</v>
      </c>
      <c r="F64" s="27"/>
      <c r="G64" s="13">
        <f t="shared" si="5"/>
        <v>0.058</v>
      </c>
      <c r="H64" s="27"/>
      <c r="I64" s="11">
        <f t="shared" si="3"/>
        <v>0.0993</v>
      </c>
    </row>
    <row r="65" spans="1:9" ht="15">
      <c r="A65" s="52"/>
      <c r="B65" s="52"/>
      <c r="C65" s="67"/>
      <c r="D65" s="52"/>
      <c r="E65" s="68"/>
      <c r="F65" s="52"/>
      <c r="G65" s="67"/>
      <c r="H65" s="52"/>
      <c r="I65" s="71"/>
    </row>
    <row r="66" spans="1:9" ht="15">
      <c r="A66" s="27"/>
      <c r="B66" s="27"/>
      <c r="C66" s="13"/>
      <c r="D66" s="27"/>
      <c r="E66" s="16"/>
      <c r="F66" s="27"/>
      <c r="G66" s="13"/>
      <c r="H66" s="27"/>
      <c r="I66" s="10"/>
    </row>
    <row r="67" spans="1:9" ht="15.75">
      <c r="A67" s="27" t="s">
        <v>196</v>
      </c>
      <c r="B67" s="27"/>
      <c r="C67" s="13">
        <f>AVERAGE(C45:C64)</f>
        <v>0.05289999999999998</v>
      </c>
      <c r="D67" s="27"/>
      <c r="E67" s="16">
        <f>AVERAGE(E45:E64)</f>
        <v>0.8925000000000003</v>
      </c>
      <c r="F67" s="27"/>
      <c r="G67" s="13">
        <f>AVERAGE(G45:G64)</f>
        <v>0.05800000000000003</v>
      </c>
      <c r="H67" s="27"/>
      <c r="I67" s="39">
        <f>AVERAGE(I45:I64)</f>
        <v>0.10466499999999998</v>
      </c>
    </row>
    <row r="68" spans="1:9" ht="15.75">
      <c r="A68" s="52"/>
      <c r="B68" s="52"/>
      <c r="C68" s="67"/>
      <c r="D68" s="52"/>
      <c r="E68" s="68"/>
      <c r="F68" s="52"/>
      <c r="G68" s="67"/>
      <c r="H68" s="52"/>
      <c r="I68" s="58"/>
    </row>
    <row r="69" spans="1:9" ht="15.75">
      <c r="A69" s="27"/>
      <c r="B69" s="27"/>
      <c r="C69" s="13"/>
      <c r="D69" s="27"/>
      <c r="E69" s="16"/>
      <c r="F69" s="27"/>
      <c r="G69" s="13"/>
      <c r="H69" s="27"/>
      <c r="I69" s="39"/>
    </row>
    <row r="70" spans="1:9" ht="15.75">
      <c r="A70" s="27" t="s">
        <v>185</v>
      </c>
      <c r="B70" s="27"/>
      <c r="C70" s="13"/>
      <c r="D70" s="27"/>
      <c r="E70" s="16"/>
      <c r="F70" s="27"/>
      <c r="G70" s="13"/>
      <c r="H70" s="27"/>
      <c r="I70" s="39">
        <f>MEDIAN(I45:I64)</f>
        <v>0.10220000000000001</v>
      </c>
    </row>
    <row r="71" spans="1:9" ht="16.5" thickBot="1">
      <c r="A71" s="55"/>
      <c r="B71" s="55"/>
      <c r="C71" s="69"/>
      <c r="D71" s="55"/>
      <c r="E71" s="70"/>
      <c r="F71" s="55"/>
      <c r="G71" s="69"/>
      <c r="H71" s="55"/>
      <c r="I71" s="89"/>
    </row>
    <row r="72" spans="1:9" ht="15.75" thickTop="1">
      <c r="A72" s="27"/>
      <c r="B72" s="27"/>
      <c r="C72" s="13"/>
      <c r="D72" s="27"/>
      <c r="E72" s="16"/>
      <c r="F72" s="27"/>
      <c r="G72" s="13"/>
      <c r="H72" s="27"/>
      <c r="I72" s="11"/>
    </row>
    <row r="73" spans="1:9" ht="15.75">
      <c r="A73" s="40" t="str">
        <f>+'Sch 7, p 4'!A82</f>
        <v>Morin Natural Gas Utilities</v>
      </c>
      <c r="B73" s="27"/>
      <c r="C73" s="13"/>
      <c r="D73" s="27"/>
      <c r="E73" s="16"/>
      <c r="F73" s="27"/>
      <c r="G73" s="13"/>
      <c r="H73" s="27"/>
      <c r="I73" s="11"/>
    </row>
    <row r="74" spans="1:9" ht="15">
      <c r="A74" s="27"/>
      <c r="B74" s="27"/>
      <c r="C74" s="13"/>
      <c r="D74" s="27"/>
      <c r="E74" s="16"/>
      <c r="F74" s="27"/>
      <c r="G74" s="13"/>
      <c r="H74" s="27"/>
      <c r="I74" s="11"/>
    </row>
    <row r="75" spans="1:9" ht="15">
      <c r="A75" s="41" t="str">
        <f>+'Sch 7, p 4'!A84</f>
        <v>AGL Resources</v>
      </c>
      <c r="B75" s="27"/>
      <c r="C75" s="13">
        <f>+C64</f>
        <v>0.0529</v>
      </c>
      <c r="D75" s="27"/>
      <c r="E75" s="16">
        <f>+E19</f>
        <v>0.95</v>
      </c>
      <c r="F75" s="27"/>
      <c r="G75" s="13">
        <f>+G64</f>
        <v>0.058</v>
      </c>
      <c r="H75" s="27"/>
      <c r="I75" s="11">
        <f aca="true" t="shared" si="6" ref="I75:I86">+C75+(E75*G75)</f>
        <v>0.10800000000000001</v>
      </c>
    </row>
    <row r="76" spans="1:9" ht="15">
      <c r="A76" s="41" t="str">
        <f>+'Sch 7, p 4'!A85</f>
        <v>Atmos Energy</v>
      </c>
      <c r="B76" s="27"/>
      <c r="C76" s="13">
        <f>+C75</f>
        <v>0.0529</v>
      </c>
      <c r="D76" s="27"/>
      <c r="E76" s="16">
        <f>+E20</f>
        <v>0.75</v>
      </c>
      <c r="F76" s="27"/>
      <c r="G76" s="13">
        <f>+G75</f>
        <v>0.058</v>
      </c>
      <c r="H76" s="27"/>
      <c r="I76" s="11">
        <f t="shared" si="6"/>
        <v>0.09640000000000001</v>
      </c>
    </row>
    <row r="77" spans="1:9" ht="15">
      <c r="A77" s="41" t="str">
        <f>+'Sch 7, p 4'!A86</f>
        <v>KeySpan Corp.</v>
      </c>
      <c r="B77" s="27"/>
      <c r="C77" s="13">
        <f aca="true" t="shared" si="7" ref="C77:C86">+C76</f>
        <v>0.0529</v>
      </c>
      <c r="D77" s="27"/>
      <c r="E77" s="16">
        <f>+E23</f>
        <v>0.9</v>
      </c>
      <c r="F77" s="27"/>
      <c r="G77" s="13">
        <f aca="true" t="shared" si="8" ref="G77:G86">+G76</f>
        <v>0.058</v>
      </c>
      <c r="H77" s="27"/>
      <c r="I77" s="11">
        <f t="shared" si="6"/>
        <v>0.1051</v>
      </c>
    </row>
    <row r="78" spans="1:9" ht="15">
      <c r="A78" s="41" t="str">
        <f>+'Sch 7, p 4'!A87</f>
        <v>Laclede Group</v>
      </c>
      <c r="B78" s="27"/>
      <c r="C78" s="13">
        <f t="shared" si="7"/>
        <v>0.0529</v>
      </c>
      <c r="D78" s="27"/>
      <c r="E78" s="16">
        <f>+E24</f>
        <v>0.85</v>
      </c>
      <c r="F78" s="27"/>
      <c r="G78" s="13">
        <f t="shared" si="8"/>
        <v>0.058</v>
      </c>
      <c r="H78" s="27"/>
      <c r="I78" s="11">
        <f t="shared" si="6"/>
        <v>0.10220000000000001</v>
      </c>
    </row>
    <row r="79" spans="1:9" ht="15">
      <c r="A79" s="41" t="str">
        <f>+'Sch 7, p 4'!A88</f>
        <v>New Jersey Resources</v>
      </c>
      <c r="B79" s="27"/>
      <c r="C79" s="13">
        <f t="shared" si="7"/>
        <v>0.0529</v>
      </c>
      <c r="D79" s="27"/>
      <c r="E79" s="16">
        <f>+E25</f>
        <v>0.8</v>
      </c>
      <c r="F79" s="27"/>
      <c r="G79" s="13">
        <f t="shared" si="8"/>
        <v>0.058</v>
      </c>
      <c r="H79" s="27"/>
      <c r="I79" s="11">
        <f t="shared" si="6"/>
        <v>0.0993</v>
      </c>
    </row>
    <row r="80" spans="1:9" ht="15">
      <c r="A80" s="41" t="str">
        <f>+'Sch 7, p 4'!A89</f>
        <v>Northwest Natural Gas</v>
      </c>
      <c r="B80" s="27"/>
      <c r="C80" s="13">
        <f t="shared" si="7"/>
        <v>0.0529</v>
      </c>
      <c r="D80" s="27"/>
      <c r="E80" s="16">
        <f aca="true" t="shared" si="9" ref="E80:E86">+E27</f>
        <v>0.75</v>
      </c>
      <c r="F80" s="27"/>
      <c r="G80" s="13">
        <f t="shared" si="8"/>
        <v>0.058</v>
      </c>
      <c r="H80" s="27"/>
      <c r="I80" s="11">
        <f t="shared" si="6"/>
        <v>0.09640000000000001</v>
      </c>
    </row>
    <row r="81" spans="1:9" ht="15">
      <c r="A81" s="41" t="str">
        <f>+'Sch 7, p 4'!A90</f>
        <v>Peoples Energy</v>
      </c>
      <c r="B81" s="27"/>
      <c r="C81" s="13">
        <f t="shared" si="7"/>
        <v>0.0529</v>
      </c>
      <c r="D81" s="27"/>
      <c r="E81" s="16">
        <f t="shared" si="9"/>
        <v>0.9</v>
      </c>
      <c r="F81" s="27"/>
      <c r="G81" s="13">
        <f t="shared" si="8"/>
        <v>0.058</v>
      </c>
      <c r="H81" s="27"/>
      <c r="I81" s="11">
        <f t="shared" si="6"/>
        <v>0.1051</v>
      </c>
    </row>
    <row r="82" spans="1:9" ht="15">
      <c r="A82" s="41" t="str">
        <f>+'Sch 7, p 4'!A91</f>
        <v>Piedmont Natural Gas</v>
      </c>
      <c r="B82" s="27"/>
      <c r="C82" s="13">
        <f t="shared" si="7"/>
        <v>0.0529</v>
      </c>
      <c r="D82" s="27"/>
      <c r="E82" s="16">
        <f t="shared" si="9"/>
        <v>0.85</v>
      </c>
      <c r="F82" s="27"/>
      <c r="G82" s="13">
        <f t="shared" si="8"/>
        <v>0.058</v>
      </c>
      <c r="H82" s="27"/>
      <c r="I82" s="11">
        <f t="shared" si="6"/>
        <v>0.10220000000000001</v>
      </c>
    </row>
    <row r="83" spans="1:9" ht="15">
      <c r="A83" s="41" t="str">
        <f>+'Sch 7, p 4'!A92</f>
        <v>South Jersey Industries</v>
      </c>
      <c r="B83" s="27"/>
      <c r="C83" s="13">
        <f t="shared" si="7"/>
        <v>0.0529</v>
      </c>
      <c r="D83" s="27"/>
      <c r="E83" s="16">
        <f t="shared" si="9"/>
        <v>0.7</v>
      </c>
      <c r="F83" s="27"/>
      <c r="G83" s="13">
        <f t="shared" si="8"/>
        <v>0.058</v>
      </c>
      <c r="H83" s="27"/>
      <c r="I83" s="11">
        <f t="shared" si="6"/>
        <v>0.0935</v>
      </c>
    </row>
    <row r="84" spans="1:9" ht="15">
      <c r="A84" s="41" t="str">
        <f>+'Sch 7, p 4'!A93</f>
        <v>Southwest Gas</v>
      </c>
      <c r="B84" s="27"/>
      <c r="C84" s="13">
        <f t="shared" si="7"/>
        <v>0.0529</v>
      </c>
      <c r="D84" s="27"/>
      <c r="E84" s="16">
        <f t="shared" si="9"/>
        <v>0.85</v>
      </c>
      <c r="F84" s="27"/>
      <c r="G84" s="13">
        <f t="shared" si="8"/>
        <v>0.058</v>
      </c>
      <c r="H84" s="27"/>
      <c r="I84" s="11">
        <f t="shared" si="6"/>
        <v>0.10220000000000001</v>
      </c>
    </row>
    <row r="85" spans="1:9" ht="15">
      <c r="A85" s="41" t="str">
        <f>+'Sch 7, p 4'!A94</f>
        <v>UGI Corp.</v>
      </c>
      <c r="B85" s="27"/>
      <c r="C85" s="13">
        <f t="shared" si="7"/>
        <v>0.0529</v>
      </c>
      <c r="D85" s="27"/>
      <c r="E85" s="16">
        <f t="shared" si="9"/>
        <v>0.9</v>
      </c>
      <c r="F85" s="27"/>
      <c r="G85" s="13">
        <f t="shared" si="8"/>
        <v>0.058</v>
      </c>
      <c r="H85" s="27"/>
      <c r="I85" s="11">
        <f t="shared" si="6"/>
        <v>0.1051</v>
      </c>
    </row>
    <row r="86" spans="1:9" ht="15">
      <c r="A86" s="41" t="str">
        <f>+'Sch 7, p 4'!A95</f>
        <v>WGL Corp.</v>
      </c>
      <c r="B86" s="27"/>
      <c r="C86" s="13">
        <f t="shared" si="7"/>
        <v>0.0529</v>
      </c>
      <c r="D86" s="27"/>
      <c r="E86" s="16">
        <f t="shared" si="9"/>
        <v>0.8</v>
      </c>
      <c r="F86" s="27"/>
      <c r="G86" s="13">
        <f t="shared" si="8"/>
        <v>0.058</v>
      </c>
      <c r="H86" s="27"/>
      <c r="I86" s="11">
        <f t="shared" si="6"/>
        <v>0.0993</v>
      </c>
    </row>
    <row r="87" spans="1:9" ht="15">
      <c r="A87" s="52"/>
      <c r="B87" s="52"/>
      <c r="C87" s="67"/>
      <c r="D87" s="52"/>
      <c r="E87" s="68"/>
      <c r="F87" s="52"/>
      <c r="G87" s="67"/>
      <c r="H87" s="52"/>
      <c r="I87" s="140"/>
    </row>
    <row r="88" spans="1:9" ht="15">
      <c r="A88" s="27"/>
      <c r="B88" s="27"/>
      <c r="C88" s="13"/>
      <c r="D88" s="27"/>
      <c r="E88" s="16"/>
      <c r="F88" s="27"/>
      <c r="G88" s="13"/>
      <c r="H88" s="27"/>
      <c r="I88" s="11"/>
    </row>
    <row r="89" spans="1:9" ht="15.75">
      <c r="A89" s="27" t="s">
        <v>196</v>
      </c>
      <c r="B89" s="27"/>
      <c r="C89" s="13">
        <f>AVERAGE(C75:C86)</f>
        <v>0.0529</v>
      </c>
      <c r="D89" s="27"/>
      <c r="E89" s="16">
        <f>AVERAGE(E75:E86)</f>
        <v>0.8333333333333335</v>
      </c>
      <c r="F89" s="27"/>
      <c r="G89" s="13">
        <f>AVERAGE(G75:G86)</f>
        <v>0.05800000000000002</v>
      </c>
      <c r="H89" s="27"/>
      <c r="I89" s="39">
        <f>AVERAGE(I75:I86)</f>
        <v>0.10123333333333333</v>
      </c>
    </row>
    <row r="90" spans="1:9" ht="15">
      <c r="A90" s="52"/>
      <c r="B90" s="52"/>
      <c r="C90" s="67"/>
      <c r="D90" s="52"/>
      <c r="E90" s="68"/>
      <c r="F90" s="52"/>
      <c r="G90" s="67"/>
      <c r="H90" s="52"/>
      <c r="I90" s="140"/>
    </row>
    <row r="91" spans="1:9" ht="15">
      <c r="A91" s="44"/>
      <c r="B91" s="44"/>
      <c r="C91" s="138"/>
      <c r="D91" s="44"/>
      <c r="E91" s="139"/>
      <c r="F91" s="44"/>
      <c r="G91" s="138"/>
      <c r="H91" s="44"/>
      <c r="I91" s="50"/>
    </row>
    <row r="92" spans="1:9" ht="15.75">
      <c r="A92" s="44" t="s">
        <v>185</v>
      </c>
      <c r="B92" s="44"/>
      <c r="C92" s="138"/>
      <c r="D92" s="44"/>
      <c r="E92" s="139"/>
      <c r="F92" s="44"/>
      <c r="G92" s="138"/>
      <c r="H92" s="44"/>
      <c r="I92" s="72">
        <f>MEDIAN(I75:I86)</f>
        <v>0.10220000000000001</v>
      </c>
    </row>
    <row r="93" spans="1:9" ht="15.75" thickBot="1">
      <c r="A93" s="55"/>
      <c r="B93" s="55"/>
      <c r="C93" s="69"/>
      <c r="D93" s="55"/>
      <c r="E93" s="70"/>
      <c r="F93" s="55"/>
      <c r="G93" s="69"/>
      <c r="H93" s="55"/>
      <c r="I93" s="141"/>
    </row>
    <row r="94" spans="1:9" ht="15.75" thickTop="1">
      <c r="A94" s="27"/>
      <c r="B94" s="27"/>
      <c r="C94" s="27"/>
      <c r="D94" s="27"/>
      <c r="E94" s="27"/>
      <c r="F94" s="27"/>
      <c r="G94" s="10"/>
      <c r="H94" s="27"/>
      <c r="I94" s="27"/>
    </row>
    <row r="95" spans="1:9" ht="15">
      <c r="A95" s="27" t="s">
        <v>123</v>
      </c>
      <c r="B95" s="27"/>
      <c r="C95" s="27"/>
      <c r="D95" s="27"/>
      <c r="E95" s="27"/>
      <c r="F95" s="27"/>
      <c r="G95" s="10"/>
      <c r="H95" s="27"/>
      <c r="I95" s="27"/>
    </row>
  </sheetData>
  <mergeCells count="1">
    <mergeCell ref="A8:I8"/>
  </mergeCells>
  <printOptions horizontalCentered="1"/>
  <pageMargins left="0.75" right="0.75" top="1" bottom="1" header="0.5" footer="0.5"/>
  <pageSetup fitToHeight="1" fitToWidth="1" horizontalDpi="600" verticalDpi="600" orientation="portrait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OutlineSymbols="0" zoomScale="87" zoomScaleNormal="87" workbookViewId="0" topLeftCell="K1">
      <selection activeCell="R2" sqref="R2"/>
    </sheetView>
  </sheetViews>
  <sheetFormatPr defaultColWidth="8.88671875" defaultRowHeight="15"/>
  <cols>
    <col min="1" max="1" width="24.5546875" style="27" customWidth="1"/>
    <col min="2" max="16384" width="9.77734375" style="27" customWidth="1"/>
  </cols>
  <sheetData>
    <row r="1" spans="18:19" ht="15.75">
      <c r="R1" s="2" t="s">
        <v>339</v>
      </c>
      <c r="S1" s="2"/>
    </row>
    <row r="2" spans="18:19" ht="15.75">
      <c r="R2" s="2" t="s">
        <v>213</v>
      </c>
      <c r="S2" s="2"/>
    </row>
    <row r="3" spans="18:19" ht="15.75">
      <c r="R3" s="2" t="s">
        <v>130</v>
      </c>
      <c r="S3" s="2"/>
    </row>
    <row r="4" ht="15.75">
      <c r="T4" s="2"/>
    </row>
    <row r="5" spans="1:20" ht="20.25">
      <c r="A5" s="231" t="str">
        <f>+'Sch 9'!A6</f>
        <v>COMPARISON COMPANIES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3"/>
    </row>
    <row r="6" spans="1:20" ht="20.25">
      <c r="A6" s="3" t="s">
        <v>129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9" ht="15.75" thickBot="1"/>
    <row r="10" spans="1:20" ht="15.75" thickTop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176</v>
      </c>
      <c r="Q11" s="10" t="s">
        <v>205</v>
      </c>
      <c r="R11" s="10"/>
      <c r="S11" s="10"/>
      <c r="T11" s="10"/>
    </row>
    <row r="12" spans="1:20" ht="15">
      <c r="A12" s="10" t="str">
        <f>+'Sch 9'!A13</f>
        <v>COMPANY</v>
      </c>
      <c r="B12" s="10">
        <v>1992</v>
      </c>
      <c r="C12" s="10">
        <f aca="true" t="shared" si="0" ref="C12:I12">B12+1</f>
        <v>1993</v>
      </c>
      <c r="D12" s="10">
        <f t="shared" si="0"/>
        <v>1994</v>
      </c>
      <c r="E12" s="10">
        <f t="shared" si="0"/>
        <v>1995</v>
      </c>
      <c r="F12" s="10">
        <f t="shared" si="0"/>
        <v>1996</v>
      </c>
      <c r="G12" s="10">
        <f t="shared" si="0"/>
        <v>1997</v>
      </c>
      <c r="H12" s="10">
        <f t="shared" si="0"/>
        <v>1998</v>
      </c>
      <c r="I12" s="10">
        <f t="shared" si="0"/>
        <v>1999</v>
      </c>
      <c r="J12" s="10">
        <v>2000</v>
      </c>
      <c r="K12" s="10">
        <v>2001</v>
      </c>
      <c r="L12" s="10">
        <v>2002</v>
      </c>
      <c r="M12" s="10">
        <v>2003</v>
      </c>
      <c r="N12" s="10">
        <v>2004</v>
      </c>
      <c r="O12" s="10">
        <v>2005</v>
      </c>
      <c r="P12" s="10" t="s">
        <v>108</v>
      </c>
      <c r="Q12" s="10" t="s">
        <v>108</v>
      </c>
      <c r="R12" s="10">
        <v>2006</v>
      </c>
      <c r="S12" s="10">
        <v>2007</v>
      </c>
      <c r="T12" s="10" t="s">
        <v>244</v>
      </c>
    </row>
    <row r="13" spans="2:3" ht="15.75" thickBot="1">
      <c r="B13" s="234"/>
      <c r="C13" s="234"/>
    </row>
    <row r="14" spans="1:20" ht="15.75" thickTop="1">
      <c r="A14" s="28"/>
      <c r="B14" s="7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6" ht="15.75">
      <c r="A16" s="40" t="str">
        <f>+'Sch 9'!A17</f>
        <v>Value Line Natural Gas</v>
      </c>
    </row>
    <row r="18" spans="1:20" ht="15">
      <c r="A18" s="27" t="str">
        <f>+'Sch 9'!A19</f>
        <v>AGL Resources</v>
      </c>
      <c r="B18" s="11">
        <v>0.118</v>
      </c>
      <c r="C18" s="11">
        <v>0.11</v>
      </c>
      <c r="D18" s="11">
        <v>0.116</v>
      </c>
      <c r="E18" s="11">
        <v>0.131</v>
      </c>
      <c r="F18" s="11">
        <v>0.132</v>
      </c>
      <c r="G18" s="11">
        <v>0.127</v>
      </c>
      <c r="H18" s="11">
        <v>0.126</v>
      </c>
      <c r="I18" s="11">
        <v>0.079</v>
      </c>
      <c r="J18" s="11">
        <v>0.112</v>
      </c>
      <c r="K18" s="11">
        <v>0.127</v>
      </c>
      <c r="L18" s="11">
        <v>0.147</v>
      </c>
      <c r="M18" s="11">
        <v>0.153</v>
      </c>
      <c r="N18" s="11">
        <v>0.139</v>
      </c>
      <c r="O18" s="11">
        <v>0.133</v>
      </c>
      <c r="P18" s="11">
        <f>AVERAGE(B18:K18)</f>
        <v>0.11779999999999999</v>
      </c>
      <c r="Q18" s="11">
        <f>AVERAGE(K18:O18)</f>
        <v>0.1398</v>
      </c>
      <c r="R18" s="11">
        <v>0.13</v>
      </c>
      <c r="S18" s="11">
        <v>0.125</v>
      </c>
      <c r="T18" s="11">
        <v>0.12</v>
      </c>
    </row>
    <row r="19" spans="1:20" ht="15">
      <c r="A19" s="27" t="str">
        <f>+'Sch 9'!A20</f>
        <v>Atmos Energy</v>
      </c>
      <c r="B19" s="11">
        <v>0.107</v>
      </c>
      <c r="C19" s="11">
        <v>0.127</v>
      </c>
      <c r="D19" s="11">
        <v>0.1</v>
      </c>
      <c r="E19" s="11">
        <v>0.122</v>
      </c>
      <c r="F19" s="11">
        <v>0.144</v>
      </c>
      <c r="G19" s="11">
        <v>0.123</v>
      </c>
      <c r="H19" s="11">
        <v>0.158</v>
      </c>
      <c r="I19" s="11">
        <v>0.067</v>
      </c>
      <c r="J19" s="11">
        <v>0.085</v>
      </c>
      <c r="K19" s="11">
        <v>0.111</v>
      </c>
      <c r="L19" s="11">
        <v>0.103</v>
      </c>
      <c r="M19" s="11">
        <v>0.112</v>
      </c>
      <c r="N19" s="11">
        <v>0.091</v>
      </c>
      <c r="O19" s="11">
        <v>0.091</v>
      </c>
      <c r="P19" s="11">
        <f aca="true" t="shared" si="1" ref="P19:P32">AVERAGE(B19:K19)</f>
        <v>0.11439999999999999</v>
      </c>
      <c r="Q19" s="11">
        <f aca="true" t="shared" si="2" ref="Q19:Q32">AVERAGE(K19:O19)</f>
        <v>0.1016</v>
      </c>
      <c r="R19" s="11">
        <v>0.085</v>
      </c>
      <c r="S19" s="11">
        <v>0.09</v>
      </c>
      <c r="T19" s="11">
        <v>0.105</v>
      </c>
    </row>
    <row r="20" spans="1:20" ht="15">
      <c r="A20" s="27" t="str">
        <f>+'Sch 9'!A21</f>
        <v>Cascade Natural Gas</v>
      </c>
      <c r="B20" s="11">
        <v>0.071</v>
      </c>
      <c r="C20" s="11">
        <v>0.11</v>
      </c>
      <c r="D20" s="11">
        <v>0.061</v>
      </c>
      <c r="E20" s="11">
        <v>0.082</v>
      </c>
      <c r="F20" s="11">
        <v>0.096</v>
      </c>
      <c r="G20" s="11">
        <v>0.092</v>
      </c>
      <c r="H20" s="11">
        <v>0.083</v>
      </c>
      <c r="I20" s="11">
        <v>0.121</v>
      </c>
      <c r="J20" s="11">
        <v>0.131</v>
      </c>
      <c r="K20" s="11">
        <v>0.135</v>
      </c>
      <c r="L20" s="11">
        <v>0.106</v>
      </c>
      <c r="M20" s="11">
        <v>0.085</v>
      </c>
      <c r="N20" s="11">
        <v>0.115</v>
      </c>
      <c r="O20" s="11">
        <v>0.078</v>
      </c>
      <c r="P20" s="11">
        <f t="shared" si="1"/>
        <v>0.0982</v>
      </c>
      <c r="Q20" s="11">
        <f t="shared" si="2"/>
        <v>0.1038</v>
      </c>
      <c r="R20" s="11">
        <v>0.09</v>
      </c>
      <c r="S20" s="11">
        <v>0.09</v>
      </c>
      <c r="T20" s="11">
        <v>0.09</v>
      </c>
    </row>
    <row r="21" spans="1:20" ht="15">
      <c r="A21" s="27" t="str">
        <f>+'Sch 9'!A22</f>
        <v>Energen</v>
      </c>
      <c r="B21" s="11">
        <v>0.126</v>
      </c>
      <c r="C21" s="11">
        <v>0.134</v>
      </c>
      <c r="D21" s="11">
        <v>0.139</v>
      </c>
      <c r="E21" s="11">
        <v>0.113</v>
      </c>
      <c r="F21" s="11">
        <v>0.119</v>
      </c>
      <c r="G21" s="11">
        <v>0.123</v>
      </c>
      <c r="H21" s="11">
        <v>0.114</v>
      </c>
      <c r="I21" s="11">
        <v>0.113</v>
      </c>
      <c r="J21" s="11">
        <v>0.143</v>
      </c>
      <c r="K21" s="11">
        <v>0.156</v>
      </c>
      <c r="L21" s="11">
        <v>0.124</v>
      </c>
      <c r="M21" s="11">
        <v>0.172</v>
      </c>
      <c r="N21" s="11">
        <v>0.17</v>
      </c>
      <c r="O21" s="11">
        <v>0.21</v>
      </c>
      <c r="P21" s="11">
        <f t="shared" si="1"/>
        <v>0.12799999999999997</v>
      </c>
      <c r="Q21" s="11">
        <f t="shared" si="2"/>
        <v>0.1664</v>
      </c>
      <c r="R21" s="11">
        <v>0.235</v>
      </c>
      <c r="S21" s="11">
        <v>0.26</v>
      </c>
      <c r="T21" s="11">
        <v>0.195</v>
      </c>
    </row>
    <row r="22" spans="1:20" ht="15">
      <c r="A22" s="27" t="str">
        <f>+'Sch 9'!A23</f>
        <v>Keyspan </v>
      </c>
      <c r="B22" s="11">
        <v>0.093</v>
      </c>
      <c r="C22" s="11">
        <v>0.115</v>
      </c>
      <c r="D22" s="11">
        <v>0.116</v>
      </c>
      <c r="E22" s="11">
        <v>0.114</v>
      </c>
      <c r="F22" s="11">
        <v>0.112</v>
      </c>
      <c r="G22" s="11">
        <v>0.114</v>
      </c>
      <c r="H22" s="11">
        <v>-0.063</v>
      </c>
      <c r="I22" s="11">
        <v>0.074</v>
      </c>
      <c r="J22" s="11">
        <v>0.103</v>
      </c>
      <c r="K22" s="11">
        <v>0.083</v>
      </c>
      <c r="L22" s="11">
        <v>0.133</v>
      </c>
      <c r="M22" s="11">
        <v>0.12</v>
      </c>
      <c r="N22" s="11">
        <v>0.103</v>
      </c>
      <c r="O22" s="11">
        <v>0.093</v>
      </c>
      <c r="P22" s="11">
        <f t="shared" si="1"/>
        <v>0.08609999999999998</v>
      </c>
      <c r="Q22" s="11">
        <f t="shared" si="2"/>
        <v>0.10640000000000001</v>
      </c>
      <c r="R22" s="11">
        <v>0.08</v>
      </c>
      <c r="S22" s="11">
        <v>0.095</v>
      </c>
      <c r="T22" s="11">
        <v>0.095</v>
      </c>
    </row>
    <row r="23" spans="1:20" ht="15">
      <c r="A23" s="27" t="str">
        <f>+'Sch 9'!A24</f>
        <v>Laclede Group</v>
      </c>
      <c r="B23" s="11">
        <v>0.099</v>
      </c>
      <c r="C23" s="11">
        <v>0.134</v>
      </c>
      <c r="D23" s="11">
        <v>0.115</v>
      </c>
      <c r="E23" s="11">
        <v>0.1</v>
      </c>
      <c r="F23" s="11">
        <v>0.14</v>
      </c>
      <c r="G23" s="11">
        <v>0.132</v>
      </c>
      <c r="H23" s="11">
        <v>0.11</v>
      </c>
      <c r="I23" s="11">
        <v>0.1</v>
      </c>
      <c r="J23" s="11">
        <v>0.091</v>
      </c>
      <c r="K23" s="11">
        <v>0.106</v>
      </c>
      <c r="L23" s="11">
        <v>0.078</v>
      </c>
      <c r="M23" s="11">
        <v>0.118</v>
      </c>
      <c r="N23" s="11">
        <v>0.112</v>
      </c>
      <c r="O23" s="11">
        <v>0.111</v>
      </c>
      <c r="P23" s="11">
        <f t="shared" si="1"/>
        <v>0.11270000000000002</v>
      </c>
      <c r="Q23" s="11">
        <f t="shared" si="2"/>
        <v>0.10500000000000001</v>
      </c>
      <c r="R23" s="11">
        <v>0.12</v>
      </c>
      <c r="S23" s="11">
        <v>0.11</v>
      </c>
      <c r="T23" s="11">
        <v>0.12</v>
      </c>
    </row>
    <row r="24" spans="1:20" ht="15">
      <c r="A24" s="27" t="str">
        <f>+'Sch 9'!A25</f>
        <v>New Jersey Resources</v>
      </c>
      <c r="B24" s="11">
        <v>0.121</v>
      </c>
      <c r="C24" s="11">
        <v>0.119</v>
      </c>
      <c r="D24" s="11">
        <v>0.13</v>
      </c>
      <c r="E24" s="11">
        <v>0.133</v>
      </c>
      <c r="F24" s="11">
        <v>0.138</v>
      </c>
      <c r="G24" s="11">
        <v>0.145</v>
      </c>
      <c r="H24" s="11">
        <v>0.146</v>
      </c>
      <c r="I24" s="11">
        <v>0.149</v>
      </c>
      <c r="J24" s="11">
        <v>0.151</v>
      </c>
      <c r="K24" s="11">
        <v>0.152</v>
      </c>
      <c r="L24" s="11">
        <v>0.159</v>
      </c>
      <c r="M24" s="11">
        <v>0.167</v>
      </c>
      <c r="N24" s="11">
        <v>0.158</v>
      </c>
      <c r="O24" s="11">
        <v>0.162</v>
      </c>
      <c r="P24" s="11">
        <f t="shared" si="1"/>
        <v>0.1384</v>
      </c>
      <c r="Q24" s="11">
        <f t="shared" si="2"/>
        <v>0.15960000000000002</v>
      </c>
      <c r="R24" s="11">
        <v>0.16</v>
      </c>
      <c r="S24" s="11">
        <v>0.155</v>
      </c>
      <c r="T24" s="11">
        <v>0.145</v>
      </c>
    </row>
    <row r="25" spans="1:20" ht="15">
      <c r="A25" s="27" t="str">
        <f>+'Sch 9'!A26</f>
        <v>NICOR</v>
      </c>
      <c r="B25" s="11">
        <v>0.153</v>
      </c>
      <c r="C25" s="11">
        <v>0.153</v>
      </c>
      <c r="D25" s="11">
        <v>0.157</v>
      </c>
      <c r="E25" s="11">
        <v>0.146</v>
      </c>
      <c r="F25" s="11">
        <v>0.17</v>
      </c>
      <c r="G25" s="11">
        <v>0.169</v>
      </c>
      <c r="H25" s="11">
        <v>0.147</v>
      </c>
      <c r="I25" s="11">
        <v>0.157</v>
      </c>
      <c r="J25" s="11">
        <v>0.182</v>
      </c>
      <c r="K25" s="11">
        <v>0.188</v>
      </c>
      <c r="L25" s="11">
        <v>0.173</v>
      </c>
      <c r="M25" s="11">
        <v>0.124</v>
      </c>
      <c r="N25" s="11">
        <v>0.13</v>
      </c>
      <c r="O25" s="11">
        <v>0.128</v>
      </c>
      <c r="P25" s="11">
        <f t="shared" si="1"/>
        <v>0.16219999999999998</v>
      </c>
      <c r="Q25" s="11">
        <f t="shared" si="2"/>
        <v>0.1486</v>
      </c>
      <c r="R25" s="11">
        <v>0.13</v>
      </c>
      <c r="S25" s="11">
        <v>0.125</v>
      </c>
      <c r="T25" s="11">
        <v>0.135</v>
      </c>
    </row>
    <row r="26" spans="1:20" ht="15">
      <c r="A26" s="27" t="str">
        <f>+'Sch 9'!A27</f>
        <v>Northwest Natural Gas</v>
      </c>
      <c r="B26" s="11">
        <v>0.06</v>
      </c>
      <c r="C26" s="11">
        <v>0.137</v>
      </c>
      <c r="D26" s="11">
        <v>0.122</v>
      </c>
      <c r="E26" s="11">
        <v>0.114</v>
      </c>
      <c r="F26" s="11">
        <v>0.132</v>
      </c>
      <c r="G26" s="11">
        <v>0.112</v>
      </c>
      <c r="H26" s="11">
        <v>0.063</v>
      </c>
      <c r="I26" s="11">
        <v>0.101</v>
      </c>
      <c r="J26" s="11">
        <v>0.102</v>
      </c>
      <c r="K26" s="11">
        <v>0.103</v>
      </c>
      <c r="L26" s="11">
        <v>0.087</v>
      </c>
      <c r="M26" s="11">
        <v>0.092</v>
      </c>
      <c r="N26" s="11">
        <v>0.093</v>
      </c>
      <c r="O26" s="11">
        <v>0.101</v>
      </c>
      <c r="P26" s="11">
        <f t="shared" si="1"/>
        <v>0.1046</v>
      </c>
      <c r="Q26" s="11">
        <f t="shared" si="2"/>
        <v>0.09519999999999999</v>
      </c>
      <c r="R26" s="11">
        <v>0.1</v>
      </c>
      <c r="S26" s="11">
        <v>0.105</v>
      </c>
      <c r="T26" s="11">
        <v>0.105</v>
      </c>
    </row>
    <row r="27" spans="1:20" ht="15">
      <c r="A27" s="27" t="str">
        <f>+'Sch 9'!A28</f>
        <v>Peoples Energy</v>
      </c>
      <c r="B27" s="11">
        <v>0.119</v>
      </c>
      <c r="C27" s="11">
        <v>0.118</v>
      </c>
      <c r="D27" s="11">
        <v>0.117</v>
      </c>
      <c r="E27" s="11">
        <v>0.097</v>
      </c>
      <c r="F27" s="11">
        <v>0.156</v>
      </c>
      <c r="G27" s="11">
        <v>0.141</v>
      </c>
      <c r="H27" s="11">
        <v>0.109</v>
      </c>
      <c r="I27" s="11">
        <v>0.112</v>
      </c>
      <c r="J27" s="11">
        <v>0.124</v>
      </c>
      <c r="K27" s="11">
        <v>0.141</v>
      </c>
      <c r="L27" s="11">
        <v>0.123</v>
      </c>
      <c r="M27" s="11">
        <v>0.125</v>
      </c>
      <c r="N27" s="11">
        <v>0.094</v>
      </c>
      <c r="O27" s="11">
        <v>0.103</v>
      </c>
      <c r="P27" s="11">
        <f t="shared" si="1"/>
        <v>0.1234</v>
      </c>
      <c r="Q27" s="11">
        <f t="shared" si="2"/>
        <v>0.1172</v>
      </c>
      <c r="R27" s="11">
        <v>0.09</v>
      </c>
      <c r="S27" s="11">
        <v>0.095</v>
      </c>
      <c r="T27" s="11">
        <v>0.145</v>
      </c>
    </row>
    <row r="28" spans="1:20" ht="15">
      <c r="A28" s="27" t="str">
        <f>+'Sch 9'!A29</f>
        <v>Piedmont Natural Gas</v>
      </c>
      <c r="B28" s="11">
        <v>0.141</v>
      </c>
      <c r="C28" s="11">
        <v>0.138</v>
      </c>
      <c r="D28" s="11">
        <v>0.122</v>
      </c>
      <c r="E28" s="11">
        <v>0.123</v>
      </c>
      <c r="F28" s="11">
        <v>0.132</v>
      </c>
      <c r="G28" s="11">
        <v>0.138</v>
      </c>
      <c r="H28" s="11">
        <v>0.136</v>
      </c>
      <c r="I28" s="11">
        <v>0.121</v>
      </c>
      <c r="J28" s="11">
        <v>0.125</v>
      </c>
      <c r="K28" s="11">
        <v>0.12</v>
      </c>
      <c r="L28" s="11">
        <v>0.108</v>
      </c>
      <c r="M28" s="11">
        <v>0.122</v>
      </c>
      <c r="N28" s="11">
        <v>0.124</v>
      </c>
      <c r="O28" s="11">
        <v>0.116</v>
      </c>
      <c r="P28" s="11">
        <f t="shared" si="1"/>
        <v>0.12960000000000002</v>
      </c>
      <c r="Q28" s="11">
        <f t="shared" si="2"/>
        <v>0.118</v>
      </c>
      <c r="R28" s="11">
        <v>0.11</v>
      </c>
      <c r="S28" s="11">
        <v>0.115</v>
      </c>
      <c r="T28" s="11">
        <v>0.125</v>
      </c>
    </row>
    <row r="29" spans="1:20" ht="15">
      <c r="A29" s="27" t="str">
        <f>+'Sch 9'!A30</f>
        <v>South Jersey Industries</v>
      </c>
      <c r="B29" s="11">
        <v>0.118</v>
      </c>
      <c r="C29" s="11">
        <v>0.11</v>
      </c>
      <c r="D29" s="11">
        <v>0.085</v>
      </c>
      <c r="E29" s="11">
        <v>0.114</v>
      </c>
      <c r="F29" s="11">
        <v>0.111</v>
      </c>
      <c r="G29" s="11">
        <v>0.119</v>
      </c>
      <c r="H29" s="11">
        <v>0.101</v>
      </c>
      <c r="I29" s="11">
        <v>0.156</v>
      </c>
      <c r="J29" s="11">
        <v>0.154</v>
      </c>
      <c r="K29" s="11">
        <v>0.153</v>
      </c>
      <c r="L29" s="11">
        <v>0.14</v>
      </c>
      <c r="M29" s="11">
        <v>0.131</v>
      </c>
      <c r="N29" s="11">
        <v>0.134</v>
      </c>
      <c r="O29" s="11">
        <v>0.132</v>
      </c>
      <c r="P29" s="11">
        <f t="shared" si="1"/>
        <v>0.12210000000000001</v>
      </c>
      <c r="Q29" s="11">
        <f t="shared" si="2"/>
        <v>0.138</v>
      </c>
      <c r="R29" s="11">
        <v>0.13</v>
      </c>
      <c r="S29" s="11">
        <v>0.13</v>
      </c>
      <c r="T29" s="11">
        <v>0.13</v>
      </c>
    </row>
    <row r="30" spans="1:20" ht="15">
      <c r="A30" s="27" t="str">
        <f>+'Sch 9'!A31</f>
        <v>Southwest Gas</v>
      </c>
      <c r="B30" s="11">
        <v>0.051</v>
      </c>
      <c r="C30" s="11">
        <v>0.039</v>
      </c>
      <c r="D30" s="11">
        <v>0.075</v>
      </c>
      <c r="E30" s="11">
        <v>0.006</v>
      </c>
      <c r="F30" s="11">
        <v>0.017</v>
      </c>
      <c r="G30" s="11">
        <v>0.054</v>
      </c>
      <c r="H30" s="11">
        <v>0.104</v>
      </c>
      <c r="I30" s="11">
        <v>0.075</v>
      </c>
      <c r="J30" s="11">
        <v>0.073</v>
      </c>
      <c r="K30" s="11">
        <v>0.067</v>
      </c>
      <c r="L30" s="11">
        <v>0.066</v>
      </c>
      <c r="M30" s="11">
        <v>0.062</v>
      </c>
      <c r="N30" s="11">
        <v>0.088</v>
      </c>
      <c r="O30" s="11">
        <v>0.066</v>
      </c>
      <c r="P30" s="11">
        <f t="shared" si="1"/>
        <v>0.0561</v>
      </c>
      <c r="Q30" s="11">
        <f t="shared" si="2"/>
        <v>0.0698</v>
      </c>
      <c r="R30" s="11">
        <v>0.085</v>
      </c>
      <c r="S30" s="11">
        <v>0.095</v>
      </c>
      <c r="T30" s="11">
        <v>0.095</v>
      </c>
    </row>
    <row r="31" spans="1:20" ht="15">
      <c r="A31" s="27" t="str">
        <f>+'Sch 9'!A32</f>
        <v>UGI </v>
      </c>
      <c r="B31" s="11">
        <v>0.091</v>
      </c>
      <c r="C31" s="11">
        <v>0.032</v>
      </c>
      <c r="D31" s="11">
        <v>0.09</v>
      </c>
      <c r="E31" s="11">
        <v>0.049</v>
      </c>
      <c r="F31" s="11">
        <v>0.092</v>
      </c>
      <c r="G31" s="11">
        <v>0.129</v>
      </c>
      <c r="H31" s="11">
        <v>0.109</v>
      </c>
      <c r="I31" s="11">
        <v>0.134</v>
      </c>
      <c r="J31" s="11">
        <v>0.174</v>
      </c>
      <c r="K31" s="11">
        <v>0.227</v>
      </c>
      <c r="L31" s="11">
        <v>0.259</v>
      </c>
      <c r="M31" s="11">
        <v>0.219</v>
      </c>
      <c r="N31" s="11">
        <v>0.165</v>
      </c>
      <c r="O31" s="11">
        <v>0.195</v>
      </c>
      <c r="P31" s="11">
        <f t="shared" si="1"/>
        <v>0.1127</v>
      </c>
      <c r="Q31" s="11">
        <f t="shared" si="2"/>
        <v>0.213</v>
      </c>
      <c r="R31" s="11">
        <v>0.15</v>
      </c>
      <c r="S31" s="11">
        <v>0.155</v>
      </c>
      <c r="T31" s="11">
        <v>0.13</v>
      </c>
    </row>
    <row r="32" spans="1:20" ht="15">
      <c r="A32" s="27" t="str">
        <f>+'Sch 9'!A33</f>
        <v>WGL Holdings</v>
      </c>
      <c r="B32" s="11">
        <v>0.125</v>
      </c>
      <c r="C32" s="11">
        <v>0.121</v>
      </c>
      <c r="D32" s="11">
        <v>0.126</v>
      </c>
      <c r="E32" s="11">
        <v>0.124</v>
      </c>
      <c r="F32" s="11">
        <v>0.15</v>
      </c>
      <c r="G32" s="11">
        <v>0.141</v>
      </c>
      <c r="H32" s="11">
        <v>0.113</v>
      </c>
      <c r="I32" s="11">
        <v>0.103</v>
      </c>
      <c r="J32" s="11">
        <v>0.119</v>
      </c>
      <c r="K32" s="11">
        <v>0.119</v>
      </c>
      <c r="L32" s="11">
        <v>0.071</v>
      </c>
      <c r="M32" s="11">
        <v>0.144</v>
      </c>
      <c r="N32" s="11">
        <v>0.119</v>
      </c>
      <c r="O32" s="11">
        <v>0.121</v>
      </c>
      <c r="P32" s="11">
        <f t="shared" si="1"/>
        <v>0.12410000000000002</v>
      </c>
      <c r="Q32" s="11">
        <f t="shared" si="2"/>
        <v>0.11479999999999999</v>
      </c>
      <c r="R32" s="11">
        <v>0.1</v>
      </c>
      <c r="S32" s="11">
        <v>0.1</v>
      </c>
      <c r="T32" s="11">
        <v>0.11</v>
      </c>
    </row>
    <row r="33" spans="1:20" ht="15.75" thickBot="1">
      <c r="A33" s="5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2:20" ht="15.75" thickTop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5.75">
      <c r="A35" s="27" t="s">
        <v>108</v>
      </c>
      <c r="B35" s="11">
        <f aca="true" t="shared" si="3" ref="B35:T35">AVERAGE(B18:B32)</f>
        <v>0.1062</v>
      </c>
      <c r="C35" s="11">
        <f t="shared" si="3"/>
        <v>0.11313333333333334</v>
      </c>
      <c r="D35" s="11">
        <f t="shared" si="3"/>
        <v>0.11139999999999999</v>
      </c>
      <c r="E35" s="11">
        <f t="shared" si="3"/>
        <v>0.10453333333333334</v>
      </c>
      <c r="F35" s="11">
        <f t="shared" si="3"/>
        <v>0.1227333333333333</v>
      </c>
      <c r="G35" s="11">
        <f t="shared" si="3"/>
        <v>0.12393333333333333</v>
      </c>
      <c r="H35" s="11">
        <f t="shared" si="3"/>
        <v>0.10373333333333333</v>
      </c>
      <c r="I35" s="11">
        <f t="shared" si="3"/>
        <v>0.11080000000000001</v>
      </c>
      <c r="J35" s="11">
        <f t="shared" si="3"/>
        <v>0.1246</v>
      </c>
      <c r="K35" s="84">
        <f t="shared" si="3"/>
        <v>0.13253333333333334</v>
      </c>
      <c r="L35" s="84">
        <f t="shared" si="3"/>
        <v>0.12513333333333335</v>
      </c>
      <c r="M35" s="84">
        <f t="shared" si="3"/>
        <v>0.12973333333333334</v>
      </c>
      <c r="N35" s="84">
        <f t="shared" si="3"/>
        <v>0.12233333333333335</v>
      </c>
      <c r="O35" s="84">
        <f t="shared" si="3"/>
        <v>0.12266666666666669</v>
      </c>
      <c r="P35" s="39">
        <f t="shared" si="3"/>
        <v>0.11535999999999999</v>
      </c>
      <c r="Q35" s="39">
        <f t="shared" si="3"/>
        <v>0.12648</v>
      </c>
      <c r="R35" s="39">
        <f t="shared" si="3"/>
        <v>0.11966666666666669</v>
      </c>
      <c r="S35" s="39">
        <f t="shared" si="3"/>
        <v>0.12299999999999998</v>
      </c>
      <c r="T35" s="39">
        <f t="shared" si="3"/>
        <v>0.123</v>
      </c>
    </row>
    <row r="36" spans="1:20" ht="15">
      <c r="A36" s="5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2:20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5.75">
      <c r="A38" s="27" t="s">
        <v>148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9">
        <f>AVERAGE(B35:K35)</f>
        <v>0.11536000000000002</v>
      </c>
      <c r="Q38" s="39">
        <f>AVERAGE(K35:O35)</f>
        <v>0.12648</v>
      </c>
      <c r="R38" s="11"/>
      <c r="S38" s="11"/>
      <c r="T38" s="11"/>
    </row>
    <row r="39" spans="1:20" ht="15.75" thickBot="1">
      <c r="A39" s="55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2:20" ht="15.75" thickTop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5.75">
      <c r="A41" s="40" t="str">
        <f>+'Sch 9'!A42</f>
        <v>Morin Electricity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.75">
      <c r="A42" s="40" t="str">
        <f>+'Sch 9'!A43</f>
        <v>Distribution Companies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.75">
      <c r="A43" s="4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>
      <c r="A44" s="41" t="str">
        <f>+'Sch 9'!A45</f>
        <v>American Electric Power</v>
      </c>
      <c r="B44" s="11">
        <v>0.111</v>
      </c>
      <c r="C44" s="11">
        <v>0.119</v>
      </c>
      <c r="D44" s="11">
        <v>0.12</v>
      </c>
      <c r="E44" s="11">
        <v>0.124</v>
      </c>
      <c r="F44" s="11">
        <v>0.132</v>
      </c>
      <c r="G44" s="11">
        <v>0.135</v>
      </c>
      <c r="H44" s="11">
        <v>0.113</v>
      </c>
      <c r="I44" s="11">
        <v>0.105</v>
      </c>
      <c r="J44" s="11">
        <v>0.041</v>
      </c>
      <c r="K44" s="11">
        <v>0.129</v>
      </c>
      <c r="L44" s="11">
        <v>0.123</v>
      </c>
      <c r="M44" s="11">
        <v>0.124</v>
      </c>
      <c r="N44" s="11">
        <v>0.127</v>
      </c>
      <c r="O44" s="11">
        <v>0.117</v>
      </c>
      <c r="P44" s="11">
        <f aca="true" t="shared" si="4" ref="P44:P63">AVERAGE(B44:K44)</f>
        <v>0.1129</v>
      </c>
      <c r="Q44" s="11">
        <f aca="true" t="shared" si="5" ref="Q44:Q63">AVERAGE(K44:O44)</f>
        <v>0.124</v>
      </c>
      <c r="R44" s="11">
        <v>0.11</v>
      </c>
      <c r="S44" s="11">
        <v>0.11</v>
      </c>
      <c r="T44" s="11">
        <v>0.11</v>
      </c>
    </row>
    <row r="45" spans="1:20" ht="15">
      <c r="A45" s="41" t="str">
        <f>+'Sch 9'!A46</f>
        <v>Ameren Corp.</v>
      </c>
      <c r="B45" s="11">
        <v>0.127</v>
      </c>
      <c r="C45" s="11">
        <v>0.129</v>
      </c>
      <c r="D45" s="11">
        <v>0.137</v>
      </c>
      <c r="E45" s="11">
        <v>0.131</v>
      </c>
      <c r="F45" s="11">
        <v>0.125</v>
      </c>
      <c r="G45" s="11">
        <v>0.108</v>
      </c>
      <c r="H45" s="11">
        <v>0.127</v>
      </c>
      <c r="I45" s="11">
        <v>0.125</v>
      </c>
      <c r="J45" s="11">
        <v>0.145</v>
      </c>
      <c r="K45" s="11">
        <v>0.143</v>
      </c>
      <c r="L45" s="11">
        <v>0.108</v>
      </c>
      <c r="M45" s="11">
        <v>0.122</v>
      </c>
      <c r="N45" s="11">
        <v>0.1</v>
      </c>
      <c r="O45" s="11">
        <v>0.103</v>
      </c>
      <c r="P45" s="11">
        <f t="shared" si="4"/>
        <v>0.12969999999999998</v>
      </c>
      <c r="Q45" s="11">
        <f t="shared" si="5"/>
        <v>0.1152</v>
      </c>
      <c r="R45" s="11">
        <v>0.095</v>
      </c>
      <c r="S45" s="11">
        <v>0.1</v>
      </c>
      <c r="T45" s="11">
        <v>0.095</v>
      </c>
    </row>
    <row r="46" spans="1:20" ht="15">
      <c r="A46" s="41" t="str">
        <f>+'Sch 9'!A47</f>
        <v>CenterPoint Energy</v>
      </c>
      <c r="B46" s="11">
        <v>0.118</v>
      </c>
      <c r="C46" s="11">
        <v>0.127</v>
      </c>
      <c r="D46" s="11">
        <v>0.127</v>
      </c>
      <c r="E46" s="11">
        <v>0.106</v>
      </c>
      <c r="F46" s="11">
        <v>0.116</v>
      </c>
      <c r="G46" s="11">
        <v>0.102</v>
      </c>
      <c r="H46" s="11">
        <v>0.11</v>
      </c>
      <c r="I46" s="11">
        <v>0.103</v>
      </c>
      <c r="J46" s="11">
        <v>0.154</v>
      </c>
      <c r="K46" s="11">
        <v>0.075</v>
      </c>
      <c r="L46" s="11">
        <v>0.096</v>
      </c>
      <c r="M46" s="11">
        <v>0.261</v>
      </c>
      <c r="N46" s="11">
        <v>0.131</v>
      </c>
      <c r="O46" s="11">
        <v>0.172</v>
      </c>
      <c r="P46" s="11">
        <f t="shared" si="4"/>
        <v>0.11379999999999998</v>
      </c>
      <c r="Q46" s="11">
        <f t="shared" si="5"/>
        <v>0.14699999999999996</v>
      </c>
      <c r="R46" s="11">
        <v>0.215</v>
      </c>
      <c r="S46" s="11">
        <v>0.21</v>
      </c>
      <c r="T46" s="11">
        <v>0.2</v>
      </c>
    </row>
    <row r="47" spans="1:20" ht="15">
      <c r="A47" s="41" t="str">
        <f>+'Sch 9'!A48</f>
        <v>CH Energy Group</v>
      </c>
      <c r="B47" s="11">
        <v>0.11</v>
      </c>
      <c r="C47" s="11">
        <v>0.111</v>
      </c>
      <c r="D47" s="11">
        <v>0.107</v>
      </c>
      <c r="E47" s="11">
        <v>0.107</v>
      </c>
      <c r="F47" s="11">
        <v>0.113</v>
      </c>
      <c r="G47" s="11">
        <v>0.109</v>
      </c>
      <c r="H47" s="11">
        <v>0.104</v>
      </c>
      <c r="I47" s="11">
        <v>0.102</v>
      </c>
      <c r="J47" s="11">
        <v>0.105</v>
      </c>
      <c r="K47" s="11">
        <v>0.104</v>
      </c>
      <c r="L47" s="11">
        <v>0.07</v>
      </c>
      <c r="M47" s="11">
        <v>0.091</v>
      </c>
      <c r="N47" s="11">
        <v>0.087</v>
      </c>
      <c r="O47" s="11">
        <v>0.089</v>
      </c>
      <c r="P47" s="11">
        <f t="shared" si="4"/>
        <v>0.1072</v>
      </c>
      <c r="Q47" s="11">
        <f t="shared" si="5"/>
        <v>0.08819999999999999</v>
      </c>
      <c r="R47" s="11">
        <v>0.08</v>
      </c>
      <c r="S47" s="11">
        <v>0.085</v>
      </c>
      <c r="T47" s="11">
        <v>0.09</v>
      </c>
    </row>
    <row r="48" spans="1:20" ht="15">
      <c r="A48" s="41" t="str">
        <f>+'Sch 9'!A49</f>
        <v>Consolidated Edison</v>
      </c>
      <c r="B48" s="11">
        <v>0.12</v>
      </c>
      <c r="C48" s="11">
        <v>0.125</v>
      </c>
      <c r="D48" s="11">
        <v>0.135</v>
      </c>
      <c r="E48" s="11">
        <v>0.127</v>
      </c>
      <c r="F48" s="11">
        <v>0.122</v>
      </c>
      <c r="G48" s="11">
        <v>0.119</v>
      </c>
      <c r="H48" s="11">
        <v>0.119</v>
      </c>
      <c r="I48" s="11">
        <v>0.122</v>
      </c>
      <c r="J48" s="11">
        <v>0.107</v>
      </c>
      <c r="K48" s="11">
        <v>0.122</v>
      </c>
      <c r="L48" s="11">
        <v>0.115</v>
      </c>
      <c r="M48" s="11">
        <v>0.1</v>
      </c>
      <c r="N48" s="11">
        <v>0.08</v>
      </c>
      <c r="O48" s="11">
        <v>0.102</v>
      </c>
      <c r="P48" s="11">
        <f t="shared" si="4"/>
        <v>0.12179999999999999</v>
      </c>
      <c r="Q48" s="11">
        <f t="shared" si="5"/>
        <v>0.1038</v>
      </c>
      <c r="R48" s="11">
        <v>0.095</v>
      </c>
      <c r="S48" s="11">
        <v>0.095</v>
      </c>
      <c r="T48" s="11">
        <v>0.095</v>
      </c>
    </row>
    <row r="49" spans="1:20" ht="15">
      <c r="A49" s="41" t="str">
        <f>+'Sch 9'!A50</f>
        <v>Constellation Energy</v>
      </c>
      <c r="B49" s="11">
        <v>0.094</v>
      </c>
      <c r="C49" s="11">
        <v>0.104</v>
      </c>
      <c r="D49" s="11">
        <v>0.106</v>
      </c>
      <c r="E49" s="11">
        <v>0.108</v>
      </c>
      <c r="F49" s="11">
        <v>0.096</v>
      </c>
      <c r="G49" s="11">
        <v>0.102</v>
      </c>
      <c r="H49" s="11">
        <v>0.105</v>
      </c>
      <c r="I49" s="11">
        <v>0.109</v>
      </c>
      <c r="J49" s="11">
        <v>0.112</v>
      </c>
      <c r="K49" s="11">
        <v>0.099</v>
      </c>
      <c r="L49" s="11">
        <v>0.098</v>
      </c>
      <c r="M49" s="11">
        <v>0.114</v>
      </c>
      <c r="N49" s="11">
        <v>0.124</v>
      </c>
      <c r="O49" s="11">
        <v>0.124</v>
      </c>
      <c r="P49" s="11">
        <f t="shared" si="4"/>
        <v>0.1035</v>
      </c>
      <c r="Q49" s="11">
        <f t="shared" si="5"/>
        <v>0.11179999999999998</v>
      </c>
      <c r="R49" s="11">
        <v>0.135</v>
      </c>
      <c r="S49" s="11">
        <v>0.16</v>
      </c>
      <c r="T49" s="11">
        <v>0.175</v>
      </c>
    </row>
    <row r="50" spans="1:20" ht="15">
      <c r="A50" s="41" t="str">
        <f>+'Sch 9'!A51</f>
        <v>Duquesne Light Holdings</v>
      </c>
      <c r="B50" s="11">
        <v>0.124</v>
      </c>
      <c r="C50" s="11">
        <v>0.12</v>
      </c>
      <c r="D50" s="11">
        <v>0.125</v>
      </c>
      <c r="E50" s="11">
        <v>0.132</v>
      </c>
      <c r="F50" s="11">
        <v>0.132</v>
      </c>
      <c r="G50" s="11">
        <v>0.129</v>
      </c>
      <c r="H50" s="11">
        <v>0.131</v>
      </c>
      <c r="I50" s="11">
        <v>0.14</v>
      </c>
      <c r="J50" s="11">
        <v>0.08</v>
      </c>
      <c r="K50" s="11">
        <v>0.027</v>
      </c>
      <c r="L50" s="11">
        <v>0.162</v>
      </c>
      <c r="M50" s="11">
        <v>0.15</v>
      </c>
      <c r="N50" s="11">
        <v>0.156</v>
      </c>
      <c r="O50" s="11">
        <v>0.141</v>
      </c>
      <c r="P50" s="11">
        <f t="shared" si="4"/>
        <v>0.11399999999999999</v>
      </c>
      <c r="Q50" s="11">
        <f t="shared" si="5"/>
        <v>0.1272</v>
      </c>
      <c r="R50" s="11">
        <v>0.1</v>
      </c>
      <c r="S50" s="11">
        <v>0.13</v>
      </c>
      <c r="T50" s="11">
        <v>0.14</v>
      </c>
    </row>
    <row r="51" spans="1:20" ht="15">
      <c r="A51" s="41" t="str">
        <f>+'Sch 9'!A52</f>
        <v>Energy East Corp.</v>
      </c>
      <c r="B51" s="11">
        <v>0.107</v>
      </c>
      <c r="C51" s="11">
        <v>0.091</v>
      </c>
      <c r="D51" s="11">
        <v>0.103</v>
      </c>
      <c r="E51" s="11">
        <v>0.105</v>
      </c>
      <c r="F51" s="11">
        <v>0.101</v>
      </c>
      <c r="G51" s="11">
        <v>0.099</v>
      </c>
      <c r="H51" s="11">
        <v>0.112</v>
      </c>
      <c r="I51" s="11">
        <v>0.144</v>
      </c>
      <c r="J51" s="11">
        <v>0.151</v>
      </c>
      <c r="K51" s="11">
        <v>0.134</v>
      </c>
      <c r="L51" s="11">
        <v>0.093</v>
      </c>
      <c r="M51" s="11">
        <v>0.083</v>
      </c>
      <c r="N51" s="11">
        <v>0.091</v>
      </c>
      <c r="O51" s="11">
        <v>0.093</v>
      </c>
      <c r="P51" s="11">
        <f t="shared" si="4"/>
        <v>0.11469999999999998</v>
      </c>
      <c r="Q51" s="11">
        <f t="shared" si="5"/>
        <v>0.0988</v>
      </c>
      <c r="R51" s="11">
        <v>0.085</v>
      </c>
      <c r="S51" s="11">
        <v>0.085</v>
      </c>
      <c r="T51" s="11">
        <v>0.095</v>
      </c>
    </row>
    <row r="52" spans="1:20" ht="15">
      <c r="A52" s="41" t="str">
        <f>+'Sch 9'!A53</f>
        <v>Exelon</v>
      </c>
      <c r="B52" s="11"/>
      <c r="C52" s="11"/>
      <c r="D52" s="11"/>
      <c r="E52" s="11"/>
      <c r="F52" s="11"/>
      <c r="G52" s="11"/>
      <c r="H52" s="11"/>
      <c r="I52" s="11"/>
      <c r="J52" s="11">
        <v>0.123</v>
      </c>
      <c r="K52" s="11">
        <v>0.182</v>
      </c>
      <c r="L52" s="11">
        <v>0.194</v>
      </c>
      <c r="M52" s="11">
        <v>0.197</v>
      </c>
      <c r="N52" s="11">
        <v>0.203</v>
      </c>
      <c r="O52" s="11">
        <v>0.229</v>
      </c>
      <c r="P52" s="11"/>
      <c r="Q52" s="11">
        <f t="shared" si="5"/>
        <v>0.201</v>
      </c>
      <c r="R52" s="11">
        <v>0.215</v>
      </c>
      <c r="S52" s="11">
        <v>0.215</v>
      </c>
      <c r="T52" s="11">
        <v>0.2</v>
      </c>
    </row>
    <row r="53" spans="1:20" ht="15">
      <c r="A53" s="41" t="str">
        <f>+'Sch 9'!A54</f>
        <v>FirstEnergy Corp.</v>
      </c>
      <c r="B53" s="11">
        <v>0.109</v>
      </c>
      <c r="C53" s="11">
        <v>0.119</v>
      </c>
      <c r="D53" s="11">
        <v>0.132</v>
      </c>
      <c r="E53" s="11">
        <v>0.132</v>
      </c>
      <c r="F53" s="11">
        <v>0.13</v>
      </c>
      <c r="G53" s="11">
        <v>0.113</v>
      </c>
      <c r="H53" s="11">
        <v>0.106</v>
      </c>
      <c r="I53" s="11">
        <v>0.13</v>
      </c>
      <c r="J53" s="11">
        <v>0.133</v>
      </c>
      <c r="K53" s="11">
        <v>0.125</v>
      </c>
      <c r="L53" s="11">
        <v>0.104</v>
      </c>
      <c r="M53" s="11">
        <v>0.06</v>
      </c>
      <c r="N53" s="11">
        <v>0.108</v>
      </c>
      <c r="O53" s="11">
        <v>0.105</v>
      </c>
      <c r="P53" s="11">
        <f t="shared" si="4"/>
        <v>0.12290000000000001</v>
      </c>
      <c r="Q53" s="11">
        <f t="shared" si="5"/>
        <v>0.1004</v>
      </c>
      <c r="R53" s="11">
        <v>0.13</v>
      </c>
      <c r="S53" s="11">
        <v>0.13</v>
      </c>
      <c r="T53" s="11">
        <v>0.115</v>
      </c>
    </row>
    <row r="54" spans="1:20" ht="15">
      <c r="A54" s="41" t="str">
        <f>+'Sch 9'!A55</f>
        <v>Northeast Utilities</v>
      </c>
      <c r="B54" s="11">
        <v>0.126</v>
      </c>
      <c r="C54" s="11">
        <v>0.094</v>
      </c>
      <c r="D54" s="11">
        <v>0.126</v>
      </c>
      <c r="E54" s="11">
        <v>0.119</v>
      </c>
      <c r="F54" s="11">
        <v>0.001</v>
      </c>
      <c r="G54" s="11">
        <v>-0.062</v>
      </c>
      <c r="H54" s="11">
        <v>-0.023</v>
      </c>
      <c r="I54" s="11">
        <v>-0.073</v>
      </c>
      <c r="J54" s="11">
        <v>-0.013</v>
      </c>
      <c r="K54" s="11">
        <v>0.086</v>
      </c>
      <c r="L54" s="11">
        <v>0.064</v>
      </c>
      <c r="M54" s="11">
        <v>0.071</v>
      </c>
      <c r="N54" s="11">
        <v>0.051</v>
      </c>
      <c r="O54" s="11">
        <v>0.068</v>
      </c>
      <c r="P54" s="11">
        <f t="shared" si="4"/>
        <v>0.03809999999999999</v>
      </c>
      <c r="Q54" s="11">
        <f t="shared" si="5"/>
        <v>0.06799999999999999</v>
      </c>
      <c r="R54" s="11">
        <v>0.075</v>
      </c>
      <c r="S54" s="11">
        <v>0.08</v>
      </c>
      <c r="T54" s="11">
        <v>0.1</v>
      </c>
    </row>
    <row r="55" spans="1:20" ht="15">
      <c r="A55" s="41" t="str">
        <f>+'Sch 9'!A56</f>
        <v>NSTAR</v>
      </c>
      <c r="B55" s="11">
        <v>0.114</v>
      </c>
      <c r="C55" s="11">
        <v>0.119</v>
      </c>
      <c r="D55" s="11">
        <v>0.122</v>
      </c>
      <c r="E55" s="11">
        <v>0.102</v>
      </c>
      <c r="F55" s="11">
        <v>0.126</v>
      </c>
      <c r="G55" s="11">
        <v>0.126</v>
      </c>
      <c r="H55" s="11">
        <v>0.125</v>
      </c>
      <c r="I55" s="11">
        <v>0.114</v>
      </c>
      <c r="J55" s="11">
        <v>0.123</v>
      </c>
      <c r="K55" s="11">
        <v>0.134</v>
      </c>
      <c r="L55" s="11">
        <v>0.14</v>
      </c>
      <c r="M55" s="11">
        <v>0.139</v>
      </c>
      <c r="N55" s="11">
        <v>0.134</v>
      </c>
      <c r="O55" s="11">
        <v>0.131</v>
      </c>
      <c r="P55" s="11">
        <f t="shared" si="4"/>
        <v>0.12050000000000001</v>
      </c>
      <c r="Q55" s="11">
        <f t="shared" si="5"/>
        <v>0.1356</v>
      </c>
      <c r="R55" s="11">
        <v>0.125</v>
      </c>
      <c r="S55" s="11">
        <v>0.13</v>
      </c>
      <c r="T55" s="11">
        <v>0.135</v>
      </c>
    </row>
    <row r="56" spans="1:20" ht="15">
      <c r="A56" s="41" t="str">
        <f>+'Sch 9'!A57</f>
        <v>PEPCO Holdings</v>
      </c>
      <c r="B56" s="11">
        <v>0.106</v>
      </c>
      <c r="C56" s="11">
        <v>0.12</v>
      </c>
      <c r="D56" s="11">
        <v>0.108</v>
      </c>
      <c r="E56" s="11">
        <v>0.105</v>
      </c>
      <c r="F56" s="11">
        <v>0.117</v>
      </c>
      <c r="G56" s="11">
        <v>0.105</v>
      </c>
      <c r="H56" s="11">
        <v>0.113</v>
      </c>
      <c r="I56" s="11">
        <v>0.117</v>
      </c>
      <c r="J56" s="11">
        <v>0.089</v>
      </c>
      <c r="K56" s="11">
        <v>0.119</v>
      </c>
      <c r="L56" s="11">
        <v>0.098</v>
      </c>
      <c r="M56" s="11">
        <v>0.076</v>
      </c>
      <c r="N56" s="11">
        <v>0.083</v>
      </c>
      <c r="O56" s="11">
        <v>0.081</v>
      </c>
      <c r="P56" s="11">
        <f t="shared" si="4"/>
        <v>0.10989999999999997</v>
      </c>
      <c r="Q56" s="11">
        <f t="shared" si="5"/>
        <v>0.09140000000000001</v>
      </c>
      <c r="R56" s="11">
        <v>0.085</v>
      </c>
      <c r="S56" s="11">
        <v>0.085</v>
      </c>
      <c r="T56" s="11">
        <v>0.1</v>
      </c>
    </row>
    <row r="57" spans="1:20" ht="15">
      <c r="A57" s="41" t="str">
        <f>+'Sch 9'!A58</f>
        <v>PPL Corp</v>
      </c>
      <c r="B57" s="11">
        <v>0.131</v>
      </c>
      <c r="C57" s="11">
        <v>0.132</v>
      </c>
      <c r="D57" s="11">
        <v>0.106</v>
      </c>
      <c r="E57" s="11">
        <v>0.121</v>
      </c>
      <c r="F57" s="11">
        <v>0.124</v>
      </c>
      <c r="G57" s="11">
        <v>0.117</v>
      </c>
      <c r="H57" s="11">
        <v>0.158</v>
      </c>
      <c r="I57" s="11">
        <v>0.179</v>
      </c>
      <c r="J57" s="11">
        <v>0.261</v>
      </c>
      <c r="K57" s="11">
        <v>0.27</v>
      </c>
      <c r="L57" s="11">
        <v>0.236</v>
      </c>
      <c r="M57" s="11">
        <v>0.231</v>
      </c>
      <c r="N57" s="11">
        <v>0.183</v>
      </c>
      <c r="O57" s="11">
        <v>0.168</v>
      </c>
      <c r="P57" s="11">
        <f t="shared" si="4"/>
        <v>0.15990000000000001</v>
      </c>
      <c r="Q57" s="11">
        <f t="shared" si="5"/>
        <v>0.21759999999999996</v>
      </c>
      <c r="R57" s="11">
        <v>0.18</v>
      </c>
      <c r="S57" s="11">
        <v>0.17</v>
      </c>
      <c r="T57" s="11">
        <v>0.185</v>
      </c>
    </row>
    <row r="58" spans="1:20" ht="15">
      <c r="A58" s="41" t="str">
        <f>+'Sch 9'!A59</f>
        <v>Public Service Enter. Group</v>
      </c>
      <c r="B58" s="11">
        <v>0.095</v>
      </c>
      <c r="C58" s="11">
        <v>0.131</v>
      </c>
      <c r="D58" s="11">
        <v>0.13</v>
      </c>
      <c r="E58" s="11">
        <v>0.123</v>
      </c>
      <c r="F58" s="11">
        <v>0.11</v>
      </c>
      <c r="G58" s="11">
        <v>0.108</v>
      </c>
      <c r="H58" s="11">
        <v>0.126</v>
      </c>
      <c r="I58" s="11">
        <v>0.154</v>
      </c>
      <c r="J58" s="11">
        <v>0.188</v>
      </c>
      <c r="K58" s="11">
        <v>0.188</v>
      </c>
      <c r="L58" s="11">
        <v>0.199</v>
      </c>
      <c r="M58" s="11">
        <v>0.182</v>
      </c>
      <c r="N58" s="11">
        <v>0.128</v>
      </c>
      <c r="O58" s="11">
        <v>0.149</v>
      </c>
      <c r="P58" s="11">
        <f t="shared" si="4"/>
        <v>0.1353</v>
      </c>
      <c r="Q58" s="11">
        <f t="shared" si="5"/>
        <v>0.1692</v>
      </c>
      <c r="R58" s="11">
        <v>0.14</v>
      </c>
      <c r="S58" s="11">
        <v>0.145</v>
      </c>
      <c r="T58" s="11">
        <v>0.13</v>
      </c>
    </row>
    <row r="59" spans="1:20" ht="15">
      <c r="A59" s="41" t="str">
        <f>+'Sch 9'!A60</f>
        <v>SCANA Corp.</v>
      </c>
      <c r="B59" s="11">
        <v>0.11</v>
      </c>
      <c r="C59" s="11">
        <v>0.135</v>
      </c>
      <c r="D59" s="11">
        <v>0.11</v>
      </c>
      <c r="E59" s="11">
        <v>0.115</v>
      </c>
      <c r="F59" s="11">
        <v>0.133</v>
      </c>
      <c r="G59" s="11">
        <v>0.117</v>
      </c>
      <c r="H59" s="11">
        <v>0.126</v>
      </c>
      <c r="I59" s="11">
        <v>0.078</v>
      </c>
      <c r="J59" s="11">
        <v>0.107</v>
      </c>
      <c r="K59" s="11">
        <v>0.107</v>
      </c>
      <c r="L59" s="11">
        <v>0.117</v>
      </c>
      <c r="M59" s="11">
        <v>0.124</v>
      </c>
      <c r="N59" s="11">
        <v>0.126</v>
      </c>
      <c r="O59" s="11">
        <v>0.124</v>
      </c>
      <c r="P59" s="11">
        <f t="shared" si="4"/>
        <v>0.11379999999999998</v>
      </c>
      <c r="Q59" s="11">
        <f t="shared" si="5"/>
        <v>0.1196</v>
      </c>
      <c r="R59" s="11">
        <v>0.115</v>
      </c>
      <c r="S59" s="11">
        <v>0.115</v>
      </c>
      <c r="T59" s="11">
        <v>0.115</v>
      </c>
    </row>
    <row r="60" spans="1:20" ht="15">
      <c r="A60" s="41" t="str">
        <f>+'Sch 9'!A61</f>
        <v>Sempra Energy</v>
      </c>
      <c r="B60" s="11">
        <v>0.143</v>
      </c>
      <c r="C60" s="11">
        <v>0.141</v>
      </c>
      <c r="D60" s="11">
        <v>0.136</v>
      </c>
      <c r="E60" s="11">
        <v>0.151</v>
      </c>
      <c r="F60" s="11">
        <v>0.149</v>
      </c>
      <c r="G60" s="11">
        <v>0.161</v>
      </c>
      <c r="H60" s="11">
        <v>0.095</v>
      </c>
      <c r="I60" s="11">
        <v>0.133</v>
      </c>
      <c r="J60" s="11">
        <v>0.165</v>
      </c>
      <c r="K60" s="11">
        <v>0.2</v>
      </c>
      <c r="L60" s="11">
        <v>0.207</v>
      </c>
      <c r="M60" s="11">
        <v>0.194</v>
      </c>
      <c r="N60" s="11">
        <v>0.207</v>
      </c>
      <c r="O60" s="11">
        <v>0.157</v>
      </c>
      <c r="P60" s="11">
        <f t="shared" si="4"/>
        <v>0.1474</v>
      </c>
      <c r="Q60" s="11">
        <f t="shared" si="5"/>
        <v>0.193</v>
      </c>
      <c r="R60" s="11">
        <v>0.135</v>
      </c>
      <c r="S60" s="11">
        <v>0.13</v>
      </c>
      <c r="T60" s="11">
        <v>0.125</v>
      </c>
    </row>
    <row r="61" spans="1:20" ht="15">
      <c r="A61" s="41" t="str">
        <f>+'Sch 9'!A62</f>
        <v>TXU Corp.</v>
      </c>
      <c r="B61" s="11">
        <v>0.096</v>
      </c>
      <c r="C61" s="11">
        <v>0.107</v>
      </c>
      <c r="D61" s="11">
        <v>0.083</v>
      </c>
      <c r="E61" s="11">
        <v>0.109</v>
      </c>
      <c r="F61" s="11">
        <v>0.129</v>
      </c>
      <c r="G61" s="11">
        <v>0.104</v>
      </c>
      <c r="H61" s="11">
        <v>0.105</v>
      </c>
      <c r="I61" s="11">
        <v>0.108</v>
      </c>
      <c r="J61" s="11">
        <v>0.107</v>
      </c>
      <c r="K61" s="11">
        <v>0.104</v>
      </c>
      <c r="L61" s="11">
        <v>0.097</v>
      </c>
      <c r="M61" s="11">
        <v>0.12</v>
      </c>
      <c r="N61" s="11">
        <v>0.019</v>
      </c>
      <c r="O61" s="11" t="s">
        <v>243</v>
      </c>
      <c r="P61" s="11">
        <f t="shared" si="4"/>
        <v>0.1052</v>
      </c>
      <c r="Q61" s="11">
        <f t="shared" si="5"/>
        <v>0.085</v>
      </c>
      <c r="R61" s="11"/>
      <c r="S61" s="11">
        <v>0.39</v>
      </c>
      <c r="T61" s="11">
        <v>0.31</v>
      </c>
    </row>
    <row r="62" spans="1:20" ht="15">
      <c r="A62" s="41" t="str">
        <f>+'Sch 9'!A63</f>
        <v>Vectren Corp.</v>
      </c>
      <c r="B62" s="11">
        <v>0.139</v>
      </c>
      <c r="C62" s="11">
        <v>0.139</v>
      </c>
      <c r="D62" s="11">
        <v>0.138</v>
      </c>
      <c r="E62" s="11">
        <v>0.136</v>
      </c>
      <c r="F62" s="11">
        <v>0.134</v>
      </c>
      <c r="G62" s="11">
        <v>0.136</v>
      </c>
      <c r="H62" s="11">
        <v>0.132</v>
      </c>
      <c r="I62" s="11">
        <v>0.109</v>
      </c>
      <c r="J62" s="11">
        <v>0.1</v>
      </c>
      <c r="K62" s="11">
        <v>0.088</v>
      </c>
      <c r="L62" s="11">
        <v>0.133</v>
      </c>
      <c r="M62" s="11">
        <v>0.116</v>
      </c>
      <c r="N62" s="11">
        <v>0.099</v>
      </c>
      <c r="O62" s="11">
        <v>0.123</v>
      </c>
      <c r="P62" s="11">
        <f t="shared" si="4"/>
        <v>0.12510000000000004</v>
      </c>
      <c r="Q62" s="11">
        <f t="shared" si="5"/>
        <v>0.11180000000000001</v>
      </c>
      <c r="R62" s="11">
        <v>0.12</v>
      </c>
      <c r="S62" s="11">
        <v>0.12</v>
      </c>
      <c r="T62" s="11">
        <v>0.11</v>
      </c>
    </row>
    <row r="63" spans="1:20" ht="15">
      <c r="A63" s="41" t="str">
        <f>+'Sch 9'!A64</f>
        <v>Wisconsin Energy</v>
      </c>
      <c r="B63" s="11">
        <v>0.114</v>
      </c>
      <c r="C63" s="11">
        <v>0.118</v>
      </c>
      <c r="D63" s="11">
        <v>0.105</v>
      </c>
      <c r="E63" s="11">
        <v>0.129</v>
      </c>
      <c r="F63" s="11">
        <v>0.115</v>
      </c>
      <c r="G63" s="11">
        <v>0.032</v>
      </c>
      <c r="H63" s="11">
        <v>0.1</v>
      </c>
      <c r="I63" s="11">
        <v>0.113</v>
      </c>
      <c r="J63" s="11">
        <v>0.064</v>
      </c>
      <c r="K63" s="11">
        <v>0.106</v>
      </c>
      <c r="L63" s="11">
        <v>0.128</v>
      </c>
      <c r="M63" s="11">
        <v>0.118</v>
      </c>
      <c r="N63" s="11">
        <v>0.09</v>
      </c>
      <c r="O63" s="11">
        <v>0.116</v>
      </c>
      <c r="P63" s="11">
        <f t="shared" si="4"/>
        <v>0.0996</v>
      </c>
      <c r="Q63" s="11">
        <f t="shared" si="5"/>
        <v>0.11159999999999999</v>
      </c>
      <c r="R63" s="11">
        <v>0.105</v>
      </c>
      <c r="S63" s="11">
        <v>0.105</v>
      </c>
      <c r="T63" s="11">
        <v>0.11</v>
      </c>
    </row>
    <row r="64" spans="1:23" ht="15">
      <c r="A64" s="52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44"/>
      <c r="V64" s="44"/>
      <c r="W64" s="44"/>
    </row>
    <row r="65" spans="2:23" ht="1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4"/>
      <c r="V65" s="44"/>
      <c r="W65" s="44"/>
    </row>
    <row r="66" spans="1:23" ht="15.75">
      <c r="A66" s="27" t="s">
        <v>108</v>
      </c>
      <c r="B66" s="50">
        <f aca="true" t="shared" si="6" ref="B66:T66">AVERAGE(B44:B63)</f>
        <v>0.11547368421052631</v>
      </c>
      <c r="C66" s="50">
        <f t="shared" si="6"/>
        <v>0.12005263157894737</v>
      </c>
      <c r="D66" s="50">
        <f t="shared" si="6"/>
        <v>0.11873684210526317</v>
      </c>
      <c r="E66" s="50">
        <f t="shared" si="6"/>
        <v>0.12010526315789476</v>
      </c>
      <c r="F66" s="50">
        <f t="shared" si="6"/>
        <v>0.1160526315789474</v>
      </c>
      <c r="G66" s="50">
        <f t="shared" si="6"/>
        <v>0.10315789473684213</v>
      </c>
      <c r="H66" s="50">
        <f t="shared" si="6"/>
        <v>0.10968421052631577</v>
      </c>
      <c r="I66" s="50">
        <f t="shared" si="6"/>
        <v>0.11115789473684214</v>
      </c>
      <c r="J66" s="50">
        <f t="shared" si="6"/>
        <v>0.11710000000000001</v>
      </c>
      <c r="K66" s="50">
        <f t="shared" si="6"/>
        <v>0.12710000000000002</v>
      </c>
      <c r="L66" s="50">
        <f t="shared" si="6"/>
        <v>0.12910000000000002</v>
      </c>
      <c r="M66" s="50">
        <f t="shared" si="6"/>
        <v>0.13365000000000002</v>
      </c>
      <c r="N66" s="50">
        <f t="shared" si="6"/>
        <v>0.11635</v>
      </c>
      <c r="O66" s="50">
        <f t="shared" si="6"/>
        <v>0.12589473684210525</v>
      </c>
      <c r="P66" s="72">
        <f t="shared" si="6"/>
        <v>0.11554210526315789</v>
      </c>
      <c r="Q66" s="72">
        <f t="shared" si="6"/>
        <v>0.12601</v>
      </c>
      <c r="R66" s="72">
        <f t="shared" si="6"/>
        <v>0.12315789473684209</v>
      </c>
      <c r="S66" s="72">
        <f t="shared" si="6"/>
        <v>0.1395</v>
      </c>
      <c r="T66" s="72">
        <f t="shared" si="6"/>
        <v>0.13675</v>
      </c>
      <c r="U66" s="44"/>
      <c r="V66" s="44"/>
      <c r="W66" s="44"/>
    </row>
    <row r="67" spans="1:23" ht="15">
      <c r="A67" s="52"/>
      <c r="B67" s="54"/>
      <c r="C67" s="54"/>
      <c r="D67" s="54"/>
      <c r="E67" s="54"/>
      <c r="F67" s="54"/>
      <c r="G67" s="54"/>
      <c r="H67" s="54"/>
      <c r="I67" s="54"/>
      <c r="J67" s="54"/>
      <c r="K67" s="85"/>
      <c r="L67" s="85"/>
      <c r="M67" s="85"/>
      <c r="N67" s="85"/>
      <c r="O67" s="85"/>
      <c r="P67" s="54"/>
      <c r="Q67" s="54"/>
      <c r="R67" s="54"/>
      <c r="S67" s="54"/>
      <c r="T67" s="54"/>
      <c r="U67" s="44"/>
      <c r="V67" s="44"/>
      <c r="W67" s="44"/>
    </row>
    <row r="68" spans="2:23" ht="15">
      <c r="B68" s="50"/>
      <c r="C68" s="50"/>
      <c r="D68" s="50"/>
      <c r="E68" s="50"/>
      <c r="F68" s="50"/>
      <c r="G68" s="50"/>
      <c r="H68" s="50"/>
      <c r="I68" s="50"/>
      <c r="J68" s="50"/>
      <c r="K68" s="80"/>
      <c r="L68" s="80"/>
      <c r="M68" s="80"/>
      <c r="N68" s="80"/>
      <c r="O68" s="80"/>
      <c r="P68" s="50"/>
      <c r="Q68" s="50"/>
      <c r="R68" s="50"/>
      <c r="S68" s="50"/>
      <c r="T68" s="50"/>
      <c r="U68" s="44"/>
      <c r="V68" s="44"/>
      <c r="W68" s="44"/>
    </row>
    <row r="69" spans="1:23" ht="15.75">
      <c r="A69" s="27" t="s">
        <v>148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39">
        <f>AVERAGE(B66:K66)</f>
        <v>0.1158621052631579</v>
      </c>
      <c r="Q69" s="39">
        <f>AVERAGE(K66:O66)</f>
        <v>0.12641894736842105</v>
      </c>
      <c r="R69" s="50"/>
      <c r="S69" s="50"/>
      <c r="T69" s="50"/>
      <c r="U69" s="44"/>
      <c r="V69" s="44"/>
      <c r="W69" s="44"/>
    </row>
    <row r="70" spans="1:23" ht="15.75" thickBot="1">
      <c r="A70" s="5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44"/>
      <c r="V70" s="44"/>
      <c r="W70" s="44"/>
    </row>
    <row r="71" spans="2:23" ht="15.75" thickTop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44"/>
      <c r="V71" s="44"/>
      <c r="W71" s="44"/>
    </row>
    <row r="72" spans="1:23" ht="15.75">
      <c r="A72" s="40" t="s">
        <v>214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44"/>
      <c r="V72" s="44"/>
      <c r="W72" s="44"/>
    </row>
    <row r="73" spans="2:23" ht="1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44"/>
      <c r="V73" s="44"/>
      <c r="W73" s="44"/>
    </row>
    <row r="74" spans="1:23" ht="15">
      <c r="A74" s="27" t="str">
        <f>+'Sch 9'!A75</f>
        <v>AGL Resources</v>
      </c>
      <c r="B74" s="50">
        <v>0.118</v>
      </c>
      <c r="C74" s="50">
        <v>0.11</v>
      </c>
      <c r="D74" s="50">
        <v>0.116</v>
      </c>
      <c r="E74" s="50">
        <v>0.131</v>
      </c>
      <c r="F74" s="50">
        <f>+F18</f>
        <v>0.132</v>
      </c>
      <c r="G74" s="50">
        <f aca="true" t="shared" si="7" ref="G74:O74">+G18</f>
        <v>0.127</v>
      </c>
      <c r="H74" s="50">
        <f t="shared" si="7"/>
        <v>0.126</v>
      </c>
      <c r="I74" s="50">
        <f t="shared" si="7"/>
        <v>0.079</v>
      </c>
      <c r="J74" s="50">
        <f t="shared" si="7"/>
        <v>0.112</v>
      </c>
      <c r="K74" s="50">
        <f t="shared" si="7"/>
        <v>0.127</v>
      </c>
      <c r="L74" s="50">
        <f t="shared" si="7"/>
        <v>0.147</v>
      </c>
      <c r="M74" s="50">
        <f t="shared" si="7"/>
        <v>0.153</v>
      </c>
      <c r="N74" s="50">
        <f t="shared" si="7"/>
        <v>0.139</v>
      </c>
      <c r="O74" s="50">
        <f t="shared" si="7"/>
        <v>0.133</v>
      </c>
      <c r="P74" s="11">
        <f aca="true" t="shared" si="8" ref="P74:P85">AVERAGE(B74:K74)</f>
        <v>0.11779999999999999</v>
      </c>
      <c r="Q74" s="11">
        <f aca="true" t="shared" si="9" ref="Q74:Q85">AVERAGE(K74:O74)</f>
        <v>0.1398</v>
      </c>
      <c r="R74" s="50">
        <f aca="true" t="shared" si="10" ref="R74:T75">+R18</f>
        <v>0.13</v>
      </c>
      <c r="S74" s="50">
        <f t="shared" si="10"/>
        <v>0.125</v>
      </c>
      <c r="T74" s="50">
        <f t="shared" si="10"/>
        <v>0.12</v>
      </c>
      <c r="U74" s="44"/>
      <c r="V74" s="44"/>
      <c r="W74" s="44"/>
    </row>
    <row r="75" spans="1:23" ht="15">
      <c r="A75" s="27" t="str">
        <f>+'Sch 9'!A76</f>
        <v>Atmos Energy</v>
      </c>
      <c r="B75" s="50">
        <v>0.107</v>
      </c>
      <c r="C75" s="50">
        <v>0.127</v>
      </c>
      <c r="D75" s="50">
        <v>0.1</v>
      </c>
      <c r="E75" s="50">
        <v>0.122</v>
      </c>
      <c r="F75" s="50">
        <f>+F19</f>
        <v>0.144</v>
      </c>
      <c r="G75" s="50">
        <f aca="true" t="shared" si="11" ref="G75:O75">+G19</f>
        <v>0.123</v>
      </c>
      <c r="H75" s="50">
        <f t="shared" si="11"/>
        <v>0.158</v>
      </c>
      <c r="I75" s="50">
        <f t="shared" si="11"/>
        <v>0.067</v>
      </c>
      <c r="J75" s="50">
        <f t="shared" si="11"/>
        <v>0.085</v>
      </c>
      <c r="K75" s="50">
        <f t="shared" si="11"/>
        <v>0.111</v>
      </c>
      <c r="L75" s="50">
        <f t="shared" si="11"/>
        <v>0.103</v>
      </c>
      <c r="M75" s="50">
        <f t="shared" si="11"/>
        <v>0.112</v>
      </c>
      <c r="N75" s="50">
        <f t="shared" si="11"/>
        <v>0.091</v>
      </c>
      <c r="O75" s="50">
        <f t="shared" si="11"/>
        <v>0.091</v>
      </c>
      <c r="P75" s="11">
        <f t="shared" si="8"/>
        <v>0.11439999999999999</v>
      </c>
      <c r="Q75" s="11">
        <f t="shared" si="9"/>
        <v>0.1016</v>
      </c>
      <c r="R75" s="50">
        <f t="shared" si="10"/>
        <v>0.085</v>
      </c>
      <c r="S75" s="50">
        <f t="shared" si="10"/>
        <v>0.09</v>
      </c>
      <c r="T75" s="50">
        <f t="shared" si="10"/>
        <v>0.105</v>
      </c>
      <c r="U75" s="44"/>
      <c r="V75" s="44"/>
      <c r="W75" s="44"/>
    </row>
    <row r="76" spans="1:23" ht="15">
      <c r="A76" s="27" t="str">
        <f>+'Sch 9'!A77</f>
        <v>KeySpan Corp.</v>
      </c>
      <c r="B76" s="50">
        <v>0.126</v>
      </c>
      <c r="C76" s="50">
        <v>0.134</v>
      </c>
      <c r="D76" s="50">
        <v>0.139</v>
      </c>
      <c r="E76" s="50">
        <v>0.113</v>
      </c>
      <c r="F76" s="50">
        <f>+F22</f>
        <v>0.112</v>
      </c>
      <c r="G76" s="50">
        <f aca="true" t="shared" si="12" ref="G76:O76">+G22</f>
        <v>0.114</v>
      </c>
      <c r="H76" s="50">
        <f t="shared" si="12"/>
        <v>-0.063</v>
      </c>
      <c r="I76" s="50">
        <f t="shared" si="12"/>
        <v>0.074</v>
      </c>
      <c r="J76" s="50">
        <f t="shared" si="12"/>
        <v>0.103</v>
      </c>
      <c r="K76" s="50">
        <f t="shared" si="12"/>
        <v>0.083</v>
      </c>
      <c r="L76" s="50">
        <f t="shared" si="12"/>
        <v>0.133</v>
      </c>
      <c r="M76" s="50">
        <f t="shared" si="12"/>
        <v>0.12</v>
      </c>
      <c r="N76" s="50">
        <f t="shared" si="12"/>
        <v>0.103</v>
      </c>
      <c r="O76" s="50">
        <f t="shared" si="12"/>
        <v>0.093</v>
      </c>
      <c r="P76" s="11">
        <f t="shared" si="8"/>
        <v>0.0935</v>
      </c>
      <c r="Q76" s="11">
        <f t="shared" si="9"/>
        <v>0.10640000000000001</v>
      </c>
      <c r="R76" s="50">
        <f aca="true" t="shared" si="13" ref="R76:T78">+R22</f>
        <v>0.08</v>
      </c>
      <c r="S76" s="50">
        <f t="shared" si="13"/>
        <v>0.095</v>
      </c>
      <c r="T76" s="50">
        <f t="shared" si="13"/>
        <v>0.095</v>
      </c>
      <c r="U76" s="44"/>
      <c r="V76" s="44"/>
      <c r="W76" s="44"/>
    </row>
    <row r="77" spans="1:23" ht="15">
      <c r="A77" s="27" t="str">
        <f>+'Sch 9'!A78</f>
        <v>Laclede Group</v>
      </c>
      <c r="B77" s="50">
        <v>0.093</v>
      </c>
      <c r="C77" s="50">
        <v>0.115</v>
      </c>
      <c r="D77" s="50">
        <v>0.116</v>
      </c>
      <c r="E77" s="50">
        <v>0.114</v>
      </c>
      <c r="F77" s="50">
        <f>+F23</f>
        <v>0.14</v>
      </c>
      <c r="G77" s="50">
        <f aca="true" t="shared" si="14" ref="G77:O77">+G23</f>
        <v>0.132</v>
      </c>
      <c r="H77" s="50">
        <f t="shared" si="14"/>
        <v>0.11</v>
      </c>
      <c r="I77" s="50">
        <f t="shared" si="14"/>
        <v>0.1</v>
      </c>
      <c r="J77" s="50">
        <f t="shared" si="14"/>
        <v>0.091</v>
      </c>
      <c r="K77" s="50">
        <f t="shared" si="14"/>
        <v>0.106</v>
      </c>
      <c r="L77" s="50">
        <f t="shared" si="14"/>
        <v>0.078</v>
      </c>
      <c r="M77" s="50">
        <f t="shared" si="14"/>
        <v>0.118</v>
      </c>
      <c r="N77" s="50">
        <f t="shared" si="14"/>
        <v>0.112</v>
      </c>
      <c r="O77" s="50">
        <f t="shared" si="14"/>
        <v>0.111</v>
      </c>
      <c r="P77" s="11">
        <f t="shared" si="8"/>
        <v>0.11170000000000002</v>
      </c>
      <c r="Q77" s="11">
        <f t="shared" si="9"/>
        <v>0.10500000000000001</v>
      </c>
      <c r="R77" s="50">
        <f t="shared" si="13"/>
        <v>0.12</v>
      </c>
      <c r="S77" s="50">
        <f t="shared" si="13"/>
        <v>0.11</v>
      </c>
      <c r="T77" s="50">
        <f t="shared" si="13"/>
        <v>0.12</v>
      </c>
      <c r="U77" s="44"/>
      <c r="V77" s="44"/>
      <c r="W77" s="44"/>
    </row>
    <row r="78" spans="1:23" ht="15">
      <c r="A78" s="27" t="str">
        <f>+'Sch 9'!A79</f>
        <v>New Jersey Resources</v>
      </c>
      <c r="B78" s="50">
        <v>0.099</v>
      </c>
      <c r="C78" s="50">
        <v>0.134</v>
      </c>
      <c r="D78" s="50">
        <v>0.115</v>
      </c>
      <c r="E78" s="50">
        <v>0.1</v>
      </c>
      <c r="F78" s="50">
        <f>+F24</f>
        <v>0.138</v>
      </c>
      <c r="G78" s="50">
        <f aca="true" t="shared" si="15" ref="G78:O78">+G24</f>
        <v>0.145</v>
      </c>
      <c r="H78" s="50">
        <f t="shared" si="15"/>
        <v>0.146</v>
      </c>
      <c r="I78" s="50">
        <f t="shared" si="15"/>
        <v>0.149</v>
      </c>
      <c r="J78" s="50">
        <f t="shared" si="15"/>
        <v>0.151</v>
      </c>
      <c r="K78" s="50">
        <f t="shared" si="15"/>
        <v>0.152</v>
      </c>
      <c r="L78" s="50">
        <f t="shared" si="15"/>
        <v>0.159</v>
      </c>
      <c r="M78" s="50">
        <f t="shared" si="15"/>
        <v>0.167</v>
      </c>
      <c r="N78" s="50">
        <f t="shared" si="15"/>
        <v>0.158</v>
      </c>
      <c r="O78" s="50">
        <f t="shared" si="15"/>
        <v>0.162</v>
      </c>
      <c r="P78" s="11">
        <f t="shared" si="8"/>
        <v>0.1329</v>
      </c>
      <c r="Q78" s="11">
        <f t="shared" si="9"/>
        <v>0.15960000000000002</v>
      </c>
      <c r="R78" s="50">
        <f t="shared" si="13"/>
        <v>0.16</v>
      </c>
      <c r="S78" s="50">
        <f t="shared" si="13"/>
        <v>0.155</v>
      </c>
      <c r="T78" s="50">
        <f t="shared" si="13"/>
        <v>0.145</v>
      </c>
      <c r="U78" s="44"/>
      <c r="V78" s="44"/>
      <c r="W78" s="44"/>
    </row>
    <row r="79" spans="1:23" ht="15">
      <c r="A79" s="27" t="str">
        <f>+'Sch 9'!A80</f>
        <v>Northwest Natural Gas</v>
      </c>
      <c r="B79" s="50">
        <v>0.121</v>
      </c>
      <c r="C79" s="50">
        <v>0.119</v>
      </c>
      <c r="D79" s="50">
        <v>0.13</v>
      </c>
      <c r="E79" s="50">
        <v>0.133</v>
      </c>
      <c r="F79" s="50">
        <f aca="true" t="shared" si="16" ref="F79:F85">+F26</f>
        <v>0.132</v>
      </c>
      <c r="G79" s="50">
        <f aca="true" t="shared" si="17" ref="G79:O79">+G26</f>
        <v>0.112</v>
      </c>
      <c r="H79" s="50">
        <f t="shared" si="17"/>
        <v>0.063</v>
      </c>
      <c r="I79" s="50">
        <f t="shared" si="17"/>
        <v>0.101</v>
      </c>
      <c r="J79" s="50">
        <f t="shared" si="17"/>
        <v>0.102</v>
      </c>
      <c r="K79" s="50">
        <f t="shared" si="17"/>
        <v>0.103</v>
      </c>
      <c r="L79" s="50">
        <f t="shared" si="17"/>
        <v>0.087</v>
      </c>
      <c r="M79" s="50">
        <f t="shared" si="17"/>
        <v>0.092</v>
      </c>
      <c r="N79" s="50">
        <f t="shared" si="17"/>
        <v>0.093</v>
      </c>
      <c r="O79" s="50">
        <f t="shared" si="17"/>
        <v>0.101</v>
      </c>
      <c r="P79" s="11">
        <f t="shared" si="8"/>
        <v>0.1116</v>
      </c>
      <c r="Q79" s="11">
        <f t="shared" si="9"/>
        <v>0.09519999999999999</v>
      </c>
      <c r="R79" s="50">
        <f aca="true" t="shared" si="18" ref="R79:T82">+R26</f>
        <v>0.1</v>
      </c>
      <c r="S79" s="50">
        <f t="shared" si="18"/>
        <v>0.105</v>
      </c>
      <c r="T79" s="50">
        <f t="shared" si="18"/>
        <v>0.105</v>
      </c>
      <c r="U79" s="44"/>
      <c r="V79" s="44"/>
      <c r="W79" s="44"/>
    </row>
    <row r="80" spans="1:23" ht="15">
      <c r="A80" s="27" t="str">
        <f>+'Sch 9'!A81</f>
        <v>Peoples Energy</v>
      </c>
      <c r="B80" s="50">
        <v>0.153</v>
      </c>
      <c r="C80" s="50">
        <v>0.153</v>
      </c>
      <c r="D80" s="50">
        <v>0.157</v>
      </c>
      <c r="E80" s="50">
        <v>0.146</v>
      </c>
      <c r="F80" s="50">
        <f t="shared" si="16"/>
        <v>0.156</v>
      </c>
      <c r="G80" s="50">
        <f aca="true" t="shared" si="19" ref="G80:O80">+G27</f>
        <v>0.141</v>
      </c>
      <c r="H80" s="50">
        <f t="shared" si="19"/>
        <v>0.109</v>
      </c>
      <c r="I80" s="50">
        <f t="shared" si="19"/>
        <v>0.112</v>
      </c>
      <c r="J80" s="50">
        <f t="shared" si="19"/>
        <v>0.124</v>
      </c>
      <c r="K80" s="50">
        <f t="shared" si="19"/>
        <v>0.141</v>
      </c>
      <c r="L80" s="50">
        <f t="shared" si="19"/>
        <v>0.123</v>
      </c>
      <c r="M80" s="50">
        <f t="shared" si="19"/>
        <v>0.125</v>
      </c>
      <c r="N80" s="50">
        <f t="shared" si="19"/>
        <v>0.094</v>
      </c>
      <c r="O80" s="50">
        <f t="shared" si="19"/>
        <v>0.103</v>
      </c>
      <c r="P80" s="11">
        <f t="shared" si="8"/>
        <v>0.13920000000000005</v>
      </c>
      <c r="Q80" s="11">
        <f t="shared" si="9"/>
        <v>0.1172</v>
      </c>
      <c r="R80" s="50">
        <f t="shared" si="18"/>
        <v>0.09</v>
      </c>
      <c r="S80" s="50">
        <f t="shared" si="18"/>
        <v>0.095</v>
      </c>
      <c r="T80" s="50">
        <f t="shared" si="18"/>
        <v>0.145</v>
      </c>
      <c r="U80" s="44"/>
      <c r="V80" s="44"/>
      <c r="W80" s="44"/>
    </row>
    <row r="81" spans="1:23" ht="15">
      <c r="A81" s="27" t="str">
        <f>+'Sch 9'!A82</f>
        <v>Piedmont Natural Gas</v>
      </c>
      <c r="B81" s="50">
        <v>0.06</v>
      </c>
      <c r="C81" s="50">
        <v>0.137</v>
      </c>
      <c r="D81" s="50">
        <v>0.122</v>
      </c>
      <c r="E81" s="50">
        <v>0.114</v>
      </c>
      <c r="F81" s="50">
        <f t="shared" si="16"/>
        <v>0.132</v>
      </c>
      <c r="G81" s="50">
        <f aca="true" t="shared" si="20" ref="G81:O81">+G28</f>
        <v>0.138</v>
      </c>
      <c r="H81" s="50">
        <f t="shared" si="20"/>
        <v>0.136</v>
      </c>
      <c r="I81" s="50">
        <f t="shared" si="20"/>
        <v>0.121</v>
      </c>
      <c r="J81" s="50">
        <f t="shared" si="20"/>
        <v>0.125</v>
      </c>
      <c r="K81" s="50">
        <f t="shared" si="20"/>
        <v>0.12</v>
      </c>
      <c r="L81" s="50">
        <f t="shared" si="20"/>
        <v>0.108</v>
      </c>
      <c r="M81" s="50">
        <f t="shared" si="20"/>
        <v>0.122</v>
      </c>
      <c r="N81" s="50">
        <f t="shared" si="20"/>
        <v>0.124</v>
      </c>
      <c r="O81" s="50">
        <f t="shared" si="20"/>
        <v>0.116</v>
      </c>
      <c r="P81" s="11">
        <f t="shared" si="8"/>
        <v>0.12050000000000001</v>
      </c>
      <c r="Q81" s="11">
        <f t="shared" si="9"/>
        <v>0.118</v>
      </c>
      <c r="R81" s="50">
        <f t="shared" si="18"/>
        <v>0.11</v>
      </c>
      <c r="S81" s="50">
        <f t="shared" si="18"/>
        <v>0.115</v>
      </c>
      <c r="T81" s="50">
        <f t="shared" si="18"/>
        <v>0.125</v>
      </c>
      <c r="U81" s="44"/>
      <c r="V81" s="44"/>
      <c r="W81" s="44"/>
    </row>
    <row r="82" spans="1:23" ht="15">
      <c r="A82" s="27" t="str">
        <f>+'Sch 9'!A83</f>
        <v>South Jersey Industries</v>
      </c>
      <c r="B82" s="50">
        <v>0.119</v>
      </c>
      <c r="C82" s="50">
        <v>0.118</v>
      </c>
      <c r="D82" s="50">
        <v>0.117</v>
      </c>
      <c r="E82" s="50">
        <v>0.097</v>
      </c>
      <c r="F82" s="50">
        <f t="shared" si="16"/>
        <v>0.111</v>
      </c>
      <c r="G82" s="50">
        <f aca="true" t="shared" si="21" ref="G82:O82">+G29</f>
        <v>0.119</v>
      </c>
      <c r="H82" s="50">
        <f t="shared" si="21"/>
        <v>0.101</v>
      </c>
      <c r="I82" s="50">
        <f t="shared" si="21"/>
        <v>0.156</v>
      </c>
      <c r="J82" s="50">
        <f t="shared" si="21"/>
        <v>0.154</v>
      </c>
      <c r="K82" s="50">
        <f t="shared" si="21"/>
        <v>0.153</v>
      </c>
      <c r="L82" s="50">
        <f t="shared" si="21"/>
        <v>0.14</v>
      </c>
      <c r="M82" s="50">
        <f t="shared" si="21"/>
        <v>0.131</v>
      </c>
      <c r="N82" s="50">
        <f t="shared" si="21"/>
        <v>0.134</v>
      </c>
      <c r="O82" s="50">
        <f t="shared" si="21"/>
        <v>0.132</v>
      </c>
      <c r="P82" s="11">
        <f t="shared" si="8"/>
        <v>0.12449999999999999</v>
      </c>
      <c r="Q82" s="11">
        <f t="shared" si="9"/>
        <v>0.138</v>
      </c>
      <c r="R82" s="50">
        <f t="shared" si="18"/>
        <v>0.13</v>
      </c>
      <c r="S82" s="50">
        <f t="shared" si="18"/>
        <v>0.13</v>
      </c>
      <c r="T82" s="50">
        <f t="shared" si="18"/>
        <v>0.13</v>
      </c>
      <c r="U82" s="44"/>
      <c r="V82" s="44"/>
      <c r="W82" s="44"/>
    </row>
    <row r="83" spans="1:23" ht="15">
      <c r="A83" s="27" t="str">
        <f>+'Sch 9'!A84</f>
        <v>Southwest Gas</v>
      </c>
      <c r="B83" s="50">
        <v>0.141</v>
      </c>
      <c r="C83" s="50">
        <v>0.138</v>
      </c>
      <c r="D83" s="50">
        <v>0.122</v>
      </c>
      <c r="E83" s="50">
        <v>0.123</v>
      </c>
      <c r="F83" s="50">
        <f t="shared" si="16"/>
        <v>0.017</v>
      </c>
      <c r="G83" s="50">
        <f aca="true" t="shared" si="22" ref="G83:O83">+G30</f>
        <v>0.054</v>
      </c>
      <c r="H83" s="50">
        <f t="shared" si="22"/>
        <v>0.104</v>
      </c>
      <c r="I83" s="50">
        <f t="shared" si="22"/>
        <v>0.075</v>
      </c>
      <c r="J83" s="50">
        <f t="shared" si="22"/>
        <v>0.073</v>
      </c>
      <c r="K83" s="50">
        <f t="shared" si="22"/>
        <v>0.067</v>
      </c>
      <c r="L83" s="50">
        <f t="shared" si="22"/>
        <v>0.066</v>
      </c>
      <c r="M83" s="50">
        <f t="shared" si="22"/>
        <v>0.062</v>
      </c>
      <c r="N83" s="50">
        <f t="shared" si="22"/>
        <v>0.088</v>
      </c>
      <c r="O83" s="50">
        <f t="shared" si="22"/>
        <v>0.066</v>
      </c>
      <c r="P83" s="11">
        <f t="shared" si="8"/>
        <v>0.0914</v>
      </c>
      <c r="Q83" s="11">
        <f t="shared" si="9"/>
        <v>0.0698</v>
      </c>
      <c r="R83" s="50">
        <f aca="true" t="shared" si="23" ref="R83:T85">+R30</f>
        <v>0.085</v>
      </c>
      <c r="S83" s="50">
        <f t="shared" si="23"/>
        <v>0.095</v>
      </c>
      <c r="T83" s="50">
        <f t="shared" si="23"/>
        <v>0.095</v>
      </c>
      <c r="U83" s="44"/>
      <c r="V83" s="44"/>
      <c r="W83" s="44"/>
    </row>
    <row r="84" spans="1:23" ht="15">
      <c r="A84" s="27" t="str">
        <f>+'Sch 9'!A85</f>
        <v>UGI Corp.</v>
      </c>
      <c r="B84" s="50">
        <v>0.118</v>
      </c>
      <c r="C84" s="50">
        <v>0.11</v>
      </c>
      <c r="D84" s="50">
        <v>0.085</v>
      </c>
      <c r="E84" s="50">
        <v>0.114</v>
      </c>
      <c r="F84" s="50">
        <f t="shared" si="16"/>
        <v>0.092</v>
      </c>
      <c r="G84" s="50">
        <f aca="true" t="shared" si="24" ref="G84:O84">+G31</f>
        <v>0.129</v>
      </c>
      <c r="H84" s="50">
        <f t="shared" si="24"/>
        <v>0.109</v>
      </c>
      <c r="I84" s="50">
        <f t="shared" si="24"/>
        <v>0.134</v>
      </c>
      <c r="J84" s="50">
        <f t="shared" si="24"/>
        <v>0.174</v>
      </c>
      <c r="K84" s="50">
        <f t="shared" si="24"/>
        <v>0.227</v>
      </c>
      <c r="L84" s="50">
        <f t="shared" si="24"/>
        <v>0.259</v>
      </c>
      <c r="M84" s="50">
        <f t="shared" si="24"/>
        <v>0.219</v>
      </c>
      <c r="N84" s="50">
        <f t="shared" si="24"/>
        <v>0.165</v>
      </c>
      <c r="O84" s="50">
        <f t="shared" si="24"/>
        <v>0.195</v>
      </c>
      <c r="P84" s="11">
        <f t="shared" si="8"/>
        <v>0.1292</v>
      </c>
      <c r="Q84" s="11">
        <f t="shared" si="9"/>
        <v>0.213</v>
      </c>
      <c r="R84" s="50">
        <f t="shared" si="23"/>
        <v>0.15</v>
      </c>
      <c r="S84" s="50">
        <f t="shared" si="23"/>
        <v>0.155</v>
      </c>
      <c r="T84" s="50">
        <f t="shared" si="23"/>
        <v>0.13</v>
      </c>
      <c r="U84" s="44"/>
      <c r="V84" s="44"/>
      <c r="W84" s="44"/>
    </row>
    <row r="85" spans="1:23" ht="15">
      <c r="A85" s="27" t="str">
        <f>+'Sch 9'!A86</f>
        <v>WGL Corp.</v>
      </c>
      <c r="B85" s="50">
        <v>0.051</v>
      </c>
      <c r="C85" s="50">
        <v>0.039</v>
      </c>
      <c r="D85" s="50">
        <v>0.075</v>
      </c>
      <c r="E85" s="50">
        <v>0.006</v>
      </c>
      <c r="F85" s="50">
        <f t="shared" si="16"/>
        <v>0.15</v>
      </c>
      <c r="G85" s="50">
        <f aca="true" t="shared" si="25" ref="G85:O85">+G32</f>
        <v>0.141</v>
      </c>
      <c r="H85" s="50">
        <f t="shared" si="25"/>
        <v>0.113</v>
      </c>
      <c r="I85" s="50">
        <f t="shared" si="25"/>
        <v>0.103</v>
      </c>
      <c r="J85" s="50">
        <f t="shared" si="25"/>
        <v>0.119</v>
      </c>
      <c r="K85" s="50">
        <f t="shared" si="25"/>
        <v>0.119</v>
      </c>
      <c r="L85" s="50">
        <f t="shared" si="25"/>
        <v>0.071</v>
      </c>
      <c r="M85" s="50">
        <f t="shared" si="25"/>
        <v>0.144</v>
      </c>
      <c r="N85" s="50">
        <f t="shared" si="25"/>
        <v>0.119</v>
      </c>
      <c r="O85" s="50">
        <f t="shared" si="25"/>
        <v>0.121</v>
      </c>
      <c r="P85" s="11">
        <f t="shared" si="8"/>
        <v>0.09159999999999999</v>
      </c>
      <c r="Q85" s="11">
        <f t="shared" si="9"/>
        <v>0.11479999999999999</v>
      </c>
      <c r="R85" s="50">
        <f t="shared" si="23"/>
        <v>0.1</v>
      </c>
      <c r="S85" s="50">
        <f t="shared" si="23"/>
        <v>0.1</v>
      </c>
      <c r="T85" s="50">
        <f t="shared" si="23"/>
        <v>0.11</v>
      </c>
      <c r="U85" s="44"/>
      <c r="V85" s="44"/>
      <c r="W85" s="44"/>
    </row>
    <row r="86" spans="1:23" ht="15">
      <c r="A86" s="52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44"/>
      <c r="V86" s="44"/>
      <c r="W86" s="44"/>
    </row>
    <row r="87" spans="1:23" ht="15">
      <c r="A87" s="44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44"/>
      <c r="V87" s="44"/>
      <c r="W87" s="44"/>
    </row>
    <row r="88" spans="1:23" ht="15.75">
      <c r="A88" s="44" t="s">
        <v>196</v>
      </c>
      <c r="B88" s="50">
        <f aca="true" t="shared" si="26" ref="B88:T88">AVERAGE(B74:B85)</f>
        <v>0.10883333333333332</v>
      </c>
      <c r="C88" s="50">
        <f t="shared" si="26"/>
        <v>0.11949999999999998</v>
      </c>
      <c r="D88" s="50">
        <f t="shared" si="26"/>
        <v>0.11616666666666665</v>
      </c>
      <c r="E88" s="50">
        <f t="shared" si="26"/>
        <v>0.10941666666666668</v>
      </c>
      <c r="F88" s="50">
        <f t="shared" si="26"/>
        <v>0.12133333333333333</v>
      </c>
      <c r="G88" s="50">
        <f t="shared" si="26"/>
        <v>0.12291666666666667</v>
      </c>
      <c r="H88" s="50">
        <f t="shared" si="26"/>
        <v>0.10099999999999999</v>
      </c>
      <c r="I88" s="50">
        <f t="shared" si="26"/>
        <v>0.10591666666666667</v>
      </c>
      <c r="J88" s="50">
        <f t="shared" si="26"/>
        <v>0.11774999999999998</v>
      </c>
      <c r="K88" s="50">
        <f t="shared" si="26"/>
        <v>0.12575</v>
      </c>
      <c r="L88" s="50">
        <f t="shared" si="26"/>
        <v>0.12283333333333334</v>
      </c>
      <c r="M88" s="50">
        <f t="shared" si="26"/>
        <v>0.13041666666666665</v>
      </c>
      <c r="N88" s="50">
        <f t="shared" si="26"/>
        <v>0.11833333333333335</v>
      </c>
      <c r="O88" s="50">
        <f t="shared" si="26"/>
        <v>0.11866666666666666</v>
      </c>
      <c r="P88" s="72">
        <f t="shared" si="26"/>
        <v>0.11485833333333334</v>
      </c>
      <c r="Q88" s="72">
        <f t="shared" si="26"/>
        <v>0.12320000000000002</v>
      </c>
      <c r="R88" s="72">
        <f t="shared" si="26"/>
        <v>0.11166666666666665</v>
      </c>
      <c r="S88" s="72">
        <f t="shared" si="26"/>
        <v>0.11416666666666668</v>
      </c>
      <c r="T88" s="72">
        <f t="shared" si="26"/>
        <v>0.11875000000000001</v>
      </c>
      <c r="U88" s="44"/>
      <c r="V88" s="44"/>
      <c r="W88" s="44"/>
    </row>
    <row r="89" spans="1:23" ht="15">
      <c r="A89" s="52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44"/>
      <c r="V89" s="44"/>
      <c r="W89" s="44"/>
    </row>
    <row r="90" spans="1:23" ht="15">
      <c r="A90" s="4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44"/>
      <c r="V90" s="44"/>
      <c r="W90" s="44"/>
    </row>
    <row r="91" spans="1:23" ht="15.75">
      <c r="A91" s="44" t="s">
        <v>148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39">
        <f>AVERAGE(B88:K88)</f>
        <v>0.11485833333333333</v>
      </c>
      <c r="Q91" s="39">
        <f>AVERAGE(K88:O88)</f>
        <v>0.1232</v>
      </c>
      <c r="R91" s="50"/>
      <c r="S91" s="50"/>
      <c r="T91" s="50"/>
      <c r="U91" s="44"/>
      <c r="V91" s="44"/>
      <c r="W91" s="44"/>
    </row>
    <row r="92" spans="1:23" ht="15.75" thickBot="1">
      <c r="A92" s="55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44"/>
      <c r="V92" s="44"/>
      <c r="W92" s="44"/>
    </row>
    <row r="93" spans="2:23" ht="15.75" thickTop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44"/>
      <c r="V93" s="44"/>
      <c r="W93" s="44"/>
    </row>
    <row r="94" spans="1:23" ht="15.75">
      <c r="A94" s="27" t="s">
        <v>173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62"/>
      <c r="Q94" s="62"/>
      <c r="R94" s="62"/>
      <c r="S94" s="62"/>
      <c r="T94" s="62"/>
      <c r="U94" s="44"/>
      <c r="V94" s="44"/>
      <c r="W94" s="44"/>
    </row>
    <row r="95" spans="2:23" ht="15.7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62"/>
      <c r="Q95" s="62"/>
      <c r="R95" s="62"/>
      <c r="S95" s="62"/>
      <c r="T95" s="62"/>
      <c r="U95" s="44"/>
      <c r="V95" s="44"/>
      <c r="W95" s="44"/>
    </row>
    <row r="96" spans="2:23" ht="15.7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62"/>
      <c r="Q96" s="62"/>
      <c r="R96" s="62"/>
      <c r="S96" s="62"/>
      <c r="T96" s="62"/>
      <c r="U96" s="44"/>
      <c r="V96" s="44"/>
      <c r="W96" s="44"/>
    </row>
    <row r="97" spans="1:23" ht="15.75">
      <c r="A97" s="44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62"/>
      <c r="Q97" s="62"/>
      <c r="R97" s="62"/>
      <c r="S97" s="62"/>
      <c r="T97" s="62"/>
      <c r="U97" s="44"/>
      <c r="V97" s="44"/>
      <c r="W97" s="44"/>
    </row>
    <row r="98" spans="1:23" ht="15">
      <c r="A98" s="44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44"/>
      <c r="V98" s="44"/>
      <c r="W98" s="44"/>
    </row>
    <row r="99" spans="1:23" ht="15">
      <c r="A99" s="43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44"/>
      <c r="V99" s="44"/>
      <c r="W99" s="44"/>
    </row>
    <row r="100" spans="1:23" ht="15">
      <c r="A100" s="44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44"/>
      <c r="V100" s="44"/>
      <c r="W100" s="44"/>
    </row>
    <row r="101" spans="1:23" ht="15">
      <c r="A101" s="44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44"/>
      <c r="V101" s="44"/>
      <c r="W101" s="44"/>
    </row>
    <row r="102" spans="1:23" ht="15">
      <c r="A102" s="44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44"/>
      <c r="V102" s="44"/>
      <c r="W102" s="44"/>
    </row>
    <row r="103" spans="1:23" ht="15">
      <c r="A103" s="44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44"/>
      <c r="V103" s="44"/>
      <c r="W103" s="44"/>
    </row>
    <row r="104" spans="1:23" ht="15">
      <c r="A104" s="44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44"/>
      <c r="V104" s="44"/>
      <c r="W104" s="44"/>
    </row>
    <row r="105" spans="1:23" ht="15">
      <c r="A105" s="44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44"/>
      <c r="V105" s="44"/>
      <c r="W105" s="44"/>
    </row>
    <row r="106" spans="1:23" ht="15">
      <c r="A106" s="44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44"/>
      <c r="V106" s="44"/>
      <c r="W106" s="44"/>
    </row>
    <row r="107" spans="1:23" ht="15">
      <c r="A107" s="44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44"/>
      <c r="V107" s="44"/>
      <c r="W107" s="44"/>
    </row>
    <row r="108" spans="1:23" ht="15">
      <c r="A108" s="44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44"/>
      <c r="V108" s="44"/>
      <c r="W108" s="44"/>
    </row>
    <row r="109" spans="1:23" ht="15">
      <c r="A109" s="44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44"/>
      <c r="V109" s="44"/>
      <c r="W109" s="44"/>
    </row>
    <row r="110" spans="1:23" ht="15">
      <c r="A110" s="44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44"/>
      <c r="V110" s="44"/>
      <c r="W110" s="44"/>
    </row>
    <row r="111" spans="1:23" ht="15">
      <c r="A111" s="44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44"/>
      <c r="V111" s="44"/>
      <c r="W111" s="44"/>
    </row>
    <row r="112" spans="1:23" ht="15">
      <c r="A112" s="44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44"/>
      <c r="V112" s="44"/>
      <c r="W112" s="44"/>
    </row>
    <row r="113" spans="1:23" ht="15">
      <c r="A113" s="44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44"/>
      <c r="V113" s="44"/>
      <c r="W113" s="44"/>
    </row>
    <row r="114" spans="1:23" ht="15">
      <c r="A114" s="44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44"/>
      <c r="V114" s="44"/>
      <c r="W114" s="44"/>
    </row>
    <row r="115" spans="1:23" ht="15">
      <c r="A115" s="44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44"/>
      <c r="V115" s="44"/>
      <c r="W115" s="44"/>
    </row>
    <row r="116" spans="1:23" ht="15">
      <c r="A116" s="43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44"/>
      <c r="V116" s="44"/>
      <c r="W116" s="44"/>
    </row>
    <row r="117" spans="1:23" ht="15.75">
      <c r="A117" s="44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72"/>
      <c r="Q117" s="72"/>
      <c r="R117" s="72"/>
      <c r="S117" s="72"/>
      <c r="T117" s="72"/>
      <c r="U117" s="44"/>
      <c r="V117" s="44"/>
      <c r="W117" s="44"/>
    </row>
    <row r="118" spans="1:23" ht="15">
      <c r="A118" s="44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44"/>
      <c r="V118" s="44"/>
      <c r="W118" s="44"/>
    </row>
    <row r="119" spans="1:23" ht="15">
      <c r="A119" s="43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44"/>
      <c r="V119" s="44"/>
      <c r="W119" s="44"/>
    </row>
    <row r="120" spans="1:23" ht="15.75">
      <c r="A120" s="44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62"/>
      <c r="Q120" s="62"/>
      <c r="R120" s="50"/>
      <c r="S120" s="50"/>
      <c r="T120" s="50"/>
      <c r="U120" s="44"/>
      <c r="V120" s="44"/>
      <c r="W120" s="44"/>
    </row>
    <row r="121" spans="1:23" ht="15">
      <c r="A121" s="44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44"/>
      <c r="V121" s="44"/>
      <c r="W121" s="44"/>
    </row>
    <row r="122" spans="1:23" ht="15">
      <c r="A122" s="43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44"/>
      <c r="V122" s="44"/>
      <c r="W122" s="44"/>
    </row>
    <row r="123" spans="1:23" ht="15.75">
      <c r="A123" s="44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72"/>
      <c r="Q123" s="72"/>
      <c r="R123" s="50"/>
      <c r="S123" s="50"/>
      <c r="T123" s="50"/>
      <c r="U123" s="44"/>
      <c r="V123" s="44"/>
      <c r="W123" s="44"/>
    </row>
    <row r="124" spans="1:21" ht="15">
      <c r="A124" s="44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44"/>
    </row>
    <row r="125" spans="1:20" ht="15">
      <c r="A125" s="43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2:20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2:20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2:20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2:20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2:20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2:20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2:20" ht="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ht="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ht="1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2:20" ht="1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ht="1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ht="1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2:20" ht="1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2:20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ht="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ht="1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ht="1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2:20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2:20" ht="1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2:20" ht="1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2:20" ht="1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2:20" ht="1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2:20" ht="1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2:20" ht="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2:20" ht="1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2:20" ht="1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</sheetData>
  <mergeCells count="2">
    <mergeCell ref="B13:C13"/>
    <mergeCell ref="A5:S5"/>
  </mergeCells>
  <printOptions horizontalCentered="1"/>
  <pageMargins left="0.5" right="0.5" top="0.5" bottom="0.55" header="0" footer="0"/>
  <pageSetup fitToHeight="1" fitToWidth="1" horizontalDpi="600" verticalDpi="600" orientation="portrait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19"/>
  <sheetViews>
    <sheetView showOutlineSymbols="0" zoomScale="87" zoomScaleNormal="87" workbookViewId="0" topLeftCell="G1">
      <pane xSplit="21180" topLeftCell="Q7" activePane="topLeft" state="split"/>
      <selection pane="topLeft" activeCell="A1" sqref="A1"/>
      <selection pane="topRight" activeCell="Q1" sqref="Q1"/>
    </sheetView>
  </sheetViews>
  <sheetFormatPr defaultColWidth="8.88671875" defaultRowHeight="15"/>
  <cols>
    <col min="1" max="1" width="23.77734375" style="27" customWidth="1"/>
    <col min="2" max="16384" width="9.77734375" style="27" customWidth="1"/>
  </cols>
  <sheetData>
    <row r="1" ht="15.75">
      <c r="P1" s="2" t="str">
        <f>+'Sch 10, p 1'!R1</f>
        <v>Exhibit No. ___ (DCP-11)</v>
      </c>
    </row>
    <row r="2" ht="15.75">
      <c r="P2" s="2" t="str">
        <f>'Sch 10, p 1'!R2</f>
        <v>Schedule 10</v>
      </c>
    </row>
    <row r="3" ht="15.75">
      <c r="P3" s="2" t="s">
        <v>128</v>
      </c>
    </row>
    <row r="5" spans="1:17" ht="20.25">
      <c r="A5" s="3" t="str">
        <f>+'Sch 10, p 1'!A5:S5</f>
        <v>COMPARISON COMPANIES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0.25">
      <c r="A6" s="3" t="s">
        <v>131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10" spans="1:17" ht="15.75" thickTop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2:17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tr">
        <f>'Sch 10, p 1'!P11</f>
        <v>1992-2001</v>
      </c>
      <c r="Q11" s="10" t="str">
        <f>'Sch 10, p 1'!Q11</f>
        <v>2001-2005</v>
      </c>
    </row>
    <row r="12" spans="1:17" ht="15">
      <c r="A12" s="10" t="str">
        <f>'Sch 10, p 1'!A12</f>
        <v>COMPANY</v>
      </c>
      <c r="B12" s="10">
        <f>'Sch 10, p 1'!B12</f>
        <v>1992</v>
      </c>
      <c r="C12" s="10">
        <f>'Sch 10, p 1'!C12</f>
        <v>1993</v>
      </c>
      <c r="D12" s="10">
        <f>'Sch 10, p 1'!D12</f>
        <v>1994</v>
      </c>
      <c r="E12" s="10">
        <f>'Sch 10, p 1'!E12</f>
        <v>1995</v>
      </c>
      <c r="F12" s="10">
        <f>'Sch 10, p 1'!F12</f>
        <v>1996</v>
      </c>
      <c r="G12" s="10">
        <f>'Sch 10, p 1'!G12</f>
        <v>1997</v>
      </c>
      <c r="H12" s="10">
        <f>'Sch 10, p 1'!H12</f>
        <v>1998</v>
      </c>
      <c r="I12" s="10">
        <f>'Sch 10, p 1'!I12</f>
        <v>1999</v>
      </c>
      <c r="J12" s="10">
        <v>2000</v>
      </c>
      <c r="K12" s="10">
        <v>2001</v>
      </c>
      <c r="L12" s="10">
        <v>2002</v>
      </c>
      <c r="M12" s="10">
        <v>2003</v>
      </c>
      <c r="N12" s="10">
        <v>2004</v>
      </c>
      <c r="O12" s="10">
        <v>2005</v>
      </c>
      <c r="P12" s="10" t="str">
        <f>'Sch 10, p 1'!P12</f>
        <v>Average</v>
      </c>
      <c r="Q12" s="10" t="str">
        <f>'Sch 10, p 1'!Q12</f>
        <v>Average</v>
      </c>
    </row>
    <row r="13" spans="2:17" ht="15.75" thickBo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.75" thickTop="1">
      <c r="A14" s="2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7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.75">
      <c r="A16" s="40" t="str">
        <f>'Sch 10, p 1'!A16</f>
        <v>Value Line Natural Gas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ht="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5">
      <c r="A18" s="27" t="str">
        <f>+'Sch 10, p 1'!A18</f>
        <v>AGL Resources</v>
      </c>
      <c r="B18" s="25">
        <v>1.81</v>
      </c>
      <c r="C18" s="25">
        <v>1.95</v>
      </c>
      <c r="D18" s="25">
        <v>1.69</v>
      </c>
      <c r="E18" s="25">
        <v>1.72</v>
      </c>
      <c r="F18" s="25">
        <v>1.89</v>
      </c>
      <c r="G18" s="25">
        <v>1.83</v>
      </c>
      <c r="H18" s="25">
        <v>1.83</v>
      </c>
      <c r="I18" s="25">
        <v>1.69</v>
      </c>
      <c r="J18" s="25">
        <v>1.68</v>
      </c>
      <c r="K18" s="25">
        <v>1.84</v>
      </c>
      <c r="L18" s="25">
        <v>1.71</v>
      </c>
      <c r="M18" s="25">
        <v>1.88</v>
      </c>
      <c r="N18" s="25">
        <v>1.84</v>
      </c>
      <c r="O18" s="25">
        <v>1.91</v>
      </c>
      <c r="P18" s="25">
        <f>AVERAGE(B18:K18)</f>
        <v>1.793</v>
      </c>
      <c r="Q18" s="25">
        <f>AVERAGE(K18:O18)</f>
        <v>1.8359999999999999</v>
      </c>
    </row>
    <row r="19" spans="1:17" ht="15">
      <c r="A19" s="27" t="str">
        <f>+'Sch 10, p 1'!A19</f>
        <v>Atmos Energy</v>
      </c>
      <c r="B19" s="25">
        <v>1.58</v>
      </c>
      <c r="C19" s="25">
        <v>1.94</v>
      </c>
      <c r="D19" s="25">
        <v>1.86</v>
      </c>
      <c r="E19" s="25">
        <v>1.96</v>
      </c>
      <c r="F19" s="25">
        <v>2.48</v>
      </c>
      <c r="G19" s="25">
        <v>2.41</v>
      </c>
      <c r="H19" s="25">
        <v>2.46</v>
      </c>
      <c r="I19" s="25">
        <v>2.16</v>
      </c>
      <c r="J19" s="25">
        <v>1.67</v>
      </c>
      <c r="K19" s="25">
        <v>1.7</v>
      </c>
      <c r="L19" s="25">
        <v>1.5</v>
      </c>
      <c r="M19" s="25">
        <v>1.52</v>
      </c>
      <c r="N19" s="25">
        <v>1.47</v>
      </c>
      <c r="O19" s="25">
        <v>1.45</v>
      </c>
      <c r="P19" s="25">
        <f aca="true" t="shared" si="0" ref="P19:P32">AVERAGE(B19:K19)</f>
        <v>2.0220000000000002</v>
      </c>
      <c r="Q19" s="25">
        <f aca="true" t="shared" si="1" ref="Q19:Q32">AVERAGE(K19:O19)</f>
        <v>1.528</v>
      </c>
    </row>
    <row r="20" spans="1:17" ht="15">
      <c r="A20" s="27" t="str">
        <f>+'Sch 10, p 1'!A20</f>
        <v>Cascade Natural Gas</v>
      </c>
      <c r="B20" s="25">
        <v>1.72</v>
      </c>
      <c r="C20" s="25">
        <v>1.83</v>
      </c>
      <c r="D20" s="25">
        <v>1.56</v>
      </c>
      <c r="E20" s="25">
        <v>1.56</v>
      </c>
      <c r="F20" s="25">
        <v>1.56</v>
      </c>
      <c r="G20" s="25">
        <v>1.69</v>
      </c>
      <c r="H20" s="25">
        <v>1.65</v>
      </c>
      <c r="I20" s="25">
        <v>1.67</v>
      </c>
      <c r="J20" s="25">
        <v>1.62</v>
      </c>
      <c r="K20" s="25">
        <v>1.84</v>
      </c>
      <c r="L20" s="25">
        <v>1.86</v>
      </c>
      <c r="M20" s="25">
        <v>1.96</v>
      </c>
      <c r="N20" s="25">
        <v>2.04</v>
      </c>
      <c r="O20" s="25">
        <v>1.95</v>
      </c>
      <c r="P20" s="25">
        <f t="shared" si="0"/>
        <v>1.67</v>
      </c>
      <c r="Q20" s="25">
        <f t="shared" si="1"/>
        <v>1.9300000000000002</v>
      </c>
    </row>
    <row r="21" spans="1:17" ht="15">
      <c r="A21" s="27" t="str">
        <f>+'Sch 10, p 1'!A21</f>
        <v>Energen</v>
      </c>
      <c r="B21" s="25">
        <v>1.38</v>
      </c>
      <c r="C21" s="25">
        <v>1.71</v>
      </c>
      <c r="D21" s="25">
        <v>1.5</v>
      </c>
      <c r="E21" s="25">
        <v>1.45</v>
      </c>
      <c r="F21" s="25">
        <v>1.61</v>
      </c>
      <c r="G21" s="25">
        <v>1.86</v>
      </c>
      <c r="H21" s="25">
        <v>1.74</v>
      </c>
      <c r="I21" s="25">
        <v>1.47</v>
      </c>
      <c r="J21" s="25">
        <v>1.89</v>
      </c>
      <c r="K21" s="25">
        <v>2.15</v>
      </c>
      <c r="L21" s="25">
        <v>1.6</v>
      </c>
      <c r="M21" s="25">
        <v>1.94</v>
      </c>
      <c r="N21" s="25">
        <v>2.42</v>
      </c>
      <c r="O21" s="25">
        <v>3.19</v>
      </c>
      <c r="P21" s="25">
        <f t="shared" si="0"/>
        <v>1.6760000000000002</v>
      </c>
      <c r="Q21" s="25">
        <f t="shared" si="1"/>
        <v>2.26</v>
      </c>
    </row>
    <row r="22" spans="1:17" ht="15">
      <c r="A22" s="27" t="str">
        <f>+'Sch 10, p 1'!A22</f>
        <v>Keyspan </v>
      </c>
      <c r="B22" s="25">
        <v>1.46</v>
      </c>
      <c r="C22" s="25">
        <v>1.67</v>
      </c>
      <c r="D22" s="25">
        <v>1.57</v>
      </c>
      <c r="E22" s="25">
        <v>1.55</v>
      </c>
      <c r="F22" s="25">
        <v>1.64</v>
      </c>
      <c r="G22" s="25">
        <v>1.7</v>
      </c>
      <c r="H22" s="25">
        <v>1.49</v>
      </c>
      <c r="I22" s="25">
        <v>1.24</v>
      </c>
      <c r="J22" s="25">
        <v>1.56</v>
      </c>
      <c r="K22" s="25">
        <v>1.72</v>
      </c>
      <c r="L22" s="25">
        <v>1.58</v>
      </c>
      <c r="M22" s="25">
        <v>1.58</v>
      </c>
      <c r="N22" s="25">
        <v>1.6</v>
      </c>
      <c r="O22" s="25">
        <v>1.48</v>
      </c>
      <c r="P22" s="25">
        <f t="shared" si="0"/>
        <v>1.56</v>
      </c>
      <c r="Q22" s="25">
        <f t="shared" si="1"/>
        <v>1.592</v>
      </c>
    </row>
    <row r="23" spans="1:17" ht="15">
      <c r="A23" s="27" t="str">
        <f>+'Sch 10, p 1'!A23</f>
        <v>Laclede Group</v>
      </c>
      <c r="B23" s="25">
        <v>1.58</v>
      </c>
      <c r="C23" s="25">
        <v>1.87</v>
      </c>
      <c r="D23" s="25">
        <v>1.78</v>
      </c>
      <c r="E23" s="25">
        <v>1.63</v>
      </c>
      <c r="F23" s="25">
        <v>1.68</v>
      </c>
      <c r="G23" s="25">
        <v>1.75</v>
      </c>
      <c r="H23" s="25">
        <v>1.74</v>
      </c>
      <c r="I23" s="25">
        <v>1.59</v>
      </c>
      <c r="J23" s="25">
        <v>1.41</v>
      </c>
      <c r="K23" s="25">
        <v>1.55</v>
      </c>
      <c r="L23" s="25">
        <v>1.45</v>
      </c>
      <c r="M23" s="25">
        <v>1.69</v>
      </c>
      <c r="N23" s="25">
        <v>1.79</v>
      </c>
      <c r="O23" s="25">
        <v>1.79</v>
      </c>
      <c r="P23" s="25">
        <f t="shared" si="0"/>
        <v>1.6580000000000001</v>
      </c>
      <c r="Q23" s="25">
        <f t="shared" si="1"/>
        <v>1.654</v>
      </c>
    </row>
    <row r="24" spans="1:17" ht="15">
      <c r="A24" s="27" t="str">
        <f>+'Sch 10, p 1'!A24</f>
        <v>New Jersey Resources</v>
      </c>
      <c r="B24" s="25">
        <v>1.61</v>
      </c>
      <c r="C24" s="25">
        <v>1.85</v>
      </c>
      <c r="D24" s="25">
        <v>1.62</v>
      </c>
      <c r="E24" s="25">
        <v>1.79</v>
      </c>
      <c r="F24" s="25">
        <v>1.9</v>
      </c>
      <c r="G24" s="25">
        <v>2.29</v>
      </c>
      <c r="H24" s="25">
        <v>2.25</v>
      </c>
      <c r="I24" s="25">
        <v>2.24</v>
      </c>
      <c r="J24" s="25">
        <v>2.27</v>
      </c>
      <c r="K24" s="25">
        <v>2.24</v>
      </c>
      <c r="L24" s="25">
        <v>2.2</v>
      </c>
      <c r="M24" s="25">
        <v>2.44</v>
      </c>
      <c r="N24" s="25">
        <v>2.51</v>
      </c>
      <c r="O24" s="25">
        <v>2.75</v>
      </c>
      <c r="P24" s="25">
        <f t="shared" si="0"/>
        <v>2.0060000000000002</v>
      </c>
      <c r="Q24" s="25">
        <f t="shared" si="1"/>
        <v>2.428</v>
      </c>
    </row>
    <row r="25" spans="1:17" ht="15">
      <c r="A25" s="27" t="str">
        <f>+'Sch 10, p 1'!A25</f>
        <v>NICOR</v>
      </c>
      <c r="B25" s="25">
        <v>1.79</v>
      </c>
      <c r="C25" s="25">
        <v>2.16</v>
      </c>
      <c r="D25" s="25">
        <v>1.95</v>
      </c>
      <c r="E25" s="25">
        <v>1.87</v>
      </c>
      <c r="F25" s="25">
        <v>2.2</v>
      </c>
      <c r="G25" s="25">
        <v>2.42</v>
      </c>
      <c r="H25" s="25">
        <v>2.6</v>
      </c>
      <c r="I25" s="25">
        <v>2.26</v>
      </c>
      <c r="J25" s="25">
        <v>2.27</v>
      </c>
      <c r="K25" s="25">
        <v>2.39</v>
      </c>
      <c r="L25" s="25">
        <v>1.99</v>
      </c>
      <c r="M25" s="25">
        <v>1.85</v>
      </c>
      <c r="N25" s="25">
        <v>2.1</v>
      </c>
      <c r="O25" s="25">
        <v>2.22</v>
      </c>
      <c r="P25" s="25">
        <f t="shared" si="0"/>
        <v>2.191</v>
      </c>
      <c r="Q25" s="25">
        <f t="shared" si="1"/>
        <v>2.1100000000000003</v>
      </c>
    </row>
    <row r="26" spans="1:17" ht="15">
      <c r="A26" s="27" t="str">
        <f>+'Sch 10, p 1'!A26</f>
        <v>Northwest Natural Gas</v>
      </c>
      <c r="B26" s="25">
        <v>1.62</v>
      </c>
      <c r="C26" s="25">
        <v>1.76</v>
      </c>
      <c r="D26" s="25">
        <v>1.61</v>
      </c>
      <c r="E26" s="25">
        <v>1.46</v>
      </c>
      <c r="F26" s="25">
        <v>1.56</v>
      </c>
      <c r="G26" s="25">
        <v>1.73</v>
      </c>
      <c r="H26" s="25">
        <v>1.69</v>
      </c>
      <c r="I26" s="25">
        <v>1.41</v>
      </c>
      <c r="J26" s="25">
        <v>1.29</v>
      </c>
      <c r="K26" s="25">
        <v>1.33</v>
      </c>
      <c r="L26" s="25">
        <v>1.45</v>
      </c>
      <c r="M26" s="25">
        <v>1.44</v>
      </c>
      <c r="N26" s="25">
        <v>1.53</v>
      </c>
      <c r="O26" s="25">
        <v>1.72</v>
      </c>
      <c r="P26" s="25">
        <f t="shared" si="0"/>
        <v>1.5459999999999998</v>
      </c>
      <c r="Q26" s="25">
        <f t="shared" si="1"/>
        <v>1.4940000000000002</v>
      </c>
    </row>
    <row r="27" spans="1:17" ht="15">
      <c r="A27" s="27" t="str">
        <f>+'Sch 10, p 1'!A27</f>
        <v>Peoples Energy</v>
      </c>
      <c r="B27" s="25">
        <v>1.62</v>
      </c>
      <c r="C27" s="25">
        <v>1.75</v>
      </c>
      <c r="D27" s="25">
        <v>1.52</v>
      </c>
      <c r="E27" s="25">
        <v>1.53</v>
      </c>
      <c r="F27" s="25">
        <v>1.77</v>
      </c>
      <c r="G27" s="25">
        <v>1.78</v>
      </c>
      <c r="H27" s="25">
        <v>1.74</v>
      </c>
      <c r="I27" s="25">
        <v>1.69</v>
      </c>
      <c r="J27" s="25">
        <v>1.67</v>
      </c>
      <c r="K27" s="25">
        <v>1.76</v>
      </c>
      <c r="L27" s="25">
        <v>1.5</v>
      </c>
      <c r="M27" s="25">
        <v>1.75</v>
      </c>
      <c r="N27" s="25">
        <v>1.83</v>
      </c>
      <c r="O27" s="25">
        <v>1.81</v>
      </c>
      <c r="P27" s="25">
        <f t="shared" si="0"/>
        <v>1.6830000000000003</v>
      </c>
      <c r="Q27" s="25">
        <f t="shared" si="1"/>
        <v>1.73</v>
      </c>
    </row>
    <row r="28" spans="1:17" ht="15">
      <c r="A28" s="27" t="str">
        <f>+'Sch 10, p 1'!A28</f>
        <v>Piedmont Natural Gas</v>
      </c>
      <c r="B28" s="25">
        <v>1.8</v>
      </c>
      <c r="C28" s="25">
        <v>2.14</v>
      </c>
      <c r="D28" s="25">
        <v>1.86</v>
      </c>
      <c r="E28" s="25">
        <v>1.82</v>
      </c>
      <c r="F28" s="25">
        <v>1.83</v>
      </c>
      <c r="G28" s="25">
        <v>2.17</v>
      </c>
      <c r="H28" s="25">
        <v>2.22</v>
      </c>
      <c r="I28" s="25">
        <v>2.13</v>
      </c>
      <c r="J28" s="25">
        <v>1.95</v>
      </c>
      <c r="K28" s="25">
        <v>1.99</v>
      </c>
      <c r="L28" s="25">
        <v>1.86</v>
      </c>
      <c r="M28" s="25">
        <v>2.11</v>
      </c>
      <c r="N28" s="25">
        <v>2.12</v>
      </c>
      <c r="O28" s="25">
        <v>2.08</v>
      </c>
      <c r="P28" s="25">
        <f t="shared" si="0"/>
        <v>1.991</v>
      </c>
      <c r="Q28" s="25">
        <f t="shared" si="1"/>
        <v>2.032</v>
      </c>
    </row>
    <row r="29" spans="1:17" ht="15">
      <c r="A29" s="27" t="str">
        <f>+'Sch 10, p 1'!A29</f>
        <v>South Jersey Industries</v>
      </c>
      <c r="B29" s="25">
        <v>1.54</v>
      </c>
      <c r="C29" s="25">
        <v>1.75</v>
      </c>
      <c r="D29" s="25">
        <v>1.41</v>
      </c>
      <c r="E29" s="25">
        <v>1.42</v>
      </c>
      <c r="F29" s="25">
        <v>1.46</v>
      </c>
      <c r="G29" s="25">
        <v>1.78</v>
      </c>
      <c r="H29" s="25">
        <v>2.09</v>
      </c>
      <c r="I29" s="25">
        <v>2.02</v>
      </c>
      <c r="J29" s="25">
        <v>1.96</v>
      </c>
      <c r="K29" s="25">
        <v>2.05</v>
      </c>
      <c r="L29" s="25">
        <v>1.85</v>
      </c>
      <c r="M29" s="25">
        <v>1.7</v>
      </c>
      <c r="N29" s="25">
        <v>1.95</v>
      </c>
      <c r="O29" s="25">
        <v>2.21</v>
      </c>
      <c r="P29" s="25">
        <f t="shared" si="0"/>
        <v>1.748</v>
      </c>
      <c r="Q29" s="25">
        <f t="shared" si="1"/>
        <v>1.952</v>
      </c>
    </row>
    <row r="30" spans="1:17" ht="15">
      <c r="A30" s="27" t="str">
        <f>+'Sch 10, p 1'!A30</f>
        <v>Southwest Gas</v>
      </c>
      <c r="B30" s="25">
        <v>0.81</v>
      </c>
      <c r="C30" s="25">
        <v>1</v>
      </c>
      <c r="D30" s="25">
        <v>1.03</v>
      </c>
      <c r="E30" s="25">
        <v>1.03</v>
      </c>
      <c r="F30" s="25">
        <v>1.21</v>
      </c>
      <c r="G30" s="25">
        <v>1.29</v>
      </c>
      <c r="H30" s="25">
        <v>1.39</v>
      </c>
      <c r="I30" s="25">
        <v>1.47</v>
      </c>
      <c r="J30" s="25">
        <v>1.2</v>
      </c>
      <c r="K30" s="25">
        <v>1.27</v>
      </c>
      <c r="L30" s="25">
        <v>1.23</v>
      </c>
      <c r="M30" s="25">
        <v>1.18</v>
      </c>
      <c r="N30" s="25">
        <v>1.27</v>
      </c>
      <c r="O30" s="25">
        <v>1.37</v>
      </c>
      <c r="P30" s="25">
        <f t="shared" si="0"/>
        <v>1.17</v>
      </c>
      <c r="Q30" s="25">
        <f t="shared" si="1"/>
        <v>1.2639999999999998</v>
      </c>
    </row>
    <row r="31" spans="1:17" ht="15">
      <c r="A31" s="27" t="str">
        <f>+'Sch 10, p 1'!A31</f>
        <v>UGI </v>
      </c>
      <c r="B31" s="25">
        <v>1.87</v>
      </c>
      <c r="C31" s="25">
        <v>1.62</v>
      </c>
      <c r="D31" s="25">
        <v>1.61</v>
      </c>
      <c r="E31" s="25">
        <v>1.66</v>
      </c>
      <c r="F31" s="25">
        <v>1.96</v>
      </c>
      <c r="G31" s="25">
        <v>2.26</v>
      </c>
      <c r="H31" s="25">
        <v>2.22</v>
      </c>
      <c r="I31" s="25">
        <v>1.96</v>
      </c>
      <c r="J31" s="25">
        <v>2.44</v>
      </c>
      <c r="K31" s="25">
        <v>2.92</v>
      </c>
      <c r="L31" s="25">
        <v>3.18</v>
      </c>
      <c r="M31" s="25">
        <v>2.86</v>
      </c>
      <c r="N31" s="25">
        <v>2.4</v>
      </c>
      <c r="O31" s="25">
        <v>2.79</v>
      </c>
      <c r="P31" s="25">
        <f t="shared" si="0"/>
        <v>2.0520000000000005</v>
      </c>
      <c r="Q31" s="25">
        <f t="shared" si="1"/>
        <v>2.8299999999999996</v>
      </c>
    </row>
    <row r="32" spans="1:17" ht="15">
      <c r="A32" s="27" t="str">
        <f>+'Sch 10, p 1'!A32</f>
        <v>WGL Holdings</v>
      </c>
      <c r="B32" s="25">
        <v>1.73</v>
      </c>
      <c r="C32" s="25">
        <v>1.89</v>
      </c>
      <c r="D32" s="25">
        <v>1.65</v>
      </c>
      <c r="E32" s="25">
        <v>1.64</v>
      </c>
      <c r="F32" s="25">
        <v>1.78</v>
      </c>
      <c r="G32" s="25">
        <v>1.99</v>
      </c>
      <c r="H32" s="25">
        <v>1.97</v>
      </c>
      <c r="I32" s="25">
        <v>1.76</v>
      </c>
      <c r="J32" s="25">
        <v>1.77</v>
      </c>
      <c r="K32" s="25">
        <v>1.77</v>
      </c>
      <c r="L32" s="25">
        <v>1.52</v>
      </c>
      <c r="M32" s="25">
        <v>1.62</v>
      </c>
      <c r="N32" s="25">
        <v>1.75</v>
      </c>
      <c r="O32" s="25">
        <v>1.83</v>
      </c>
      <c r="P32" s="25">
        <f t="shared" si="0"/>
        <v>1.795</v>
      </c>
      <c r="Q32" s="25">
        <f t="shared" si="1"/>
        <v>1.698</v>
      </c>
    </row>
    <row r="33" spans="1:17" ht="15">
      <c r="A33" s="5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5.75">
      <c r="A35" s="27" t="str">
        <f>'Sch 10, p 1'!A35</f>
        <v>Average</v>
      </c>
      <c r="B35" s="25">
        <f aca="true" t="shared" si="2" ref="B35:Q35">AVERAGE(B18:B32)</f>
        <v>1.5946666666666667</v>
      </c>
      <c r="C35" s="25">
        <f t="shared" si="2"/>
        <v>1.7926666666666666</v>
      </c>
      <c r="D35" s="25">
        <f t="shared" si="2"/>
        <v>1.6146666666666663</v>
      </c>
      <c r="E35" s="25">
        <f t="shared" si="2"/>
        <v>1.6060000000000005</v>
      </c>
      <c r="F35" s="25">
        <f t="shared" si="2"/>
        <v>1.7686666666666668</v>
      </c>
      <c r="G35" s="25">
        <f t="shared" si="2"/>
        <v>1.93</v>
      </c>
      <c r="H35" s="25">
        <f t="shared" si="2"/>
        <v>1.9386666666666663</v>
      </c>
      <c r="I35" s="25">
        <f t="shared" si="2"/>
        <v>1.7839999999999998</v>
      </c>
      <c r="J35" s="25">
        <f t="shared" si="2"/>
        <v>1.7766666666666666</v>
      </c>
      <c r="K35" s="25">
        <f t="shared" si="2"/>
        <v>1.9013333333333333</v>
      </c>
      <c r="L35" s="25">
        <f t="shared" si="2"/>
        <v>1.7653333333333332</v>
      </c>
      <c r="M35" s="25">
        <f t="shared" si="2"/>
        <v>1.8346666666666664</v>
      </c>
      <c r="N35" s="25">
        <f t="shared" si="2"/>
        <v>1.9080000000000001</v>
      </c>
      <c r="O35" s="25">
        <f t="shared" si="2"/>
        <v>2.0366666666666666</v>
      </c>
      <c r="P35" s="81">
        <f t="shared" si="2"/>
        <v>1.7707333333333333</v>
      </c>
      <c r="Q35" s="81">
        <f t="shared" si="2"/>
        <v>1.8891999999999998</v>
      </c>
    </row>
    <row r="36" spans="1:17" ht="15">
      <c r="A36" s="5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5.75">
      <c r="A38" s="27" t="str">
        <f>'Sch 10, p 1'!A38</f>
        <v>Composite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81">
        <f>AVERAGE(B35:K35)</f>
        <v>1.7707333333333335</v>
      </c>
      <c r="Q38" s="81">
        <f>AVERAGE(K35:O35)</f>
        <v>1.8892</v>
      </c>
    </row>
    <row r="39" spans="1:17" ht="15.75" thickBot="1">
      <c r="A39" s="55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 ht="15.75" thickTop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2:17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5.75">
      <c r="A42" s="40" t="str">
        <f>'Sch 10, p 1'!A41</f>
        <v>Morin Electricity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5.75">
      <c r="A43" s="40" t="str">
        <f>'Sch 10, p 1'!A42</f>
        <v>Distribution Companies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5.75">
      <c r="A44" s="40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5">
      <c r="A45" s="41" t="str">
        <f>+'Sch 10, p 1'!A44</f>
        <v>American Electric Power</v>
      </c>
      <c r="B45" s="25">
        <v>1.43</v>
      </c>
      <c r="C45" s="25">
        <v>1.59</v>
      </c>
      <c r="D45" s="25">
        <v>1.43</v>
      </c>
      <c r="E45" s="25">
        <v>1.56</v>
      </c>
      <c r="F45" s="25">
        <v>1.76</v>
      </c>
      <c r="G45" s="25">
        <v>1.87</v>
      </c>
      <c r="H45" s="25">
        <v>1.91</v>
      </c>
      <c r="I45" s="25">
        <v>1.54</v>
      </c>
      <c r="J45" s="25">
        <v>1.47</v>
      </c>
      <c r="K45" s="25">
        <v>1.79</v>
      </c>
      <c r="L45" s="25">
        <v>1.38</v>
      </c>
      <c r="M45" s="25">
        <v>1.24</v>
      </c>
      <c r="N45" s="25">
        <v>1.55</v>
      </c>
      <c r="O45" s="25">
        <v>1.61</v>
      </c>
      <c r="P45" s="25">
        <f aca="true" t="shared" si="3" ref="P45:P64">AVERAGE(B45:K45)</f>
        <v>1.6350000000000002</v>
      </c>
      <c r="Q45" s="25">
        <f aca="true" t="shared" si="4" ref="Q45:Q64">AVERAGE(K45:O45)</f>
        <v>1.514</v>
      </c>
    </row>
    <row r="46" spans="1:17" ht="15">
      <c r="A46" s="41" t="str">
        <f>+'Sch 10, p 1'!A45</f>
        <v>Ameren Corp.</v>
      </c>
      <c r="B46" s="25">
        <v>1.69</v>
      </c>
      <c r="C46" s="25">
        <v>1.88</v>
      </c>
      <c r="D46" s="25">
        <v>1.6</v>
      </c>
      <c r="E46" s="25">
        <v>1.7</v>
      </c>
      <c r="F46" s="25">
        <v>1.75</v>
      </c>
      <c r="G46" s="25">
        <v>1.74</v>
      </c>
      <c r="H46" s="25">
        <v>1.8</v>
      </c>
      <c r="I46" s="25">
        <v>1.67</v>
      </c>
      <c r="J46" s="25">
        <v>1.63</v>
      </c>
      <c r="K46" s="25">
        <v>1.73</v>
      </c>
      <c r="L46" s="25">
        <v>1.63</v>
      </c>
      <c r="M46" s="25">
        <v>1.62</v>
      </c>
      <c r="N46" s="25">
        <v>1.61</v>
      </c>
      <c r="O46" s="25">
        <v>1.71</v>
      </c>
      <c r="P46" s="25">
        <f t="shared" si="3"/>
        <v>1.719</v>
      </c>
      <c r="Q46" s="25">
        <f t="shared" si="4"/>
        <v>1.6600000000000001</v>
      </c>
    </row>
    <row r="47" spans="1:17" ht="15">
      <c r="A47" s="41" t="str">
        <f>+'Sch 10, p 1'!A46</f>
        <v>CenterPoint Energy</v>
      </c>
      <c r="B47" s="25">
        <v>1.67</v>
      </c>
      <c r="C47" s="25">
        <v>1.83</v>
      </c>
      <c r="D47" s="25">
        <v>1.48</v>
      </c>
      <c r="E47" s="25">
        <v>1.4</v>
      </c>
      <c r="F47" s="25">
        <v>1.4</v>
      </c>
      <c r="G47" s="25">
        <v>1.29</v>
      </c>
      <c r="H47" s="25">
        <v>1.68</v>
      </c>
      <c r="I47" s="25">
        <v>1.63</v>
      </c>
      <c r="J47" s="25">
        <v>1.82</v>
      </c>
      <c r="K47" s="25">
        <v>1.79</v>
      </c>
      <c r="L47" s="25">
        <v>1.16</v>
      </c>
      <c r="M47" s="25">
        <v>1.42</v>
      </c>
      <c r="N47" s="25">
        <v>2.36</v>
      </c>
      <c r="O47" s="25">
        <v>3.29</v>
      </c>
      <c r="P47" s="25">
        <f t="shared" si="3"/>
        <v>1.5989999999999998</v>
      </c>
      <c r="Q47" s="25">
        <f t="shared" si="4"/>
        <v>2.004</v>
      </c>
    </row>
    <row r="48" spans="1:17" ht="15">
      <c r="A48" s="41" t="str">
        <f>+'Sch 10, p 1'!A47</f>
        <v>CH Energy Group</v>
      </c>
      <c r="B48" s="25">
        <v>1.23</v>
      </c>
      <c r="C48" s="25">
        <v>1.33</v>
      </c>
      <c r="D48" s="25">
        <v>1.07</v>
      </c>
      <c r="E48" s="25">
        <v>1.12</v>
      </c>
      <c r="F48" s="25">
        <v>1.14</v>
      </c>
      <c r="G48" s="25">
        <v>1.35</v>
      </c>
      <c r="H48" s="25">
        <v>1.55</v>
      </c>
      <c r="I48" s="25">
        <v>1.33</v>
      </c>
      <c r="J48" s="25">
        <v>1.25</v>
      </c>
      <c r="K48" s="25">
        <v>1.41</v>
      </c>
      <c r="L48" s="25">
        <v>1.52</v>
      </c>
      <c r="M48" s="25">
        <v>1.47</v>
      </c>
      <c r="N48" s="25">
        <v>1.49</v>
      </c>
      <c r="O48" s="25">
        <v>1.46</v>
      </c>
      <c r="P48" s="25">
        <f t="shared" si="3"/>
        <v>1.278</v>
      </c>
      <c r="Q48" s="25">
        <f t="shared" si="4"/>
        <v>1.47</v>
      </c>
    </row>
    <row r="49" spans="1:17" ht="15">
      <c r="A49" s="41" t="str">
        <f>+'Sch 10, p 1'!A48</f>
        <v>Consolidated Edison</v>
      </c>
      <c r="B49" s="25">
        <v>1.41</v>
      </c>
      <c r="C49" s="25">
        <v>1.6</v>
      </c>
      <c r="D49" s="25">
        <v>1.25</v>
      </c>
      <c r="E49" s="25">
        <v>1.25</v>
      </c>
      <c r="F49" s="25">
        <v>1.27</v>
      </c>
      <c r="G49" s="25">
        <v>1.38</v>
      </c>
      <c r="H49" s="25">
        <v>1.86</v>
      </c>
      <c r="I49" s="25">
        <v>1.7</v>
      </c>
      <c r="J49" s="25">
        <v>1.29</v>
      </c>
      <c r="K49" s="25">
        <v>1.42</v>
      </c>
      <c r="L49" s="25">
        <v>1.44</v>
      </c>
      <c r="M49" s="25">
        <v>1.46</v>
      </c>
      <c r="N49" s="25">
        <v>1.43</v>
      </c>
      <c r="O49" s="25">
        <v>1.54</v>
      </c>
      <c r="P49" s="25">
        <f t="shared" si="3"/>
        <v>1.4429999999999998</v>
      </c>
      <c r="Q49" s="25">
        <f t="shared" si="4"/>
        <v>1.458</v>
      </c>
    </row>
    <row r="50" spans="1:17" ht="15">
      <c r="A50" s="41" t="str">
        <f>+'Sch 10, p 1'!A49</f>
        <v>Constellation Energy</v>
      </c>
      <c r="B50" s="25">
        <v>1.28</v>
      </c>
      <c r="C50" s="25">
        <v>1.4</v>
      </c>
      <c r="D50" s="25">
        <v>1.27</v>
      </c>
      <c r="E50" s="25">
        <v>1.36</v>
      </c>
      <c r="F50" s="25">
        <v>1.42</v>
      </c>
      <c r="G50" s="25">
        <v>1.52</v>
      </c>
      <c r="H50" s="25">
        <v>1.64</v>
      </c>
      <c r="I50" s="25">
        <v>1.41</v>
      </c>
      <c r="J50" s="25">
        <v>1.93</v>
      </c>
      <c r="K50" s="25">
        <v>1.6</v>
      </c>
      <c r="L50" s="25">
        <v>1.1</v>
      </c>
      <c r="M50" s="25">
        <v>1.35</v>
      </c>
      <c r="N50" s="25">
        <v>1.57</v>
      </c>
      <c r="O50" s="25">
        <v>1.94</v>
      </c>
      <c r="P50" s="25">
        <f t="shared" si="3"/>
        <v>1.483</v>
      </c>
      <c r="Q50" s="25">
        <f t="shared" si="4"/>
        <v>1.512</v>
      </c>
    </row>
    <row r="51" spans="1:17" ht="15">
      <c r="A51" s="41" t="str">
        <f>+'Sch 10, p 1'!A50</f>
        <v>Duquesne Light Holdings</v>
      </c>
      <c r="B51" s="25">
        <v>1.37</v>
      </c>
      <c r="C51" s="25">
        <v>1.51</v>
      </c>
      <c r="D51" s="25">
        <v>1.3</v>
      </c>
      <c r="E51" s="25">
        <v>1.51</v>
      </c>
      <c r="F51" s="25">
        <v>1.63</v>
      </c>
      <c r="G51" s="25">
        <v>1.65</v>
      </c>
      <c r="H51" s="25">
        <v>1.97</v>
      </c>
      <c r="I51" s="25">
        <v>2.05</v>
      </c>
      <c r="J51" s="25">
        <v>2.55</v>
      </c>
      <c r="K51" s="25">
        <v>2.17</v>
      </c>
      <c r="L51" s="25">
        <v>2.19</v>
      </c>
      <c r="M51" s="25">
        <v>2.21</v>
      </c>
      <c r="N51" s="25">
        <v>2.4</v>
      </c>
      <c r="O51" s="25">
        <v>2.18</v>
      </c>
      <c r="P51" s="25">
        <f t="shared" si="3"/>
        <v>1.7710000000000001</v>
      </c>
      <c r="Q51" s="25">
        <f t="shared" si="4"/>
        <v>2.2299999999999995</v>
      </c>
    </row>
    <row r="52" spans="1:17" ht="15">
      <c r="A52" s="41" t="str">
        <f>+'Sch 10, p 1'!A51</f>
        <v>Energy East Corp.</v>
      </c>
      <c r="B52" s="25">
        <v>1.31</v>
      </c>
      <c r="C52" s="25">
        <v>1.43</v>
      </c>
      <c r="D52" s="25">
        <v>1.05</v>
      </c>
      <c r="E52" s="25">
        <v>0.96</v>
      </c>
      <c r="F52" s="25">
        <v>0.94</v>
      </c>
      <c r="G52" s="25">
        <v>1.08</v>
      </c>
      <c r="H52" s="25">
        <v>1.69</v>
      </c>
      <c r="I52" s="25">
        <v>1.86</v>
      </c>
      <c r="J52" s="25">
        <v>1.51</v>
      </c>
      <c r="K52" s="25">
        <v>1.31</v>
      </c>
      <c r="L52" s="25">
        <v>1.21</v>
      </c>
      <c r="M52" s="25">
        <v>1.19</v>
      </c>
      <c r="N52" s="25">
        <v>1.38</v>
      </c>
      <c r="O52" s="25">
        <v>1.41</v>
      </c>
      <c r="P52" s="25">
        <f t="shared" si="3"/>
        <v>1.3139999999999998</v>
      </c>
      <c r="Q52" s="25">
        <f t="shared" si="4"/>
        <v>1.3</v>
      </c>
    </row>
    <row r="53" spans="1:17" ht="15">
      <c r="A53" s="41" t="str">
        <f>+'Sch 10, p 1'!A52</f>
        <v>Exelon</v>
      </c>
      <c r="B53" s="25"/>
      <c r="C53" s="25"/>
      <c r="D53" s="25"/>
      <c r="E53" s="25"/>
      <c r="F53" s="25"/>
      <c r="G53" s="25"/>
      <c r="H53" s="25"/>
      <c r="I53" s="25"/>
      <c r="J53" s="25">
        <v>1.19</v>
      </c>
      <c r="K53" s="25">
        <v>2.26</v>
      </c>
      <c r="L53" s="25">
        <v>1.91</v>
      </c>
      <c r="M53" s="25">
        <v>2.27</v>
      </c>
      <c r="N53" s="25">
        <v>2.8</v>
      </c>
      <c r="O53" s="25">
        <v>3.54</v>
      </c>
      <c r="P53" s="25"/>
      <c r="Q53" s="25">
        <f t="shared" si="4"/>
        <v>2.5559999999999996</v>
      </c>
    </row>
    <row r="54" spans="1:17" ht="15">
      <c r="A54" s="41" t="str">
        <f>+'Sch 10, p 1'!A53</f>
        <v>FirstEnergy Corp.</v>
      </c>
      <c r="B54" s="25">
        <v>1.37</v>
      </c>
      <c r="C54" s="25">
        <v>1.54</v>
      </c>
      <c r="D54" s="25">
        <v>1.31</v>
      </c>
      <c r="E54" s="25">
        <v>1.37</v>
      </c>
      <c r="F54" s="25">
        <v>1.37</v>
      </c>
      <c r="G54" s="25">
        <v>1.4</v>
      </c>
      <c r="H54" s="25">
        <v>1.66</v>
      </c>
      <c r="I54" s="25">
        <v>1.44</v>
      </c>
      <c r="J54" s="25">
        <v>1.24</v>
      </c>
      <c r="K54" s="25">
        <v>1.36</v>
      </c>
      <c r="L54" s="25">
        <v>1.31</v>
      </c>
      <c r="M54" s="25">
        <v>1.32</v>
      </c>
      <c r="N54" s="25">
        <v>1.54</v>
      </c>
      <c r="O54" s="25">
        <v>1.69</v>
      </c>
      <c r="P54" s="25">
        <f t="shared" si="3"/>
        <v>1.4060000000000001</v>
      </c>
      <c r="Q54" s="25">
        <f t="shared" si="4"/>
        <v>1.4440000000000002</v>
      </c>
    </row>
    <row r="55" spans="1:17" ht="15">
      <c r="A55" s="41" t="str">
        <f>+'Sch 10, p 1'!A54</f>
        <v>Northeast Utilities</v>
      </c>
      <c r="B55" s="25">
        <v>1.54</v>
      </c>
      <c r="C55" s="25">
        <v>1.49</v>
      </c>
      <c r="D55" s="25">
        <v>1.27</v>
      </c>
      <c r="E55" s="25">
        <v>1.24</v>
      </c>
      <c r="F55" s="25">
        <v>0.95</v>
      </c>
      <c r="G55" s="25">
        <v>0.64</v>
      </c>
      <c r="H55" s="25">
        <v>0.91</v>
      </c>
      <c r="I55" s="25">
        <v>1.13</v>
      </c>
      <c r="J55" s="25">
        <v>1.36</v>
      </c>
      <c r="K55" s="25">
        <v>1.29</v>
      </c>
      <c r="L55" s="25">
        <v>0.99</v>
      </c>
      <c r="M55" s="25">
        <v>0.95</v>
      </c>
      <c r="N55" s="25">
        <v>1.06</v>
      </c>
      <c r="O55" s="25">
        <v>1.16</v>
      </c>
      <c r="P55" s="25">
        <f t="shared" si="3"/>
        <v>1.182</v>
      </c>
      <c r="Q55" s="25">
        <f t="shared" si="4"/>
        <v>1.0900000000000003</v>
      </c>
    </row>
    <row r="56" spans="1:17" ht="15">
      <c r="A56" s="41" t="str">
        <f>+'Sch 10, p 1'!A55</f>
        <v>NSTAR</v>
      </c>
      <c r="B56" s="25">
        <v>1.38</v>
      </c>
      <c r="C56" s="25">
        <v>1.54</v>
      </c>
      <c r="D56" s="25">
        <v>1.3</v>
      </c>
      <c r="E56" s="25">
        <v>1.3</v>
      </c>
      <c r="F56" s="25">
        <v>1.25</v>
      </c>
      <c r="G56" s="25">
        <v>1.46</v>
      </c>
      <c r="H56" s="25">
        <v>1.81</v>
      </c>
      <c r="I56" s="25">
        <v>1.66</v>
      </c>
      <c r="J56" s="25">
        <v>1.61</v>
      </c>
      <c r="K56" s="25">
        <v>1.61</v>
      </c>
      <c r="L56" s="25">
        <v>1.7</v>
      </c>
      <c r="M56" s="25">
        <v>1.75</v>
      </c>
      <c r="N56" s="25">
        <v>1.89</v>
      </c>
      <c r="O56" s="25">
        <v>2.02</v>
      </c>
      <c r="P56" s="25">
        <f t="shared" si="3"/>
        <v>1.492</v>
      </c>
      <c r="Q56" s="25">
        <f t="shared" si="4"/>
        <v>1.794</v>
      </c>
    </row>
    <row r="57" spans="1:17" ht="15">
      <c r="A57" s="41" t="str">
        <f>+'Sch 10, p 1'!A56</f>
        <v>PEPCO Holdings</v>
      </c>
      <c r="B57" s="25">
        <v>1.6</v>
      </c>
      <c r="C57" s="25">
        <v>1.62</v>
      </c>
      <c r="D57" s="25">
        <v>1.35</v>
      </c>
      <c r="E57" s="25">
        <v>1.38</v>
      </c>
      <c r="F57" s="25">
        <v>1.61</v>
      </c>
      <c r="G57" s="25">
        <v>1.51</v>
      </c>
      <c r="H57" s="25">
        <v>1.61</v>
      </c>
      <c r="I57" s="25">
        <v>1.66</v>
      </c>
      <c r="J57" s="25">
        <v>1.39</v>
      </c>
      <c r="K57" s="25">
        <v>1.24</v>
      </c>
      <c r="L57" s="25">
        <v>1.1</v>
      </c>
      <c r="M57" s="25">
        <v>1.03</v>
      </c>
      <c r="N57" s="25">
        <v>1.09</v>
      </c>
      <c r="O57" s="25">
        <v>1.22</v>
      </c>
      <c r="P57" s="25">
        <f t="shared" si="3"/>
        <v>1.497</v>
      </c>
      <c r="Q57" s="25">
        <f t="shared" si="4"/>
        <v>1.136</v>
      </c>
    </row>
    <row r="58" spans="1:17" ht="15">
      <c r="A58" s="41" t="str">
        <f>+'Sch 10, p 1'!A57</f>
        <v>PPL Corp</v>
      </c>
      <c r="B58" s="25">
        <v>1.7</v>
      </c>
      <c r="C58" s="25">
        <v>1.81</v>
      </c>
      <c r="D58" s="25">
        <v>1.44</v>
      </c>
      <c r="E58" s="25">
        <v>1.38</v>
      </c>
      <c r="F58" s="25">
        <v>1.43</v>
      </c>
      <c r="G58" s="25">
        <v>1.28</v>
      </c>
      <c r="H58" s="25">
        <v>1.76</v>
      </c>
      <c r="I58" s="25">
        <v>2.32</v>
      </c>
      <c r="J58" s="25">
        <v>2.57</v>
      </c>
      <c r="K58" s="25">
        <v>3.52</v>
      </c>
      <c r="L58" s="25">
        <v>2.53</v>
      </c>
      <c r="M58" s="25">
        <v>2.39</v>
      </c>
      <c r="N58" s="25">
        <v>2.3</v>
      </c>
      <c r="O58" s="25">
        <v>2.59</v>
      </c>
      <c r="P58" s="25">
        <f t="shared" si="3"/>
        <v>1.921</v>
      </c>
      <c r="Q58" s="25">
        <f t="shared" si="4"/>
        <v>2.6659999999999995</v>
      </c>
    </row>
    <row r="59" spans="1:17" ht="15">
      <c r="A59" s="41" t="str">
        <f>+'Sch 10, p 1'!A58</f>
        <v>Public Service Enter. Group</v>
      </c>
      <c r="B59" s="25">
        <v>1.38</v>
      </c>
      <c r="C59" s="25">
        <v>1.6</v>
      </c>
      <c r="D59" s="25">
        <v>1.31</v>
      </c>
      <c r="E59" s="25">
        <v>1.29</v>
      </c>
      <c r="F59" s="25">
        <v>1.28</v>
      </c>
      <c r="G59" s="25">
        <v>1.22</v>
      </c>
      <c r="H59" s="25">
        <v>1.64</v>
      </c>
      <c r="I59" s="25">
        <v>1.84</v>
      </c>
      <c r="J59" s="25">
        <v>2.01</v>
      </c>
      <c r="K59" s="25">
        <v>2.25</v>
      </c>
      <c r="L59" s="25">
        <v>1.78</v>
      </c>
      <c r="M59" s="25">
        <v>1.86</v>
      </c>
      <c r="N59" s="25">
        <v>1.91</v>
      </c>
      <c r="O59" s="25">
        <v>2.45</v>
      </c>
      <c r="P59" s="25">
        <f t="shared" si="3"/>
        <v>1.582</v>
      </c>
      <c r="Q59" s="25">
        <f t="shared" si="4"/>
        <v>2.05</v>
      </c>
    </row>
    <row r="60" spans="1:17" ht="15">
      <c r="A60" s="41" t="str">
        <f>+'Sch 10, p 1'!A59</f>
        <v>SCANA Corp.</v>
      </c>
      <c r="B60" s="25">
        <v>1.61</v>
      </c>
      <c r="C60" s="25">
        <v>1.68</v>
      </c>
      <c r="D60" s="25">
        <v>1.57</v>
      </c>
      <c r="E60" s="25">
        <v>1.66</v>
      </c>
      <c r="F60" s="25">
        <v>1.75</v>
      </c>
      <c r="G60" s="25">
        <v>1.64</v>
      </c>
      <c r="H60" s="25">
        <v>1.95</v>
      </c>
      <c r="I60" s="25">
        <v>1.45</v>
      </c>
      <c r="J60" s="25">
        <v>1.34</v>
      </c>
      <c r="K60" s="25">
        <v>1.35</v>
      </c>
      <c r="L60" s="25">
        <v>1.37</v>
      </c>
      <c r="M60" s="25">
        <v>1.58</v>
      </c>
      <c r="N60" s="25">
        <v>1.71</v>
      </c>
      <c r="O60" s="25">
        <v>1.79</v>
      </c>
      <c r="P60" s="25">
        <f t="shared" si="3"/>
        <v>1.5999999999999999</v>
      </c>
      <c r="Q60" s="25">
        <f t="shared" si="4"/>
        <v>1.56</v>
      </c>
    </row>
    <row r="61" spans="1:17" ht="15">
      <c r="A61" s="41" t="str">
        <f>+'Sch 10, p 1'!A60</f>
        <v>Sempra Energy</v>
      </c>
      <c r="B61" s="25">
        <v>1.87</v>
      </c>
      <c r="C61" s="25">
        <v>2</v>
      </c>
      <c r="D61" s="25">
        <v>1.66</v>
      </c>
      <c r="E61" s="25">
        <v>1.67</v>
      </c>
      <c r="F61" s="25">
        <v>1.71</v>
      </c>
      <c r="G61" s="25">
        <v>1.78</v>
      </c>
      <c r="H61" s="25">
        <v>2.03</v>
      </c>
      <c r="I61" s="25">
        <v>1.73</v>
      </c>
      <c r="J61" s="25">
        <v>1.65</v>
      </c>
      <c r="K61" s="25">
        <v>1.8</v>
      </c>
      <c r="L61" s="25">
        <v>1.55</v>
      </c>
      <c r="M61" s="25">
        <v>1.72</v>
      </c>
      <c r="N61" s="25">
        <v>1.78</v>
      </c>
      <c r="O61" s="25">
        <v>1.86</v>
      </c>
      <c r="P61" s="25">
        <f t="shared" si="3"/>
        <v>1.7899999999999998</v>
      </c>
      <c r="Q61" s="25">
        <f t="shared" si="4"/>
        <v>1.7420000000000002</v>
      </c>
    </row>
    <row r="62" spans="1:17" ht="15">
      <c r="A62" s="41" t="str">
        <f>+'Sch 10, p 1'!A61</f>
        <v>TXU Corp.</v>
      </c>
      <c r="B62" s="25">
        <v>1.34</v>
      </c>
      <c r="C62" s="25">
        <v>1.53</v>
      </c>
      <c r="D62" s="25">
        <v>1.25</v>
      </c>
      <c r="E62" s="25">
        <v>1.32</v>
      </c>
      <c r="F62" s="25">
        <v>1.58</v>
      </c>
      <c r="G62" s="25">
        <v>1.34</v>
      </c>
      <c r="H62" s="25">
        <v>1.51</v>
      </c>
      <c r="I62" s="25">
        <v>1.35</v>
      </c>
      <c r="J62" s="25">
        <v>1.18</v>
      </c>
      <c r="K62" s="25">
        <v>1.41</v>
      </c>
      <c r="L62" s="25">
        <v>1.47</v>
      </c>
      <c r="M62" s="25">
        <v>1.15</v>
      </c>
      <c r="N62" s="25" t="s">
        <v>243</v>
      </c>
      <c r="O62" s="25" t="s">
        <v>243</v>
      </c>
      <c r="P62" s="25">
        <f t="shared" si="3"/>
        <v>1.381</v>
      </c>
      <c r="Q62" s="25">
        <f t="shared" si="4"/>
        <v>1.343333333333333</v>
      </c>
    </row>
    <row r="63" spans="1:17" ht="15">
      <c r="A63" s="41" t="str">
        <f>+'Sch 10, p 1'!A62</f>
        <v>Vectren Corp.</v>
      </c>
      <c r="B63" s="25">
        <v>1.99</v>
      </c>
      <c r="C63" s="25">
        <v>1.92</v>
      </c>
      <c r="D63" s="25">
        <v>1.57</v>
      </c>
      <c r="E63" s="25">
        <v>1.62</v>
      </c>
      <c r="F63" s="25">
        <v>1.71</v>
      </c>
      <c r="G63" s="25">
        <v>1.8</v>
      </c>
      <c r="H63" s="25">
        <v>2.09</v>
      </c>
      <c r="I63" s="25">
        <v>2.15</v>
      </c>
      <c r="J63" s="25">
        <v>1.8</v>
      </c>
      <c r="K63" s="25">
        <v>1.81</v>
      </c>
      <c r="L63" s="25">
        <v>1.74</v>
      </c>
      <c r="M63" s="25">
        <v>1.7</v>
      </c>
      <c r="N63" s="25">
        <v>1.75</v>
      </c>
      <c r="O63" s="25">
        <v>1.85</v>
      </c>
      <c r="P63" s="25">
        <f t="shared" si="3"/>
        <v>1.846</v>
      </c>
      <c r="Q63" s="25">
        <f t="shared" si="4"/>
        <v>1.77</v>
      </c>
    </row>
    <row r="64" spans="1:17" ht="15">
      <c r="A64" s="41" t="str">
        <f>+'Sch 10, p 1'!A63</f>
        <v>Wisconsin Energy</v>
      </c>
      <c r="B64" s="25">
        <v>1.78</v>
      </c>
      <c r="C64" s="25">
        <v>1.77</v>
      </c>
      <c r="D64" s="25">
        <v>1.6</v>
      </c>
      <c r="E64" s="25">
        <v>1.72</v>
      </c>
      <c r="F64" s="25">
        <v>1.69</v>
      </c>
      <c r="G64" s="25">
        <v>1.54</v>
      </c>
      <c r="H64" s="25">
        <v>1.85</v>
      </c>
      <c r="I64" s="25">
        <v>1.52</v>
      </c>
      <c r="J64" s="25">
        <v>1.19</v>
      </c>
      <c r="K64" s="25">
        <v>1.26</v>
      </c>
      <c r="L64" s="25">
        <v>1.29</v>
      </c>
      <c r="M64" s="25">
        <v>1.47</v>
      </c>
      <c r="N64" s="25">
        <v>1.55</v>
      </c>
      <c r="O64" s="25">
        <v>1.68</v>
      </c>
      <c r="P64" s="25">
        <f t="shared" si="3"/>
        <v>1.592</v>
      </c>
      <c r="Q64" s="25">
        <f t="shared" si="4"/>
        <v>1.4499999999999997</v>
      </c>
    </row>
    <row r="65" spans="1:17" ht="15">
      <c r="A65" s="5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2:17" ht="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5.75">
      <c r="A67" s="27" t="str">
        <f>'Sch 10, p 1'!A66</f>
        <v>Average</v>
      </c>
      <c r="B67" s="25">
        <f aca="true" t="shared" si="5" ref="B67:O67">AVERAGE(B45:B64)</f>
        <v>1.5236842105263155</v>
      </c>
      <c r="C67" s="25">
        <f t="shared" si="5"/>
        <v>1.635263157894737</v>
      </c>
      <c r="D67" s="25">
        <f t="shared" si="5"/>
        <v>1.3726315789473684</v>
      </c>
      <c r="E67" s="25">
        <f t="shared" si="5"/>
        <v>1.4110526315789473</v>
      </c>
      <c r="F67" s="25">
        <f t="shared" si="5"/>
        <v>1.4547368421052633</v>
      </c>
      <c r="G67" s="25">
        <f t="shared" si="5"/>
        <v>1.4468421052631582</v>
      </c>
      <c r="H67" s="25">
        <f t="shared" si="5"/>
        <v>1.7326315789473685</v>
      </c>
      <c r="I67" s="25">
        <f t="shared" si="5"/>
        <v>1.654736842105263</v>
      </c>
      <c r="J67" s="25">
        <f t="shared" si="5"/>
        <v>1.599</v>
      </c>
      <c r="K67" s="25">
        <f t="shared" si="5"/>
        <v>1.7189999999999999</v>
      </c>
      <c r="L67" s="25">
        <f t="shared" si="5"/>
        <v>1.5185</v>
      </c>
      <c r="M67" s="25">
        <f t="shared" si="5"/>
        <v>1.5574999999999997</v>
      </c>
      <c r="N67" s="25">
        <f t="shared" si="5"/>
        <v>1.7457894736842106</v>
      </c>
      <c r="O67" s="25">
        <f t="shared" si="5"/>
        <v>1.946842105263158</v>
      </c>
      <c r="P67" s="81">
        <f>AVERAGE(P45:P64)</f>
        <v>1.554263157894737</v>
      </c>
      <c r="Q67" s="81">
        <f>AVERAGE(Q45:Q64)</f>
        <v>1.687466666666667</v>
      </c>
    </row>
    <row r="68" spans="1:17" ht="15">
      <c r="A68" s="5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2:17" ht="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8" ht="15.75">
      <c r="A70" s="44" t="str">
        <f>'Sch 10, p 1'!A69</f>
        <v>Composite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81">
        <f>AVERAGE(B67:K67)</f>
        <v>1.554957894736842</v>
      </c>
      <c r="Q70" s="81">
        <f>AVERAGE(K67:O67)</f>
        <v>1.6975263157894738</v>
      </c>
      <c r="R70" s="44"/>
    </row>
    <row r="71" spans="1:17" ht="16.5" thickBot="1">
      <c r="A71" s="55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142"/>
      <c r="Q71" s="142"/>
    </row>
    <row r="72" spans="2:17" ht="15.75" thickTop="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ht="15.75">
      <c r="A73" s="40" t="str">
        <f>+'Sch 10, p 1'!A72</f>
        <v>Morin Natural Gas Utilities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 ht="1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ht="15">
      <c r="A75" s="27" t="str">
        <f>+'Sch 10, p 1'!A74</f>
        <v>AGL Resources</v>
      </c>
      <c r="B75" s="75">
        <f>+B18</f>
        <v>1.81</v>
      </c>
      <c r="C75" s="75">
        <f aca="true" t="shared" si="6" ref="C75:O75">+C18</f>
        <v>1.95</v>
      </c>
      <c r="D75" s="75">
        <f t="shared" si="6"/>
        <v>1.69</v>
      </c>
      <c r="E75" s="75">
        <f t="shared" si="6"/>
        <v>1.72</v>
      </c>
      <c r="F75" s="75">
        <f t="shared" si="6"/>
        <v>1.89</v>
      </c>
      <c r="G75" s="75">
        <f t="shared" si="6"/>
        <v>1.83</v>
      </c>
      <c r="H75" s="75">
        <f t="shared" si="6"/>
        <v>1.83</v>
      </c>
      <c r="I75" s="75">
        <f t="shared" si="6"/>
        <v>1.69</v>
      </c>
      <c r="J75" s="75">
        <f t="shared" si="6"/>
        <v>1.68</v>
      </c>
      <c r="K75" s="75">
        <f t="shared" si="6"/>
        <v>1.84</v>
      </c>
      <c r="L75" s="75">
        <f t="shared" si="6"/>
        <v>1.71</v>
      </c>
      <c r="M75" s="75">
        <f t="shared" si="6"/>
        <v>1.88</v>
      </c>
      <c r="N75" s="75">
        <f t="shared" si="6"/>
        <v>1.84</v>
      </c>
      <c r="O75" s="75">
        <f t="shared" si="6"/>
        <v>1.91</v>
      </c>
      <c r="P75" s="25">
        <f aca="true" t="shared" si="7" ref="P75:P86">AVERAGE(B75:K75)</f>
        <v>1.793</v>
      </c>
      <c r="Q75" s="25">
        <f aca="true" t="shared" si="8" ref="Q75:Q86">AVERAGE(K75:O75)</f>
        <v>1.8359999999999999</v>
      </c>
    </row>
    <row r="76" spans="1:17" ht="15">
      <c r="A76" s="27" t="str">
        <f>+'Sch 10, p 1'!A75</f>
        <v>Atmos Energy</v>
      </c>
      <c r="B76" s="75">
        <f>+B19</f>
        <v>1.58</v>
      </c>
      <c r="C76" s="75">
        <f aca="true" t="shared" si="9" ref="C76:O76">+C19</f>
        <v>1.94</v>
      </c>
      <c r="D76" s="75">
        <f t="shared" si="9"/>
        <v>1.86</v>
      </c>
      <c r="E76" s="75">
        <f t="shared" si="9"/>
        <v>1.96</v>
      </c>
      <c r="F76" s="75">
        <f t="shared" si="9"/>
        <v>2.48</v>
      </c>
      <c r="G76" s="75">
        <f t="shared" si="9"/>
        <v>2.41</v>
      </c>
      <c r="H76" s="75">
        <f t="shared" si="9"/>
        <v>2.46</v>
      </c>
      <c r="I76" s="75">
        <f t="shared" si="9"/>
        <v>2.16</v>
      </c>
      <c r="J76" s="75">
        <f t="shared" si="9"/>
        <v>1.67</v>
      </c>
      <c r="K76" s="75">
        <f t="shared" si="9"/>
        <v>1.7</v>
      </c>
      <c r="L76" s="75">
        <f t="shared" si="9"/>
        <v>1.5</v>
      </c>
      <c r="M76" s="75">
        <f t="shared" si="9"/>
        <v>1.52</v>
      </c>
      <c r="N76" s="75">
        <f t="shared" si="9"/>
        <v>1.47</v>
      </c>
      <c r="O76" s="75">
        <f t="shared" si="9"/>
        <v>1.45</v>
      </c>
      <c r="P76" s="25">
        <f t="shared" si="7"/>
        <v>2.0220000000000002</v>
      </c>
      <c r="Q76" s="25">
        <f t="shared" si="8"/>
        <v>1.528</v>
      </c>
    </row>
    <row r="77" spans="1:17" ht="15">
      <c r="A77" s="27" t="str">
        <f>+'Sch 10, p 1'!A76</f>
        <v>KeySpan Corp.</v>
      </c>
      <c r="B77" s="75">
        <f>+B22</f>
        <v>1.46</v>
      </c>
      <c r="C77" s="75">
        <f aca="true" t="shared" si="10" ref="C77:O77">+C22</f>
        <v>1.67</v>
      </c>
      <c r="D77" s="75">
        <f t="shared" si="10"/>
        <v>1.57</v>
      </c>
      <c r="E77" s="75">
        <f t="shared" si="10"/>
        <v>1.55</v>
      </c>
      <c r="F77" s="75">
        <f t="shared" si="10"/>
        <v>1.64</v>
      </c>
      <c r="G77" s="75">
        <f t="shared" si="10"/>
        <v>1.7</v>
      </c>
      <c r="H77" s="75">
        <f t="shared" si="10"/>
        <v>1.49</v>
      </c>
      <c r="I77" s="75">
        <f t="shared" si="10"/>
        <v>1.24</v>
      </c>
      <c r="J77" s="75">
        <f t="shared" si="10"/>
        <v>1.56</v>
      </c>
      <c r="K77" s="75">
        <f t="shared" si="10"/>
        <v>1.72</v>
      </c>
      <c r="L77" s="75">
        <f t="shared" si="10"/>
        <v>1.58</v>
      </c>
      <c r="M77" s="75">
        <f t="shared" si="10"/>
        <v>1.58</v>
      </c>
      <c r="N77" s="75">
        <f t="shared" si="10"/>
        <v>1.6</v>
      </c>
      <c r="O77" s="75">
        <f t="shared" si="10"/>
        <v>1.48</v>
      </c>
      <c r="P77" s="25">
        <f t="shared" si="7"/>
        <v>1.56</v>
      </c>
      <c r="Q77" s="25">
        <f t="shared" si="8"/>
        <v>1.592</v>
      </c>
    </row>
    <row r="78" spans="1:17" ht="15">
      <c r="A78" s="27" t="str">
        <f>+'Sch 10, p 1'!A77</f>
        <v>Laclede Group</v>
      </c>
      <c r="B78" s="75">
        <f>+B23</f>
        <v>1.58</v>
      </c>
      <c r="C78" s="75">
        <f aca="true" t="shared" si="11" ref="C78:O78">+C23</f>
        <v>1.87</v>
      </c>
      <c r="D78" s="75">
        <f t="shared" si="11"/>
        <v>1.78</v>
      </c>
      <c r="E78" s="75">
        <f t="shared" si="11"/>
        <v>1.63</v>
      </c>
      <c r="F78" s="75">
        <f t="shared" si="11"/>
        <v>1.68</v>
      </c>
      <c r="G78" s="75">
        <f t="shared" si="11"/>
        <v>1.75</v>
      </c>
      <c r="H78" s="75">
        <f t="shared" si="11"/>
        <v>1.74</v>
      </c>
      <c r="I78" s="75">
        <f t="shared" si="11"/>
        <v>1.59</v>
      </c>
      <c r="J78" s="75">
        <f t="shared" si="11"/>
        <v>1.41</v>
      </c>
      <c r="K78" s="75">
        <f t="shared" si="11"/>
        <v>1.55</v>
      </c>
      <c r="L78" s="75">
        <f t="shared" si="11"/>
        <v>1.45</v>
      </c>
      <c r="M78" s="75">
        <f t="shared" si="11"/>
        <v>1.69</v>
      </c>
      <c r="N78" s="75">
        <f t="shared" si="11"/>
        <v>1.79</v>
      </c>
      <c r="O78" s="75">
        <f t="shared" si="11"/>
        <v>1.79</v>
      </c>
      <c r="P78" s="25">
        <f t="shared" si="7"/>
        <v>1.6580000000000001</v>
      </c>
      <c r="Q78" s="25">
        <f t="shared" si="8"/>
        <v>1.654</v>
      </c>
    </row>
    <row r="79" spans="1:17" ht="15">
      <c r="A79" s="27" t="str">
        <f>+'Sch 10, p 1'!A78</f>
        <v>New Jersey Resources</v>
      </c>
      <c r="B79" s="75">
        <f>+B24</f>
        <v>1.61</v>
      </c>
      <c r="C79" s="75">
        <f aca="true" t="shared" si="12" ref="C79:O79">+C24</f>
        <v>1.85</v>
      </c>
      <c r="D79" s="75">
        <f t="shared" si="12"/>
        <v>1.62</v>
      </c>
      <c r="E79" s="75">
        <f t="shared" si="12"/>
        <v>1.79</v>
      </c>
      <c r="F79" s="75">
        <f t="shared" si="12"/>
        <v>1.9</v>
      </c>
      <c r="G79" s="75">
        <f t="shared" si="12"/>
        <v>2.29</v>
      </c>
      <c r="H79" s="75">
        <f t="shared" si="12"/>
        <v>2.25</v>
      </c>
      <c r="I79" s="75">
        <f t="shared" si="12"/>
        <v>2.24</v>
      </c>
      <c r="J79" s="75">
        <f t="shared" si="12"/>
        <v>2.27</v>
      </c>
      <c r="K79" s="75">
        <f t="shared" si="12"/>
        <v>2.24</v>
      </c>
      <c r="L79" s="75">
        <f t="shared" si="12"/>
        <v>2.2</v>
      </c>
      <c r="M79" s="75">
        <f t="shared" si="12"/>
        <v>2.44</v>
      </c>
      <c r="N79" s="75">
        <f t="shared" si="12"/>
        <v>2.51</v>
      </c>
      <c r="O79" s="75">
        <f t="shared" si="12"/>
        <v>2.75</v>
      </c>
      <c r="P79" s="25">
        <f t="shared" si="7"/>
        <v>2.0060000000000002</v>
      </c>
      <c r="Q79" s="25">
        <f t="shared" si="8"/>
        <v>2.428</v>
      </c>
    </row>
    <row r="80" spans="1:17" ht="15">
      <c r="A80" s="27" t="str">
        <f>+'Sch 10, p 1'!A79</f>
        <v>Northwest Natural Gas</v>
      </c>
      <c r="B80" s="75">
        <f aca="true" t="shared" si="13" ref="B80:B86">+B26</f>
        <v>1.62</v>
      </c>
      <c r="C80" s="75">
        <f aca="true" t="shared" si="14" ref="C80:O80">+C26</f>
        <v>1.76</v>
      </c>
      <c r="D80" s="75">
        <f t="shared" si="14"/>
        <v>1.61</v>
      </c>
      <c r="E80" s="75">
        <f t="shared" si="14"/>
        <v>1.46</v>
      </c>
      <c r="F80" s="75">
        <f t="shared" si="14"/>
        <v>1.56</v>
      </c>
      <c r="G80" s="75">
        <f t="shared" si="14"/>
        <v>1.73</v>
      </c>
      <c r="H80" s="75">
        <f t="shared" si="14"/>
        <v>1.69</v>
      </c>
      <c r="I80" s="75">
        <f t="shared" si="14"/>
        <v>1.41</v>
      </c>
      <c r="J80" s="75">
        <f t="shared" si="14"/>
        <v>1.29</v>
      </c>
      <c r="K80" s="75">
        <f t="shared" si="14"/>
        <v>1.33</v>
      </c>
      <c r="L80" s="75">
        <f t="shared" si="14"/>
        <v>1.45</v>
      </c>
      <c r="M80" s="75">
        <f t="shared" si="14"/>
        <v>1.44</v>
      </c>
      <c r="N80" s="75">
        <f t="shared" si="14"/>
        <v>1.53</v>
      </c>
      <c r="O80" s="75">
        <f t="shared" si="14"/>
        <v>1.72</v>
      </c>
      <c r="P80" s="25">
        <f t="shared" si="7"/>
        <v>1.5459999999999998</v>
      </c>
      <c r="Q80" s="25">
        <f t="shared" si="8"/>
        <v>1.4940000000000002</v>
      </c>
    </row>
    <row r="81" spans="1:17" ht="15">
      <c r="A81" s="27" t="str">
        <f>+'Sch 10, p 1'!A80</f>
        <v>Peoples Energy</v>
      </c>
      <c r="B81" s="75">
        <f t="shared" si="13"/>
        <v>1.62</v>
      </c>
      <c r="C81" s="75">
        <f aca="true" t="shared" si="15" ref="C81:O81">+C27</f>
        <v>1.75</v>
      </c>
      <c r="D81" s="75">
        <f t="shared" si="15"/>
        <v>1.52</v>
      </c>
      <c r="E81" s="75">
        <f t="shared" si="15"/>
        <v>1.53</v>
      </c>
      <c r="F81" s="75">
        <f t="shared" si="15"/>
        <v>1.77</v>
      </c>
      <c r="G81" s="75">
        <f t="shared" si="15"/>
        <v>1.78</v>
      </c>
      <c r="H81" s="75">
        <f t="shared" si="15"/>
        <v>1.74</v>
      </c>
      <c r="I81" s="75">
        <f t="shared" si="15"/>
        <v>1.69</v>
      </c>
      <c r="J81" s="75">
        <f t="shared" si="15"/>
        <v>1.67</v>
      </c>
      <c r="K81" s="75">
        <f t="shared" si="15"/>
        <v>1.76</v>
      </c>
      <c r="L81" s="75">
        <f t="shared" si="15"/>
        <v>1.5</v>
      </c>
      <c r="M81" s="75">
        <f t="shared" si="15"/>
        <v>1.75</v>
      </c>
      <c r="N81" s="75">
        <f t="shared" si="15"/>
        <v>1.83</v>
      </c>
      <c r="O81" s="75">
        <f t="shared" si="15"/>
        <v>1.81</v>
      </c>
      <c r="P81" s="25">
        <f t="shared" si="7"/>
        <v>1.6830000000000003</v>
      </c>
      <c r="Q81" s="25">
        <f t="shared" si="8"/>
        <v>1.73</v>
      </c>
    </row>
    <row r="82" spans="1:17" ht="15">
      <c r="A82" s="27" t="str">
        <f>+'Sch 10, p 1'!A81</f>
        <v>Piedmont Natural Gas</v>
      </c>
      <c r="B82" s="75">
        <f t="shared" si="13"/>
        <v>1.8</v>
      </c>
      <c r="C82" s="75">
        <f aca="true" t="shared" si="16" ref="C82:O82">+C28</f>
        <v>2.14</v>
      </c>
      <c r="D82" s="75">
        <f t="shared" si="16"/>
        <v>1.86</v>
      </c>
      <c r="E82" s="75">
        <f t="shared" si="16"/>
        <v>1.82</v>
      </c>
      <c r="F82" s="75">
        <f t="shared" si="16"/>
        <v>1.83</v>
      </c>
      <c r="G82" s="75">
        <f t="shared" si="16"/>
        <v>2.17</v>
      </c>
      <c r="H82" s="75">
        <f t="shared" si="16"/>
        <v>2.22</v>
      </c>
      <c r="I82" s="75">
        <f t="shared" si="16"/>
        <v>2.13</v>
      </c>
      <c r="J82" s="75">
        <f t="shared" si="16"/>
        <v>1.95</v>
      </c>
      <c r="K82" s="75">
        <f t="shared" si="16"/>
        <v>1.99</v>
      </c>
      <c r="L82" s="75">
        <f t="shared" si="16"/>
        <v>1.86</v>
      </c>
      <c r="M82" s="75">
        <f t="shared" si="16"/>
        <v>2.11</v>
      </c>
      <c r="N82" s="75">
        <f t="shared" si="16"/>
        <v>2.12</v>
      </c>
      <c r="O82" s="75">
        <f t="shared" si="16"/>
        <v>2.08</v>
      </c>
      <c r="P82" s="25">
        <f t="shared" si="7"/>
        <v>1.991</v>
      </c>
      <c r="Q82" s="25">
        <f t="shared" si="8"/>
        <v>2.032</v>
      </c>
    </row>
    <row r="83" spans="1:17" ht="15">
      <c r="A83" s="27" t="str">
        <f>+'Sch 10, p 1'!A82</f>
        <v>South Jersey Industries</v>
      </c>
      <c r="B83" s="75">
        <f t="shared" si="13"/>
        <v>1.54</v>
      </c>
      <c r="C83" s="75">
        <f aca="true" t="shared" si="17" ref="C83:O83">+C29</f>
        <v>1.75</v>
      </c>
      <c r="D83" s="75">
        <f t="shared" si="17"/>
        <v>1.41</v>
      </c>
      <c r="E83" s="75">
        <f t="shared" si="17"/>
        <v>1.42</v>
      </c>
      <c r="F83" s="75">
        <f t="shared" si="17"/>
        <v>1.46</v>
      </c>
      <c r="G83" s="75">
        <f t="shared" si="17"/>
        <v>1.78</v>
      </c>
      <c r="H83" s="75">
        <f t="shared" si="17"/>
        <v>2.09</v>
      </c>
      <c r="I83" s="75">
        <f t="shared" si="17"/>
        <v>2.02</v>
      </c>
      <c r="J83" s="75">
        <f t="shared" si="17"/>
        <v>1.96</v>
      </c>
      <c r="K83" s="75">
        <f t="shared" si="17"/>
        <v>2.05</v>
      </c>
      <c r="L83" s="75">
        <f t="shared" si="17"/>
        <v>1.85</v>
      </c>
      <c r="M83" s="75">
        <f t="shared" si="17"/>
        <v>1.7</v>
      </c>
      <c r="N83" s="75">
        <f t="shared" si="17"/>
        <v>1.95</v>
      </c>
      <c r="O83" s="75">
        <f t="shared" si="17"/>
        <v>2.21</v>
      </c>
      <c r="P83" s="25">
        <f t="shared" si="7"/>
        <v>1.748</v>
      </c>
      <c r="Q83" s="25">
        <f t="shared" si="8"/>
        <v>1.952</v>
      </c>
    </row>
    <row r="84" spans="1:17" ht="15">
      <c r="A84" s="27" t="str">
        <f>+'Sch 10, p 1'!A83</f>
        <v>Southwest Gas</v>
      </c>
      <c r="B84" s="75">
        <f t="shared" si="13"/>
        <v>0.81</v>
      </c>
      <c r="C84" s="75">
        <f aca="true" t="shared" si="18" ref="C84:O84">+C30</f>
        <v>1</v>
      </c>
      <c r="D84" s="75">
        <f t="shared" si="18"/>
        <v>1.03</v>
      </c>
      <c r="E84" s="75">
        <f t="shared" si="18"/>
        <v>1.03</v>
      </c>
      <c r="F84" s="75">
        <f t="shared" si="18"/>
        <v>1.21</v>
      </c>
      <c r="G84" s="75">
        <f t="shared" si="18"/>
        <v>1.29</v>
      </c>
      <c r="H84" s="75">
        <f t="shared" si="18"/>
        <v>1.39</v>
      </c>
      <c r="I84" s="75">
        <f t="shared" si="18"/>
        <v>1.47</v>
      </c>
      <c r="J84" s="75">
        <f t="shared" si="18"/>
        <v>1.2</v>
      </c>
      <c r="K84" s="75">
        <f t="shared" si="18"/>
        <v>1.27</v>
      </c>
      <c r="L84" s="75">
        <f t="shared" si="18"/>
        <v>1.23</v>
      </c>
      <c r="M84" s="75">
        <f t="shared" si="18"/>
        <v>1.18</v>
      </c>
      <c r="N84" s="75">
        <f t="shared" si="18"/>
        <v>1.27</v>
      </c>
      <c r="O84" s="75">
        <f t="shared" si="18"/>
        <v>1.37</v>
      </c>
      <c r="P84" s="25">
        <f t="shared" si="7"/>
        <v>1.17</v>
      </c>
      <c r="Q84" s="25">
        <f t="shared" si="8"/>
        <v>1.2639999999999998</v>
      </c>
    </row>
    <row r="85" spans="1:17" ht="15">
      <c r="A85" s="27" t="str">
        <f>+'Sch 10, p 1'!A84</f>
        <v>UGI Corp.</v>
      </c>
      <c r="B85" s="75">
        <f t="shared" si="13"/>
        <v>1.87</v>
      </c>
      <c r="C85" s="75">
        <f aca="true" t="shared" si="19" ref="C85:O85">+C31</f>
        <v>1.62</v>
      </c>
      <c r="D85" s="75">
        <f t="shared" si="19"/>
        <v>1.61</v>
      </c>
      <c r="E85" s="75">
        <f t="shared" si="19"/>
        <v>1.66</v>
      </c>
      <c r="F85" s="75">
        <f t="shared" si="19"/>
        <v>1.96</v>
      </c>
      <c r="G85" s="75">
        <f t="shared" si="19"/>
        <v>2.26</v>
      </c>
      <c r="H85" s="75">
        <f t="shared" si="19"/>
        <v>2.22</v>
      </c>
      <c r="I85" s="75">
        <f t="shared" si="19"/>
        <v>1.96</v>
      </c>
      <c r="J85" s="75">
        <f t="shared" si="19"/>
        <v>2.44</v>
      </c>
      <c r="K85" s="75">
        <f t="shared" si="19"/>
        <v>2.92</v>
      </c>
      <c r="L85" s="75">
        <f t="shared" si="19"/>
        <v>3.18</v>
      </c>
      <c r="M85" s="75">
        <f t="shared" si="19"/>
        <v>2.86</v>
      </c>
      <c r="N85" s="75">
        <f t="shared" si="19"/>
        <v>2.4</v>
      </c>
      <c r="O85" s="75">
        <f t="shared" si="19"/>
        <v>2.79</v>
      </c>
      <c r="P85" s="25">
        <f t="shared" si="7"/>
        <v>2.0520000000000005</v>
      </c>
      <c r="Q85" s="25">
        <f t="shared" si="8"/>
        <v>2.8299999999999996</v>
      </c>
    </row>
    <row r="86" spans="1:17" ht="15">
      <c r="A86" s="27" t="str">
        <f>+'Sch 10, p 1'!A85</f>
        <v>WGL Corp.</v>
      </c>
      <c r="B86" s="75">
        <f t="shared" si="13"/>
        <v>1.73</v>
      </c>
      <c r="C86" s="75">
        <f aca="true" t="shared" si="20" ref="C86:O86">+C32</f>
        <v>1.89</v>
      </c>
      <c r="D86" s="75">
        <f t="shared" si="20"/>
        <v>1.65</v>
      </c>
      <c r="E86" s="75">
        <f t="shared" si="20"/>
        <v>1.64</v>
      </c>
      <c r="F86" s="75">
        <f t="shared" si="20"/>
        <v>1.78</v>
      </c>
      <c r="G86" s="75">
        <f t="shared" si="20"/>
        <v>1.99</v>
      </c>
      <c r="H86" s="75">
        <f t="shared" si="20"/>
        <v>1.97</v>
      </c>
      <c r="I86" s="75">
        <f t="shared" si="20"/>
        <v>1.76</v>
      </c>
      <c r="J86" s="75">
        <f t="shared" si="20"/>
        <v>1.77</v>
      </c>
      <c r="K86" s="75">
        <f t="shared" si="20"/>
        <v>1.77</v>
      </c>
      <c r="L86" s="75">
        <f t="shared" si="20"/>
        <v>1.52</v>
      </c>
      <c r="M86" s="75">
        <f t="shared" si="20"/>
        <v>1.62</v>
      </c>
      <c r="N86" s="75">
        <f t="shared" si="20"/>
        <v>1.75</v>
      </c>
      <c r="O86" s="75">
        <f t="shared" si="20"/>
        <v>1.83</v>
      </c>
      <c r="P86" s="25">
        <f t="shared" si="7"/>
        <v>1.795</v>
      </c>
      <c r="Q86" s="25">
        <f t="shared" si="8"/>
        <v>1.698</v>
      </c>
    </row>
    <row r="87" spans="1:17" ht="15">
      <c r="A87" s="5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</row>
    <row r="88" spans="2:17" ht="1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1:17" ht="15.75">
      <c r="A89" s="27" t="str">
        <f>+'Sch 10, p 1'!A88</f>
        <v>Mean</v>
      </c>
      <c r="B89" s="75">
        <f aca="true" t="shared" si="21" ref="B89:O89">AVERAGE(B75:B86)</f>
        <v>1.5858333333333334</v>
      </c>
      <c r="C89" s="75">
        <f t="shared" si="21"/>
        <v>1.7658333333333334</v>
      </c>
      <c r="D89" s="75">
        <f t="shared" si="21"/>
        <v>1.600833333333333</v>
      </c>
      <c r="E89" s="75">
        <f t="shared" si="21"/>
        <v>1.600833333333333</v>
      </c>
      <c r="F89" s="75">
        <f t="shared" si="21"/>
        <v>1.7633333333333336</v>
      </c>
      <c r="G89" s="75">
        <f t="shared" si="21"/>
        <v>1.915</v>
      </c>
      <c r="H89" s="75">
        <f t="shared" si="21"/>
        <v>1.9241666666666664</v>
      </c>
      <c r="I89" s="75">
        <f t="shared" si="21"/>
        <v>1.78</v>
      </c>
      <c r="J89" s="75">
        <f t="shared" si="21"/>
        <v>1.7391666666666665</v>
      </c>
      <c r="K89" s="75">
        <f t="shared" si="21"/>
        <v>1.8449999999999998</v>
      </c>
      <c r="L89" s="75">
        <f t="shared" si="21"/>
        <v>1.7524999999999997</v>
      </c>
      <c r="M89" s="75">
        <f t="shared" si="21"/>
        <v>1.8141666666666667</v>
      </c>
      <c r="N89" s="75">
        <f t="shared" si="21"/>
        <v>1.8383333333333332</v>
      </c>
      <c r="O89" s="75">
        <f t="shared" si="21"/>
        <v>1.9324999999999999</v>
      </c>
      <c r="P89" s="77">
        <f>AVERAGE(P75:P86)</f>
        <v>1.752</v>
      </c>
      <c r="Q89" s="77">
        <f>AVERAGE(Q75:Q86)</f>
        <v>1.8365</v>
      </c>
    </row>
    <row r="90" spans="1:17" ht="15">
      <c r="A90" s="5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2:17" ht="1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1:17" ht="15.75">
      <c r="A92" s="27" t="s">
        <v>148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81">
        <f>AVERAGE(B89:K89)</f>
        <v>1.7519999999999996</v>
      </c>
      <c r="Q92" s="81">
        <f>AVERAGE(K89:O89)</f>
        <v>1.8364999999999998</v>
      </c>
    </row>
    <row r="93" spans="1:17" ht="15.75" thickBot="1">
      <c r="A93" s="55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ht="15.75" thickTop="1"/>
    <row r="95" spans="1:17" ht="15">
      <c r="A95" s="27" t="str">
        <f>+'Sch 10, p 1'!A94</f>
        <v>Source:  Calculations made from data contained in Value Line Investment Survey.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2:17" ht="1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2:17" ht="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2:17" ht="1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2:17" ht="1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2:17" ht="1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2:17" ht="1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2:17" ht="1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2:17" ht="1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2:17" ht="1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2:17" ht="1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2:17" ht="1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8" ht="15">
      <c r="A107" s="4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44"/>
    </row>
    <row r="108" spans="1:17" ht="15">
      <c r="A108" s="43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1:81" ht="15">
      <c r="A109" s="4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</row>
    <row r="110" spans="1:81" ht="15">
      <c r="A110" s="4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</row>
    <row r="111" spans="1:81" ht="15">
      <c r="A111" s="43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</row>
    <row r="112" spans="1:81" ht="15.75">
      <c r="A112" s="4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6"/>
      <c r="Q112" s="76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</row>
    <row r="113" spans="1:81" ht="15">
      <c r="A113" s="4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</row>
    <row r="114" spans="1:81" ht="15">
      <c r="A114" s="43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</row>
    <row r="115" spans="1:81" ht="15.75">
      <c r="A115" s="4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7"/>
      <c r="Q115" s="77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</row>
    <row r="116" spans="1:81" ht="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</row>
    <row r="117" spans="1:81" ht="1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</row>
    <row r="118" spans="1:81" ht="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</row>
    <row r="119" spans="1:81" ht="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</row>
  </sheetData>
  <printOptions horizontalCentered="1"/>
  <pageMargins left="0.5" right="0.5" top="0.5" bottom="0.55" header="0" footer="0"/>
  <pageSetup fitToHeight="1" fitToWidth="1" horizontalDpi="600" verticalDpi="600" orientation="portrait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showOutlineSymbols="0" zoomScale="87" zoomScaleNormal="87" workbookViewId="0" topLeftCell="A1">
      <selection activeCell="F2" sqref="F2"/>
    </sheetView>
  </sheetViews>
  <sheetFormatPr defaultColWidth="8.88671875" defaultRowHeight="15"/>
  <cols>
    <col min="1" max="1" width="9.77734375" style="41" customWidth="1"/>
    <col min="2" max="2" width="6.77734375" style="41" customWidth="1"/>
    <col min="3" max="3" width="12.77734375" style="41" customWidth="1"/>
    <col min="4" max="4" width="15.77734375" style="41" customWidth="1"/>
    <col min="5" max="5" width="12.77734375" style="41" customWidth="1"/>
    <col min="6" max="6" width="13.77734375" style="41" customWidth="1"/>
    <col min="7" max="7" width="2.77734375" style="41" customWidth="1"/>
    <col min="8" max="16384" width="9.77734375" style="41" customWidth="1"/>
  </cols>
  <sheetData>
    <row r="1" spans="3:6" ht="15.75">
      <c r="C1" s="113"/>
      <c r="D1" s="113"/>
      <c r="E1" s="113"/>
      <c r="F1" s="40" t="s">
        <v>340</v>
      </c>
    </row>
    <row r="2" ht="15.75">
      <c r="F2" s="40" t="s">
        <v>126</v>
      </c>
    </row>
    <row r="6" spans="2:7" ht="15.75" customHeight="1">
      <c r="B6" s="93"/>
      <c r="C6" s="94"/>
      <c r="D6" s="94"/>
      <c r="E6" s="94"/>
      <c r="F6" s="94"/>
      <c r="G6" s="94"/>
    </row>
    <row r="7" spans="2:7" ht="20.25">
      <c r="B7" s="93" t="s">
        <v>132</v>
      </c>
      <c r="C7" s="94"/>
      <c r="D7" s="94"/>
      <c r="E7" s="94"/>
      <c r="F7" s="94"/>
      <c r="G7" s="94"/>
    </row>
    <row r="8" spans="2:7" ht="20.25">
      <c r="B8" s="93" t="s">
        <v>133</v>
      </c>
      <c r="C8" s="94"/>
      <c r="D8" s="94"/>
      <c r="E8" s="94"/>
      <c r="F8" s="94"/>
      <c r="G8" s="94"/>
    </row>
    <row r="9" spans="2:7" ht="20.25">
      <c r="B9" s="93" t="s">
        <v>207</v>
      </c>
      <c r="C9" s="94"/>
      <c r="D9" s="94"/>
      <c r="E9" s="94"/>
      <c r="F9" s="94"/>
      <c r="G9" s="94"/>
    </row>
    <row r="12" spans="2:7" ht="15">
      <c r="B12" s="97"/>
      <c r="C12" s="97"/>
      <c r="D12" s="97" t="s">
        <v>135</v>
      </c>
      <c r="E12" s="97"/>
      <c r="F12" s="97" t="s">
        <v>137</v>
      </c>
      <c r="G12" s="97"/>
    </row>
    <row r="13" spans="2:7" ht="15">
      <c r="B13" s="98" t="s">
        <v>1</v>
      </c>
      <c r="C13" s="98"/>
      <c r="D13" s="98" t="s">
        <v>136</v>
      </c>
      <c r="E13" s="98"/>
      <c r="F13" s="98" t="s">
        <v>138</v>
      </c>
      <c r="G13" s="98"/>
    </row>
    <row r="14" spans="2:7" ht="15">
      <c r="B14" s="97"/>
      <c r="C14" s="97"/>
      <c r="D14" s="97"/>
      <c r="E14" s="97"/>
      <c r="F14" s="97"/>
      <c r="G14" s="97"/>
    </row>
    <row r="15" spans="2:7" ht="15">
      <c r="B15" s="98"/>
      <c r="C15" s="98"/>
      <c r="D15" s="84"/>
      <c r="E15" s="98"/>
      <c r="F15" s="120"/>
      <c r="G15" s="98"/>
    </row>
    <row r="16" spans="2:7" ht="15">
      <c r="B16" s="98" t="s">
        <v>21</v>
      </c>
      <c r="C16" s="98"/>
      <c r="D16" s="84">
        <v>0.122</v>
      </c>
      <c r="E16" s="98"/>
      <c r="F16" s="120">
        <v>2.71</v>
      </c>
      <c r="G16" s="98"/>
    </row>
    <row r="17" spans="2:7" ht="15">
      <c r="B17" s="98"/>
      <c r="C17" s="98"/>
      <c r="D17" s="84"/>
      <c r="E17" s="98"/>
      <c r="F17" s="120"/>
      <c r="G17" s="98"/>
    </row>
    <row r="18" spans="2:7" ht="15">
      <c r="B18" s="98" t="s">
        <v>22</v>
      </c>
      <c r="C18" s="98"/>
      <c r="D18" s="84">
        <v>0.132</v>
      </c>
      <c r="E18" s="98"/>
      <c r="F18" s="120">
        <v>2.72</v>
      </c>
      <c r="G18" s="98"/>
    </row>
    <row r="19" spans="2:7" ht="15">
      <c r="B19" s="98"/>
      <c r="C19" s="98"/>
      <c r="D19" s="84"/>
      <c r="E19" s="98"/>
      <c r="F19" s="120"/>
      <c r="G19" s="98"/>
    </row>
    <row r="20" spans="2:7" ht="15">
      <c r="B20" s="98" t="s">
        <v>23</v>
      </c>
      <c r="C20" s="98"/>
      <c r="D20" s="84">
        <v>0.164</v>
      </c>
      <c r="E20" s="98"/>
      <c r="F20" s="120">
        <v>2.46</v>
      </c>
      <c r="G20" s="98"/>
    </row>
    <row r="21" spans="2:7" ht="15">
      <c r="B21" s="98"/>
      <c r="C21" s="98"/>
      <c r="D21" s="84"/>
      <c r="E21" s="98"/>
      <c r="F21" s="120"/>
      <c r="G21" s="98"/>
    </row>
    <row r="22" spans="2:7" ht="15">
      <c r="B22" s="98" t="s">
        <v>24</v>
      </c>
      <c r="C22" s="98"/>
      <c r="D22" s="84">
        <v>0.166</v>
      </c>
      <c r="E22" s="98"/>
      <c r="F22" s="120">
        <v>2.64</v>
      </c>
      <c r="G22" s="98"/>
    </row>
    <row r="23" spans="2:7" ht="15">
      <c r="B23" s="98"/>
      <c r="C23" s="98"/>
      <c r="D23" s="84"/>
      <c r="E23" s="98"/>
      <c r="F23" s="120"/>
      <c r="G23" s="98"/>
    </row>
    <row r="24" spans="2:7" ht="15">
      <c r="B24" s="98" t="s">
        <v>25</v>
      </c>
      <c r="C24" s="98"/>
      <c r="D24" s="84">
        <v>0.171</v>
      </c>
      <c r="E24" s="98"/>
      <c r="F24" s="120">
        <v>2.99</v>
      </c>
      <c r="G24" s="98"/>
    </row>
    <row r="25" spans="2:7" ht="15">
      <c r="B25" s="98"/>
      <c r="C25" s="98"/>
      <c r="D25" s="84"/>
      <c r="E25" s="98"/>
      <c r="F25" s="120"/>
      <c r="G25" s="98"/>
    </row>
    <row r="26" spans="2:7" ht="15">
      <c r="B26" s="98" t="s">
        <v>26</v>
      </c>
      <c r="C26" s="98"/>
      <c r="D26" s="84">
        <v>0.163</v>
      </c>
      <c r="E26" s="98"/>
      <c r="F26" s="120">
        <v>3.54</v>
      </c>
      <c r="G26" s="98"/>
    </row>
    <row r="27" spans="2:7" ht="15">
      <c r="B27" s="98"/>
      <c r="C27" s="98"/>
      <c r="D27" s="84"/>
      <c r="E27" s="98"/>
      <c r="F27" s="120"/>
      <c r="G27" s="98"/>
    </row>
    <row r="28" spans="2:7" ht="15">
      <c r="B28" s="98">
        <v>1998</v>
      </c>
      <c r="C28" s="98"/>
      <c r="D28" s="84">
        <v>0.146</v>
      </c>
      <c r="E28" s="98"/>
      <c r="F28" s="120">
        <v>4.21</v>
      </c>
      <c r="G28" s="98"/>
    </row>
    <row r="29" spans="2:7" ht="15">
      <c r="B29" s="98"/>
      <c r="C29" s="98"/>
      <c r="D29" s="84"/>
      <c r="E29" s="98"/>
      <c r="F29" s="120"/>
      <c r="G29" s="98"/>
    </row>
    <row r="30" spans="2:7" ht="15">
      <c r="B30" s="98">
        <v>1999</v>
      </c>
      <c r="C30" s="98"/>
      <c r="D30" s="84">
        <v>0.173</v>
      </c>
      <c r="E30" s="98"/>
      <c r="F30" s="120">
        <v>4.81</v>
      </c>
      <c r="G30" s="98"/>
    </row>
    <row r="31" spans="2:7" ht="15">
      <c r="B31" s="98"/>
      <c r="C31" s="98"/>
      <c r="D31" s="84"/>
      <c r="E31" s="98"/>
      <c r="F31" s="120"/>
      <c r="G31" s="98"/>
    </row>
    <row r="32" spans="2:7" ht="15">
      <c r="B32" s="98">
        <v>2000</v>
      </c>
      <c r="C32" s="98"/>
      <c r="D32" s="84">
        <v>0.162</v>
      </c>
      <c r="E32" s="98"/>
      <c r="F32" s="120">
        <v>4.53</v>
      </c>
      <c r="G32" s="98"/>
    </row>
    <row r="33" spans="2:7" ht="15">
      <c r="B33" s="98"/>
      <c r="C33" s="98"/>
      <c r="D33" s="84"/>
      <c r="E33" s="98"/>
      <c r="F33" s="120"/>
      <c r="G33" s="98"/>
    </row>
    <row r="34" spans="2:7" ht="15">
      <c r="B34" s="98">
        <v>2001</v>
      </c>
      <c r="C34" s="98"/>
      <c r="D34" s="84">
        <v>0.075</v>
      </c>
      <c r="E34" s="98"/>
      <c r="F34" s="120">
        <v>3.53</v>
      </c>
      <c r="G34" s="98"/>
    </row>
    <row r="35" spans="2:7" ht="15">
      <c r="B35" s="98"/>
      <c r="C35" s="98"/>
      <c r="D35" s="84"/>
      <c r="E35" s="98"/>
      <c r="F35" s="120"/>
      <c r="G35" s="98"/>
    </row>
    <row r="36" spans="2:7" ht="15">
      <c r="B36" s="98">
        <v>2002</v>
      </c>
      <c r="C36" s="98"/>
      <c r="D36" s="84">
        <v>0.084</v>
      </c>
      <c r="E36" s="98"/>
      <c r="F36" s="120">
        <v>2.96</v>
      </c>
      <c r="G36" s="98"/>
    </row>
    <row r="37" spans="2:7" ht="15">
      <c r="B37" s="98"/>
      <c r="C37" s="98"/>
      <c r="D37" s="84"/>
      <c r="E37" s="98"/>
      <c r="F37" s="120"/>
      <c r="G37" s="98"/>
    </row>
    <row r="38" spans="2:7" ht="15">
      <c r="B38" s="98">
        <v>2003</v>
      </c>
      <c r="C38" s="98"/>
      <c r="D38" s="84">
        <v>0.142</v>
      </c>
      <c r="E38" s="98"/>
      <c r="F38" s="120">
        <v>2.78</v>
      </c>
      <c r="G38" s="98"/>
    </row>
    <row r="39" spans="2:7" ht="15">
      <c r="B39" s="98"/>
      <c r="C39" s="98"/>
      <c r="D39" s="84"/>
      <c r="E39" s="98"/>
      <c r="F39" s="120"/>
      <c r="G39" s="98"/>
    </row>
    <row r="40" spans="2:7" ht="15">
      <c r="B40" s="98">
        <v>2004</v>
      </c>
      <c r="C40" s="98"/>
      <c r="D40" s="84">
        <v>0.15</v>
      </c>
      <c r="E40" s="98"/>
      <c r="F40" s="120">
        <v>2.91</v>
      </c>
      <c r="G40" s="98"/>
    </row>
    <row r="41" spans="2:7" ht="15">
      <c r="B41" s="98"/>
      <c r="C41" s="98"/>
      <c r="D41" s="84"/>
      <c r="E41" s="98"/>
      <c r="F41" s="120"/>
      <c r="G41" s="98"/>
    </row>
    <row r="42" spans="2:7" ht="15">
      <c r="B42" s="98" t="s">
        <v>134</v>
      </c>
      <c r="C42" s="98"/>
      <c r="D42" s="84"/>
      <c r="E42" s="98"/>
      <c r="F42" s="120"/>
      <c r="G42" s="98"/>
    </row>
    <row r="43" spans="2:7" ht="15">
      <c r="B43" s="98"/>
      <c r="C43" s="98"/>
      <c r="D43" s="84"/>
      <c r="E43" s="98"/>
      <c r="F43" s="120"/>
      <c r="G43" s="98"/>
    </row>
    <row r="44" spans="2:7" ht="15">
      <c r="B44" s="98" t="s">
        <v>176</v>
      </c>
      <c r="C44" s="98"/>
      <c r="D44" s="84">
        <f>AVERAGE(D16:D34)</f>
        <v>0.1474</v>
      </c>
      <c r="E44" s="121"/>
      <c r="F44" s="120">
        <f>AVERAGE(F16:F34)</f>
        <v>3.414</v>
      </c>
      <c r="G44" s="121"/>
    </row>
    <row r="45" spans="2:7" ht="15">
      <c r="B45" s="98"/>
      <c r="C45" s="98"/>
      <c r="D45" s="84"/>
      <c r="E45" s="121"/>
      <c r="F45" s="120"/>
      <c r="G45" s="121"/>
    </row>
    <row r="46" spans="2:7" ht="15">
      <c r="B46" s="98" t="s">
        <v>209</v>
      </c>
      <c r="C46" s="98"/>
      <c r="D46" s="84">
        <f>AVERAGE(D32:D40)</f>
        <v>0.1226</v>
      </c>
      <c r="E46" s="121"/>
      <c r="F46" s="120">
        <f>AVERAGE(F32:F40)</f>
        <v>3.342</v>
      </c>
      <c r="G46" s="121"/>
    </row>
    <row r="47" spans="4:6" ht="15">
      <c r="D47" s="106"/>
      <c r="F47" s="122"/>
    </row>
    <row r="48" spans="2:7" ht="15">
      <c r="B48" s="99"/>
      <c r="C48" s="99"/>
      <c r="D48" s="99"/>
      <c r="E48" s="99"/>
      <c r="F48" s="99"/>
      <c r="G48" s="99"/>
    </row>
    <row r="49" ht="15">
      <c r="B49" s="41" t="s">
        <v>210</v>
      </c>
    </row>
  </sheetData>
  <printOptions horizontalCentered="1"/>
  <pageMargins left="0.5" right="0.5" top="0.5" bottom="0.55" header="0" footer="0"/>
  <pageSetup fitToHeight="1" fitToWidth="1" horizontalDpi="600" verticalDpi="600"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showOutlineSymbols="0" zoomScale="87" zoomScaleNormal="87" workbookViewId="0" topLeftCell="A1">
      <selection activeCell="G2" sqref="G2"/>
    </sheetView>
  </sheetViews>
  <sheetFormatPr defaultColWidth="8.88671875" defaultRowHeight="15"/>
  <cols>
    <col min="1" max="1" width="2.77734375" style="41" customWidth="1"/>
    <col min="2" max="2" width="23.77734375" style="41" customWidth="1"/>
    <col min="3" max="3" width="1.77734375" style="41" customWidth="1"/>
    <col min="4" max="6" width="12.77734375" style="41" customWidth="1"/>
    <col min="7" max="7" width="14.77734375" style="41" customWidth="1"/>
    <col min="8" max="8" width="12.77734375" style="41" customWidth="1"/>
    <col min="9" max="16384" width="9.77734375" style="41" customWidth="1"/>
  </cols>
  <sheetData>
    <row r="1" ht="15.75">
      <c r="G1" s="40" t="s">
        <v>341</v>
      </c>
    </row>
    <row r="2" spans="3:7" ht="15.75">
      <c r="C2" s="107"/>
      <c r="D2" s="107"/>
      <c r="E2" s="107"/>
      <c r="G2" s="40" t="s">
        <v>161</v>
      </c>
    </row>
    <row r="3" spans="3:7" ht="15.75">
      <c r="C3" s="107"/>
      <c r="D3" s="107"/>
      <c r="E3" s="107"/>
      <c r="G3" s="40" t="s">
        <v>130</v>
      </c>
    </row>
    <row r="5" spans="3:6" ht="15">
      <c r="C5" s="107"/>
      <c r="D5" s="107"/>
      <c r="E5" s="107"/>
      <c r="F5" s="107"/>
    </row>
    <row r="6" spans="3:6" ht="15">
      <c r="C6" s="107"/>
      <c r="D6" s="107"/>
      <c r="E6" s="107"/>
      <c r="F6" s="107"/>
    </row>
    <row r="7" spans="2:7" ht="20.25">
      <c r="B7" s="123" t="s">
        <v>145</v>
      </c>
      <c r="C7" s="111"/>
      <c r="D7" s="94"/>
      <c r="E7" s="111"/>
      <c r="F7" s="111"/>
      <c r="G7" s="94"/>
    </row>
    <row r="8" spans="3:6" ht="15">
      <c r="C8" s="107"/>
      <c r="D8" s="107"/>
      <c r="E8" s="107"/>
      <c r="F8" s="107"/>
    </row>
    <row r="10" spans="2:7" ht="15">
      <c r="B10" s="96"/>
      <c r="C10" s="96"/>
      <c r="D10" s="97" t="s">
        <v>97</v>
      </c>
      <c r="E10" s="97" t="s">
        <v>97</v>
      </c>
      <c r="F10" s="97" t="s">
        <v>97</v>
      </c>
      <c r="G10" s="97" t="s">
        <v>78</v>
      </c>
    </row>
    <row r="11" spans="2:7" ht="15">
      <c r="B11" s="98" t="s">
        <v>146</v>
      </c>
      <c r="D11" s="98" t="s">
        <v>98</v>
      </c>
      <c r="E11" s="98" t="s">
        <v>125</v>
      </c>
      <c r="F11" s="98" t="s">
        <v>157</v>
      </c>
      <c r="G11" s="98" t="s">
        <v>158</v>
      </c>
    </row>
    <row r="12" spans="2:7" ht="15">
      <c r="B12" s="99"/>
      <c r="C12" s="99"/>
      <c r="D12" s="99"/>
      <c r="E12" s="99"/>
      <c r="F12" s="99"/>
      <c r="G12" s="99"/>
    </row>
    <row r="13" ht="15">
      <c r="B13" s="41" t="s">
        <v>147</v>
      </c>
    </row>
    <row r="14" spans="2:7" ht="15">
      <c r="B14" s="41" t="s">
        <v>148</v>
      </c>
      <c r="D14" s="98">
        <v>2.7</v>
      </c>
      <c r="E14" s="121">
        <v>1.05</v>
      </c>
      <c r="F14" s="98" t="s">
        <v>141</v>
      </c>
      <c r="G14" s="98" t="s">
        <v>95</v>
      </c>
    </row>
    <row r="15" ht="15">
      <c r="E15" s="108"/>
    </row>
    <row r="16" spans="2:7" ht="15">
      <c r="B16" s="41" t="str">
        <f>+'Sch 12, p 2'!A14</f>
        <v>Value Line Natural Gas</v>
      </c>
      <c r="D16" s="124">
        <f>+'Sch 12, p 2'!C33</f>
        <v>2.1333333333333333</v>
      </c>
      <c r="E16" s="121">
        <f>+'Sch 12, p 2'!E33</f>
        <v>0.8599999999999999</v>
      </c>
      <c r="F16" s="98" t="str">
        <f>+'Sch 12, p 2'!G33</f>
        <v>B++</v>
      </c>
      <c r="G16" s="98" t="str">
        <f>+'Sch 12, p 2'!J33</f>
        <v>B+</v>
      </c>
    </row>
    <row r="17" spans="4:7" ht="15">
      <c r="D17" s="124"/>
      <c r="E17" s="121"/>
      <c r="F17" s="98"/>
      <c r="G17" s="98"/>
    </row>
    <row r="18" spans="2:7" ht="15">
      <c r="B18" s="41" t="str">
        <f>+'Sch 12, p 2'!A37</f>
        <v>Morin Electricity</v>
      </c>
      <c r="D18" s="124">
        <f>+'Sch 12, p 2'!C62</f>
        <v>2.15</v>
      </c>
      <c r="E18" s="121">
        <f>+'Sch 12, p 2'!E62</f>
        <v>0.8925000000000003</v>
      </c>
      <c r="F18" s="121" t="str">
        <f>+'Sch 12, p 2'!G62</f>
        <v>B++</v>
      </c>
      <c r="G18" s="121" t="str">
        <f>+'Sch 12, p 2'!J62</f>
        <v>B+</v>
      </c>
    </row>
    <row r="19" spans="4:7" ht="15">
      <c r="D19" s="124"/>
      <c r="E19" s="121"/>
      <c r="F19" s="121"/>
      <c r="G19" s="121"/>
    </row>
    <row r="20" spans="2:7" ht="15">
      <c r="B20" s="41" t="s">
        <v>227</v>
      </c>
      <c r="D20" s="124">
        <f>+'Sch 12, p 2'!C81</f>
        <v>1.9166666666666667</v>
      </c>
      <c r="E20" s="121">
        <f>+'Sch 12, p 2'!E81</f>
        <v>0.8333333333333335</v>
      </c>
      <c r="F20" s="121" t="str">
        <f>+'Sch 12, p 2'!G81</f>
        <v>B++</v>
      </c>
      <c r="G20" s="121" t="str">
        <f>+'Sch 12, p 2'!J81</f>
        <v>B+</v>
      </c>
    </row>
    <row r="21" spans="4:7" ht="15">
      <c r="D21" s="124"/>
      <c r="E21" s="121"/>
      <c r="F21" s="121"/>
      <c r="G21" s="121"/>
    </row>
    <row r="22" spans="2:7" ht="15">
      <c r="B22" s="41" t="str">
        <f>+'Sch 12, p 2'!A18</f>
        <v>Cascade Natural Gas</v>
      </c>
      <c r="D22" s="124">
        <f>+'Sch 12, p 2'!C18</f>
        <v>3</v>
      </c>
      <c r="E22" s="121">
        <f>+'Sch 12, p 2'!E18</f>
        <v>0.85</v>
      </c>
      <c r="F22" s="98" t="str">
        <f>+'Sch 12, p 2'!G18</f>
        <v>B+</v>
      </c>
      <c r="G22" s="132" t="str">
        <f>+'Sch 12, p 2'!J18</f>
        <v>B+</v>
      </c>
    </row>
    <row r="24" spans="2:7" ht="15">
      <c r="B24" s="99"/>
      <c r="C24" s="99"/>
      <c r="D24" s="99"/>
      <c r="E24" s="99"/>
      <c r="F24" s="99"/>
      <c r="G24" s="99"/>
    </row>
    <row r="25" ht="15">
      <c r="B25" s="41" t="s">
        <v>149</v>
      </c>
    </row>
    <row r="27" ht="15">
      <c r="B27" s="41" t="s">
        <v>150</v>
      </c>
    </row>
    <row r="29" ht="15">
      <c r="B29" s="41" t="s">
        <v>151</v>
      </c>
    </row>
    <row r="31" ht="15">
      <c r="B31" s="41" t="s">
        <v>152</v>
      </c>
    </row>
    <row r="32" ht="15">
      <c r="B32" s="41" t="s">
        <v>153</v>
      </c>
    </row>
    <row r="33" ht="15">
      <c r="B33" s="41" t="s">
        <v>154</v>
      </c>
    </row>
    <row r="35" ht="15">
      <c r="B35" s="41" t="s">
        <v>155</v>
      </c>
    </row>
    <row r="37" ht="15">
      <c r="B37" s="41" t="s">
        <v>156</v>
      </c>
    </row>
  </sheetData>
  <printOptions horizontalCentered="1"/>
  <pageMargins left="0.5" right="0.5" top="0.5" bottom="0.55" header="0" footer="0"/>
  <pageSetup fitToHeight="1" fitToWidth="1" horizontalDpi="600" verticalDpi="6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OutlineSymbols="0" zoomScale="87" zoomScaleNormal="87" workbookViewId="0" topLeftCell="A1">
      <selection activeCell="E15" sqref="E15"/>
    </sheetView>
  </sheetViews>
  <sheetFormatPr defaultColWidth="8.88671875" defaultRowHeight="15"/>
  <cols>
    <col min="1" max="1" width="23.77734375" style="27" customWidth="1"/>
    <col min="2" max="2" width="2.77734375" style="27" customWidth="1"/>
    <col min="3" max="3" width="12.77734375" style="27" customWidth="1"/>
    <col min="4" max="4" width="2.77734375" style="27" customWidth="1"/>
    <col min="5" max="5" width="12.77734375" style="27" customWidth="1"/>
    <col min="6" max="6" width="2.77734375" style="27" customWidth="1"/>
    <col min="7" max="7" width="12.77734375" style="27" customWidth="1"/>
    <col min="8" max="8" width="7.77734375" style="27" customWidth="1"/>
    <col min="9" max="9" width="2.77734375" style="27" customWidth="1"/>
    <col min="10" max="10" width="12.77734375" style="27" customWidth="1"/>
    <col min="11" max="16384" width="9.77734375" style="27" customWidth="1"/>
  </cols>
  <sheetData>
    <row r="1" ht="15.75">
      <c r="J1" s="2" t="str">
        <f>+'Sch 12, p1'!G1</f>
        <v>Exhibit No. ___ (DCP-13)</v>
      </c>
    </row>
    <row r="2" ht="15.75">
      <c r="J2" s="2" t="str">
        <f>+'Sch 12, p1'!G2</f>
        <v>Schedule 12</v>
      </c>
    </row>
    <row r="3" ht="15.75">
      <c r="J3" s="40" t="s">
        <v>128</v>
      </c>
    </row>
    <row r="5" spans="3:11" ht="18">
      <c r="C5" s="235" t="s">
        <v>145</v>
      </c>
      <c r="D5" s="235"/>
      <c r="E5" s="235"/>
      <c r="F5" s="235"/>
      <c r="G5" s="235"/>
      <c r="H5" s="235"/>
      <c r="I5" s="235"/>
      <c r="J5" s="235"/>
      <c r="K5" s="235"/>
    </row>
    <row r="8" spans="3:10" ht="15">
      <c r="C8" s="10"/>
      <c r="D8" s="10"/>
      <c r="E8" s="10"/>
      <c r="F8" s="10"/>
      <c r="G8" s="10" t="s">
        <v>97</v>
      </c>
      <c r="H8" s="10"/>
      <c r="I8" s="10"/>
      <c r="J8" s="10" t="s">
        <v>144</v>
      </c>
    </row>
    <row r="9" spans="3:10" ht="15">
      <c r="C9" s="10" t="s">
        <v>97</v>
      </c>
      <c r="D9" s="10"/>
      <c r="E9" s="10" t="s">
        <v>97</v>
      </c>
      <c r="F9" s="10"/>
      <c r="G9" s="10" t="s">
        <v>139</v>
      </c>
      <c r="H9" s="10"/>
      <c r="I9" s="10"/>
      <c r="J9" s="10" t="s">
        <v>84</v>
      </c>
    </row>
    <row r="10" spans="1:10" ht="15">
      <c r="A10" s="27" t="str">
        <f>'Sch 10, p 2'!A12</f>
        <v>COMPANY</v>
      </c>
      <c r="C10" s="10" t="s">
        <v>98</v>
      </c>
      <c r="D10" s="10"/>
      <c r="E10" s="10" t="s">
        <v>125</v>
      </c>
      <c r="F10" s="10"/>
      <c r="G10" s="10" t="s">
        <v>140</v>
      </c>
      <c r="H10" s="10"/>
      <c r="I10" s="10"/>
      <c r="J10" s="10" t="s">
        <v>94</v>
      </c>
    </row>
    <row r="11" spans="3:10" ht="15">
      <c r="C11" s="10"/>
      <c r="D11" s="10"/>
      <c r="E11" s="10"/>
      <c r="F11" s="10"/>
      <c r="G11" s="10"/>
      <c r="H11" s="10"/>
      <c r="I11" s="10"/>
      <c r="J11" s="10"/>
    </row>
    <row r="12" spans="1:11" ht="15">
      <c r="A12" s="28"/>
      <c r="B12" s="28"/>
      <c r="C12" s="30"/>
      <c r="D12" s="30"/>
      <c r="E12" s="30"/>
      <c r="F12" s="30"/>
      <c r="G12" s="30"/>
      <c r="H12" s="30"/>
      <c r="I12" s="30"/>
      <c r="J12" s="30"/>
      <c r="K12" s="28"/>
    </row>
    <row r="13" spans="3:10" ht="15">
      <c r="C13" s="10"/>
      <c r="D13" s="10"/>
      <c r="E13" s="10"/>
      <c r="F13" s="10"/>
      <c r="G13" s="10"/>
      <c r="H13" s="10"/>
      <c r="I13" s="10"/>
      <c r="J13" s="10"/>
    </row>
    <row r="14" spans="1:10" ht="15.75">
      <c r="A14" s="40" t="str">
        <f>+'Sch 10, p 2'!A16</f>
        <v>Value Line Natural Gas</v>
      </c>
      <c r="C14" s="10"/>
      <c r="D14" s="10"/>
      <c r="E14" s="10"/>
      <c r="F14" s="10"/>
      <c r="G14" s="10"/>
      <c r="H14" s="10"/>
      <c r="I14" s="10"/>
      <c r="J14" s="10"/>
    </row>
    <row r="15" spans="3:10" ht="15">
      <c r="C15" s="10"/>
      <c r="D15" s="10"/>
      <c r="E15" s="10"/>
      <c r="F15" s="10"/>
      <c r="G15" s="10"/>
      <c r="H15" s="10"/>
      <c r="I15" s="10"/>
      <c r="J15" s="10"/>
    </row>
    <row r="16" spans="1:11" ht="15">
      <c r="A16" s="27" t="str">
        <f>+'Sch 10, p 2'!A18</f>
        <v>AGL Resources</v>
      </c>
      <c r="C16" s="10">
        <v>2</v>
      </c>
      <c r="D16" s="10"/>
      <c r="E16" s="16">
        <v>0.95</v>
      </c>
      <c r="F16" s="10"/>
      <c r="G16" s="10" t="s">
        <v>141</v>
      </c>
      <c r="H16" s="16">
        <v>3.67</v>
      </c>
      <c r="I16" s="10"/>
      <c r="J16" s="23" t="s">
        <v>96</v>
      </c>
      <c r="K16" s="16">
        <v>3.67</v>
      </c>
    </row>
    <row r="17" spans="1:11" ht="15">
      <c r="A17" s="27" t="str">
        <f>+'Sch 10, p 2'!A19</f>
        <v>Atmos Energy</v>
      </c>
      <c r="C17" s="10">
        <v>2</v>
      </c>
      <c r="D17" s="10"/>
      <c r="E17" s="16">
        <v>0.75</v>
      </c>
      <c r="F17" s="10"/>
      <c r="G17" s="10" t="s">
        <v>95</v>
      </c>
      <c r="H17" s="16">
        <v>3.33</v>
      </c>
      <c r="I17" s="10"/>
      <c r="J17" s="23" t="s">
        <v>95</v>
      </c>
      <c r="K17" s="16">
        <v>3.33</v>
      </c>
    </row>
    <row r="18" spans="1:11" ht="15">
      <c r="A18" s="27" t="str">
        <f>+'Sch 10, p 2'!A20</f>
        <v>Cascade Natural Gas</v>
      </c>
      <c r="C18" s="10">
        <v>3</v>
      </c>
      <c r="D18" s="10"/>
      <c r="E18" s="16">
        <v>0.85</v>
      </c>
      <c r="F18" s="10"/>
      <c r="G18" s="10" t="s">
        <v>95</v>
      </c>
      <c r="H18" s="16">
        <v>3.33</v>
      </c>
      <c r="I18" s="10"/>
      <c r="J18" s="23" t="s">
        <v>95</v>
      </c>
      <c r="K18" s="16">
        <v>3.33</v>
      </c>
    </row>
    <row r="19" spans="1:11" ht="15">
      <c r="A19" s="27" t="str">
        <f>+'Sch 10, p 2'!A21</f>
        <v>Energen</v>
      </c>
      <c r="C19" s="10">
        <v>3</v>
      </c>
      <c r="D19" s="10"/>
      <c r="E19" s="16">
        <v>0.85</v>
      </c>
      <c r="F19" s="10"/>
      <c r="G19" s="10" t="s">
        <v>141</v>
      </c>
      <c r="H19" s="16">
        <v>3.67</v>
      </c>
      <c r="I19" s="10"/>
      <c r="J19" s="23" t="s">
        <v>245</v>
      </c>
      <c r="K19" s="16">
        <v>4</v>
      </c>
    </row>
    <row r="20" spans="1:11" ht="15">
      <c r="A20" s="27" t="str">
        <f>+'Sch 10, p 2'!A22</f>
        <v>Keyspan </v>
      </c>
      <c r="C20" s="10">
        <v>2</v>
      </c>
      <c r="D20" s="10"/>
      <c r="E20" s="16">
        <v>0.9</v>
      </c>
      <c r="F20" s="10"/>
      <c r="G20" s="10" t="s">
        <v>141</v>
      </c>
      <c r="H20" s="16">
        <v>3.67</v>
      </c>
      <c r="I20" s="10"/>
      <c r="J20" s="23" t="s">
        <v>228</v>
      </c>
      <c r="K20" s="16">
        <v>3</v>
      </c>
    </row>
    <row r="21" spans="1:11" ht="15">
      <c r="A21" s="27" t="str">
        <f>+'Sch 10, p 2'!A23</f>
        <v>Laclede Group</v>
      </c>
      <c r="C21" s="10">
        <v>2</v>
      </c>
      <c r="D21" s="10"/>
      <c r="E21" s="16">
        <v>0.85</v>
      </c>
      <c r="F21" s="10"/>
      <c r="G21" s="10" t="s">
        <v>95</v>
      </c>
      <c r="H21" s="16">
        <v>3.33</v>
      </c>
      <c r="I21" s="10"/>
      <c r="J21" s="23" t="s">
        <v>95</v>
      </c>
      <c r="K21" s="16">
        <v>3.33</v>
      </c>
    </row>
    <row r="22" spans="1:11" ht="15">
      <c r="A22" s="27" t="str">
        <f>+'Sch 10, p 2'!A24</f>
        <v>New Jersey Resources</v>
      </c>
      <c r="C22" s="10">
        <v>2</v>
      </c>
      <c r="D22" s="10"/>
      <c r="E22" s="16">
        <v>0.8</v>
      </c>
      <c r="F22" s="10"/>
      <c r="G22" s="10" t="s">
        <v>141</v>
      </c>
      <c r="H22" s="16">
        <v>3.67</v>
      </c>
      <c r="I22" s="10"/>
      <c r="J22" s="23" t="s">
        <v>143</v>
      </c>
      <c r="K22" s="16">
        <v>4</v>
      </c>
    </row>
    <row r="23" spans="1:11" ht="15">
      <c r="A23" s="27" t="str">
        <f>+'Sch 10, p 2'!A25</f>
        <v>NICOR</v>
      </c>
      <c r="C23" s="10">
        <v>3</v>
      </c>
      <c r="D23" s="10"/>
      <c r="E23" s="16">
        <v>1.2</v>
      </c>
      <c r="F23" s="10"/>
      <c r="G23" s="10" t="s">
        <v>143</v>
      </c>
      <c r="H23" s="16">
        <v>4</v>
      </c>
      <c r="I23" s="10"/>
      <c r="J23" s="23" t="s">
        <v>142</v>
      </c>
      <c r="K23" s="16">
        <v>3</v>
      </c>
    </row>
    <row r="24" spans="1:11" ht="15">
      <c r="A24" s="27" t="str">
        <f>+'Sch 10, p 2'!A26</f>
        <v>Northwest Natural Gas</v>
      </c>
      <c r="C24" s="10">
        <v>1</v>
      </c>
      <c r="D24" s="10"/>
      <c r="E24" s="16">
        <v>0.75</v>
      </c>
      <c r="F24" s="10"/>
      <c r="G24" s="10" t="s">
        <v>143</v>
      </c>
      <c r="H24" s="16">
        <v>4</v>
      </c>
      <c r="I24" s="10"/>
      <c r="J24" s="23" t="s">
        <v>95</v>
      </c>
      <c r="K24" s="16">
        <v>3.33</v>
      </c>
    </row>
    <row r="25" spans="1:11" ht="15">
      <c r="A25" s="27" t="str">
        <f>+'Sch 10, p 2'!A27</f>
        <v>Peoples Energy</v>
      </c>
      <c r="C25" s="10">
        <v>2</v>
      </c>
      <c r="D25" s="10"/>
      <c r="E25" s="16">
        <v>0.9</v>
      </c>
      <c r="F25" s="10"/>
      <c r="G25" s="10" t="s">
        <v>141</v>
      </c>
      <c r="H25" s="16">
        <v>3.67</v>
      </c>
      <c r="I25" s="10"/>
      <c r="J25" s="23" t="s">
        <v>142</v>
      </c>
      <c r="K25" s="16">
        <v>3</v>
      </c>
    </row>
    <row r="26" spans="1:11" ht="15">
      <c r="A26" s="27" t="str">
        <f>+'Sch 10, p 2'!A28</f>
        <v>Piedmont Natural Gas</v>
      </c>
      <c r="C26" s="10">
        <v>2</v>
      </c>
      <c r="D26" s="10"/>
      <c r="E26" s="16">
        <v>0.85</v>
      </c>
      <c r="F26" s="10"/>
      <c r="G26" s="10" t="s">
        <v>141</v>
      </c>
      <c r="H26" s="16">
        <v>3.67</v>
      </c>
      <c r="I26" s="10"/>
      <c r="J26" s="23" t="s">
        <v>96</v>
      </c>
      <c r="K26" s="16">
        <v>3.67</v>
      </c>
    </row>
    <row r="27" spans="1:11" ht="15">
      <c r="A27" s="27" t="str">
        <f>+'Sch 10, p 2'!A29</f>
        <v>South Jersey Industries</v>
      </c>
      <c r="C27" s="10">
        <v>2</v>
      </c>
      <c r="D27" s="10"/>
      <c r="E27" s="16">
        <v>0.7</v>
      </c>
      <c r="F27" s="10"/>
      <c r="G27" s="10" t="s">
        <v>141</v>
      </c>
      <c r="H27" s="16">
        <v>3.67</v>
      </c>
      <c r="I27" s="10"/>
      <c r="J27" s="23" t="s">
        <v>95</v>
      </c>
      <c r="K27" s="16">
        <v>3.33</v>
      </c>
    </row>
    <row r="28" spans="1:11" ht="15">
      <c r="A28" s="27" t="str">
        <f>+'Sch 10, p 2'!A30</f>
        <v>Southwest Gas</v>
      </c>
      <c r="C28" s="10">
        <v>3</v>
      </c>
      <c r="D28" s="10"/>
      <c r="E28" s="16">
        <v>0.85</v>
      </c>
      <c r="F28" s="10"/>
      <c r="G28" s="10" t="s">
        <v>142</v>
      </c>
      <c r="H28" s="16">
        <v>3</v>
      </c>
      <c r="I28" s="10"/>
      <c r="J28" s="23" t="s">
        <v>95</v>
      </c>
      <c r="K28" s="16">
        <v>3.33</v>
      </c>
    </row>
    <row r="29" spans="1:11" ht="15">
      <c r="A29" s="27" t="str">
        <f>+'Sch 10, p 2'!A31</f>
        <v>UGI </v>
      </c>
      <c r="C29" s="10">
        <v>2</v>
      </c>
      <c r="D29" s="10"/>
      <c r="E29" s="16">
        <v>0.9</v>
      </c>
      <c r="F29" s="10"/>
      <c r="G29" s="10" t="s">
        <v>95</v>
      </c>
      <c r="H29" s="16">
        <v>3.33</v>
      </c>
      <c r="I29" s="10"/>
      <c r="J29" s="23" t="s">
        <v>143</v>
      </c>
      <c r="K29" s="16">
        <v>4</v>
      </c>
    </row>
    <row r="30" spans="1:11" ht="15">
      <c r="A30" s="27" t="str">
        <f>+'Sch 10, p 2'!A32</f>
        <v>WGL Holdings</v>
      </c>
      <c r="C30" s="10">
        <v>1</v>
      </c>
      <c r="D30" s="10"/>
      <c r="E30" s="16">
        <v>0.8</v>
      </c>
      <c r="F30" s="10"/>
      <c r="G30" s="10" t="s">
        <v>143</v>
      </c>
      <c r="H30" s="16">
        <v>4</v>
      </c>
      <c r="I30" s="10"/>
      <c r="J30" s="23" t="s">
        <v>95</v>
      </c>
      <c r="K30" s="16">
        <v>3.33</v>
      </c>
    </row>
    <row r="31" spans="1:11" ht="15">
      <c r="A31" s="52"/>
      <c r="B31" s="52"/>
      <c r="C31" s="71"/>
      <c r="D31" s="71"/>
      <c r="E31" s="68"/>
      <c r="F31" s="71"/>
      <c r="G31" s="71"/>
      <c r="H31" s="68"/>
      <c r="I31" s="71"/>
      <c r="J31" s="71"/>
      <c r="K31" s="68"/>
    </row>
    <row r="32" spans="3:11" ht="15">
      <c r="C32" s="10"/>
      <c r="D32" s="10"/>
      <c r="E32" s="16"/>
      <c r="F32" s="10"/>
      <c r="G32" s="10"/>
      <c r="H32" s="16"/>
      <c r="I32" s="10"/>
      <c r="J32" s="10"/>
      <c r="K32" s="16"/>
    </row>
    <row r="33" spans="1:11" ht="15">
      <c r="A33" s="27" t="s">
        <v>108</v>
      </c>
      <c r="C33" s="31">
        <f>AVERAGE(C16:C30)</f>
        <v>2.1333333333333333</v>
      </c>
      <c r="D33" s="10"/>
      <c r="E33" s="16">
        <f>AVERAGE(E16:E30)</f>
        <v>0.8599999999999999</v>
      </c>
      <c r="F33" s="10"/>
      <c r="G33" s="10" t="s">
        <v>141</v>
      </c>
      <c r="H33" s="16">
        <f>AVERAGE(H16:H30)</f>
        <v>3.600666666666667</v>
      </c>
      <c r="I33" s="10"/>
      <c r="J33" s="10" t="s">
        <v>95</v>
      </c>
      <c r="K33" s="16">
        <f>AVERAGE(K16:K30)</f>
        <v>3.443333333333333</v>
      </c>
    </row>
    <row r="34" spans="1:11" ht="15.75" thickBot="1">
      <c r="A34" s="55"/>
      <c r="B34" s="55"/>
      <c r="C34" s="78"/>
      <c r="D34" s="78"/>
      <c r="E34" s="70"/>
      <c r="F34" s="78"/>
      <c r="G34" s="78"/>
      <c r="H34" s="70"/>
      <c r="I34" s="78"/>
      <c r="J34" s="78"/>
      <c r="K34" s="70"/>
    </row>
    <row r="35" spans="3:11" ht="15.75" thickTop="1">
      <c r="C35" s="10"/>
      <c r="D35" s="10"/>
      <c r="E35" s="16"/>
      <c r="F35" s="10"/>
      <c r="G35" s="10"/>
      <c r="H35" s="16"/>
      <c r="I35" s="10"/>
      <c r="J35" s="10"/>
      <c r="K35" s="16"/>
    </row>
    <row r="36" spans="3:11" ht="15">
      <c r="C36" s="10"/>
      <c r="D36" s="10"/>
      <c r="E36" s="16"/>
      <c r="F36" s="10"/>
      <c r="G36" s="10"/>
      <c r="H36" s="16"/>
      <c r="I36" s="10"/>
      <c r="J36" s="10"/>
      <c r="K36" s="16"/>
    </row>
    <row r="37" spans="1:11" ht="15.75">
      <c r="A37" s="40" t="str">
        <f>+'Sch 10, p 2'!A42</f>
        <v>Morin Electricity</v>
      </c>
      <c r="C37" s="10"/>
      <c r="D37" s="10"/>
      <c r="E37" s="16"/>
      <c r="F37" s="10"/>
      <c r="G37" s="10"/>
      <c r="H37" s="16"/>
      <c r="I37" s="10"/>
      <c r="J37" s="10"/>
      <c r="K37" s="16"/>
    </row>
    <row r="38" spans="1:11" ht="15.75">
      <c r="A38" s="40" t="str">
        <f>+'Sch 10, p 2'!A43</f>
        <v>Distribution Companies</v>
      </c>
      <c r="C38" s="10"/>
      <c r="D38" s="10"/>
      <c r="E38" s="16"/>
      <c r="F38" s="10"/>
      <c r="G38" s="10"/>
      <c r="H38" s="16"/>
      <c r="I38" s="10"/>
      <c r="J38" s="10"/>
      <c r="K38" s="16"/>
    </row>
    <row r="39" spans="1:11" ht="15.75">
      <c r="A39" s="40"/>
      <c r="C39" s="10"/>
      <c r="D39" s="10"/>
      <c r="E39" s="16"/>
      <c r="F39" s="10"/>
      <c r="G39" s="10"/>
      <c r="H39" s="16"/>
      <c r="I39" s="10"/>
      <c r="J39" s="10"/>
      <c r="K39" s="16"/>
    </row>
    <row r="40" spans="1:11" ht="15">
      <c r="A40" s="41" t="str">
        <f>+'Sch 10, p 2'!A45</f>
        <v>American Electric Power</v>
      </c>
      <c r="C40" s="10">
        <v>3</v>
      </c>
      <c r="D40" s="10"/>
      <c r="E40" s="16">
        <v>1.25</v>
      </c>
      <c r="F40" s="10"/>
      <c r="G40" s="10" t="s">
        <v>141</v>
      </c>
      <c r="H40" s="16">
        <v>3.67</v>
      </c>
      <c r="I40" s="10"/>
      <c r="J40" s="10" t="s">
        <v>142</v>
      </c>
      <c r="K40" s="16">
        <v>3</v>
      </c>
    </row>
    <row r="41" spans="1:11" ht="15">
      <c r="A41" s="41" t="str">
        <f>+'Sch 10, p 2'!A46</f>
        <v>Ameren Corp.</v>
      </c>
      <c r="C41" s="10">
        <v>1</v>
      </c>
      <c r="D41" s="10"/>
      <c r="E41" s="16">
        <v>0.75</v>
      </c>
      <c r="F41" s="10"/>
      <c r="G41" s="10" t="s">
        <v>175</v>
      </c>
      <c r="H41" s="16">
        <v>4.33</v>
      </c>
      <c r="I41" s="10"/>
      <c r="J41" s="10" t="s">
        <v>96</v>
      </c>
      <c r="K41" s="16">
        <v>3.67</v>
      </c>
    </row>
    <row r="42" spans="1:11" ht="15">
      <c r="A42" s="41" t="str">
        <f>+'Sch 10, p 2'!A47</f>
        <v>CenterPoint Energy</v>
      </c>
      <c r="C42" s="10">
        <v>3</v>
      </c>
      <c r="D42" s="10"/>
      <c r="E42" s="16">
        <v>0.65</v>
      </c>
      <c r="F42" s="10"/>
      <c r="G42" s="10" t="s">
        <v>142</v>
      </c>
      <c r="H42" s="16">
        <v>3</v>
      </c>
      <c r="I42" s="10"/>
      <c r="J42" s="10" t="s">
        <v>142</v>
      </c>
      <c r="K42" s="16">
        <v>3</v>
      </c>
    </row>
    <row r="43" spans="1:11" ht="15">
      <c r="A43" s="41" t="str">
        <f>+'Sch 10, p 2'!A48</f>
        <v>CH Energy Group</v>
      </c>
      <c r="C43" s="10">
        <v>1</v>
      </c>
      <c r="D43" s="10"/>
      <c r="E43" s="16">
        <v>0.85</v>
      </c>
      <c r="F43" s="10"/>
      <c r="G43" s="10" t="s">
        <v>245</v>
      </c>
      <c r="H43" s="16">
        <v>4</v>
      </c>
      <c r="I43" s="10"/>
      <c r="J43" s="10" t="s">
        <v>96</v>
      </c>
      <c r="K43" s="16">
        <v>3.67</v>
      </c>
    </row>
    <row r="44" spans="1:11" ht="15">
      <c r="A44" s="41" t="str">
        <f>+'Sch 10, p 2'!A49</f>
        <v>Consolidated Edison</v>
      </c>
      <c r="C44" s="10">
        <v>1</v>
      </c>
      <c r="D44" s="10"/>
      <c r="E44" s="16">
        <v>0.7</v>
      </c>
      <c r="F44" s="10"/>
      <c r="G44" s="10" t="s">
        <v>246</v>
      </c>
      <c r="H44" s="16">
        <v>4.67</v>
      </c>
      <c r="I44" s="10"/>
      <c r="J44" s="10" t="s">
        <v>95</v>
      </c>
      <c r="K44" s="16">
        <v>3.33</v>
      </c>
    </row>
    <row r="45" spans="1:11" ht="15">
      <c r="A45" s="41" t="str">
        <f>+'Sch 10, p 2'!A50</f>
        <v>Constellation Energy</v>
      </c>
      <c r="C45" s="10">
        <v>2</v>
      </c>
      <c r="D45" s="10"/>
      <c r="E45" s="16">
        <v>1.05</v>
      </c>
      <c r="F45" s="10"/>
      <c r="G45" s="10" t="s">
        <v>143</v>
      </c>
      <c r="H45" s="16">
        <v>4</v>
      </c>
      <c r="I45" s="10"/>
      <c r="J45" s="10" t="s">
        <v>142</v>
      </c>
      <c r="K45" s="16">
        <v>3</v>
      </c>
    </row>
    <row r="46" spans="1:11" ht="15">
      <c r="A46" s="41" t="str">
        <f>+'Sch 10, p 2'!A51</f>
        <v>Duquesne Light Holdings</v>
      </c>
      <c r="C46" s="10">
        <v>4</v>
      </c>
      <c r="D46" s="10"/>
      <c r="E46" s="16">
        <v>0.9</v>
      </c>
      <c r="F46" s="10"/>
      <c r="G46" s="10" t="s">
        <v>142</v>
      </c>
      <c r="H46" s="16">
        <v>3</v>
      </c>
      <c r="I46" s="10"/>
      <c r="J46" s="23" t="s">
        <v>142</v>
      </c>
      <c r="K46" s="16">
        <v>3</v>
      </c>
    </row>
    <row r="47" spans="1:11" ht="15">
      <c r="A47" s="41" t="str">
        <f>+'Sch 10, p 2'!A52</f>
        <v>Energy East Corp.</v>
      </c>
      <c r="C47" s="10">
        <v>2</v>
      </c>
      <c r="D47" s="10"/>
      <c r="E47" s="16">
        <v>0.9</v>
      </c>
      <c r="F47" s="10"/>
      <c r="G47" s="10" t="s">
        <v>141</v>
      </c>
      <c r="H47" s="16">
        <v>3.67</v>
      </c>
      <c r="I47" s="10"/>
      <c r="J47" s="10" t="s">
        <v>95</v>
      </c>
      <c r="K47" s="16">
        <v>3.33</v>
      </c>
    </row>
    <row r="48" spans="1:11" ht="15">
      <c r="A48" s="41" t="str">
        <f>+'Sch 10, p 2'!A53</f>
        <v>Exelon</v>
      </c>
      <c r="C48" s="10">
        <v>1</v>
      </c>
      <c r="D48" s="10"/>
      <c r="E48" s="16">
        <v>0.85</v>
      </c>
      <c r="F48" s="10"/>
      <c r="G48" s="10" t="s">
        <v>175</v>
      </c>
      <c r="H48" s="16">
        <v>4.33</v>
      </c>
      <c r="I48" s="10"/>
      <c r="J48" s="10" t="s">
        <v>95</v>
      </c>
      <c r="K48" s="16">
        <v>3.33</v>
      </c>
    </row>
    <row r="49" spans="1:11" ht="15">
      <c r="A49" s="41" t="str">
        <f>+'Sch 10, p 2'!A54</f>
        <v>FirstEnergy Corp.</v>
      </c>
      <c r="C49" s="10">
        <v>2</v>
      </c>
      <c r="D49" s="10"/>
      <c r="E49" s="16">
        <v>0.8</v>
      </c>
      <c r="F49" s="10"/>
      <c r="G49" s="10" t="s">
        <v>143</v>
      </c>
      <c r="H49" s="16">
        <v>4</v>
      </c>
      <c r="I49" s="10"/>
      <c r="J49" s="10" t="s">
        <v>95</v>
      </c>
      <c r="K49" s="16">
        <v>3.33</v>
      </c>
    </row>
    <row r="50" spans="1:11" ht="15">
      <c r="A50" s="41" t="str">
        <f>+'Sch 10, p 2'!A55</f>
        <v>Northeast Utilities</v>
      </c>
      <c r="C50" s="10">
        <v>3</v>
      </c>
      <c r="D50" s="10"/>
      <c r="E50" s="16">
        <v>0.85</v>
      </c>
      <c r="F50" s="10"/>
      <c r="G50" s="10" t="s">
        <v>95</v>
      </c>
      <c r="H50" s="16">
        <v>3.33</v>
      </c>
      <c r="I50" s="10"/>
      <c r="J50" s="10" t="s">
        <v>142</v>
      </c>
      <c r="K50" s="16">
        <v>3</v>
      </c>
    </row>
    <row r="51" spans="1:11" ht="15">
      <c r="A51" s="41" t="str">
        <f>+'Sch 10, p 2'!A56</f>
        <v>NSTAR</v>
      </c>
      <c r="C51" s="10">
        <v>1</v>
      </c>
      <c r="D51" s="10"/>
      <c r="E51" s="16">
        <v>0.8</v>
      </c>
      <c r="F51" s="10"/>
      <c r="G51" s="10" t="s">
        <v>143</v>
      </c>
      <c r="H51" s="16">
        <v>4</v>
      </c>
      <c r="I51" s="10"/>
      <c r="J51" s="10" t="s">
        <v>96</v>
      </c>
      <c r="K51" s="16">
        <v>3.67</v>
      </c>
    </row>
    <row r="52" spans="1:11" ht="15">
      <c r="A52" s="41" t="str">
        <f>+'Sch 10, p 2'!A57</f>
        <v>PEPCO Holdings</v>
      </c>
      <c r="C52" s="10">
        <v>3</v>
      </c>
      <c r="D52" s="10"/>
      <c r="E52" s="16">
        <v>0.9</v>
      </c>
      <c r="F52" s="10"/>
      <c r="G52" s="10" t="s">
        <v>142</v>
      </c>
      <c r="H52" s="16">
        <v>3</v>
      </c>
      <c r="I52" s="10"/>
      <c r="J52" s="10" t="s">
        <v>142</v>
      </c>
      <c r="K52" s="16">
        <v>3</v>
      </c>
    </row>
    <row r="53" spans="1:11" ht="15">
      <c r="A53" s="41" t="str">
        <f>+'Sch 10, p 2'!A58</f>
        <v>PPL Corp</v>
      </c>
      <c r="C53" s="10">
        <v>2</v>
      </c>
      <c r="D53" s="10"/>
      <c r="E53" s="16">
        <v>1.05</v>
      </c>
      <c r="F53" s="10"/>
      <c r="G53" s="10" t="s">
        <v>141</v>
      </c>
      <c r="H53" s="16">
        <v>3.67</v>
      </c>
      <c r="I53" s="10"/>
      <c r="J53" s="10" t="s">
        <v>142</v>
      </c>
      <c r="K53" s="16">
        <v>3</v>
      </c>
    </row>
    <row r="54" spans="1:11" ht="15">
      <c r="A54" s="41" t="str">
        <f>+'Sch 10, p 2'!A59</f>
        <v>Public Service Enter. Group</v>
      </c>
      <c r="C54" s="10">
        <v>3</v>
      </c>
      <c r="D54" s="10"/>
      <c r="E54" s="16">
        <v>0.95</v>
      </c>
      <c r="F54" s="10"/>
      <c r="G54" s="10" t="s">
        <v>95</v>
      </c>
      <c r="H54" s="16">
        <v>3.33</v>
      </c>
      <c r="I54" s="10"/>
      <c r="J54" s="10" t="s">
        <v>95</v>
      </c>
      <c r="K54" s="16">
        <v>3.33</v>
      </c>
    </row>
    <row r="55" spans="1:11" ht="15">
      <c r="A55" s="41" t="str">
        <f>+'Sch 10, p 2'!A60</f>
        <v>SCANA Corp.</v>
      </c>
      <c r="C55" s="10">
        <v>2</v>
      </c>
      <c r="D55" s="10"/>
      <c r="E55" s="16">
        <v>0.8</v>
      </c>
      <c r="F55" s="10"/>
      <c r="G55" s="10" t="s">
        <v>143</v>
      </c>
      <c r="H55" s="16">
        <v>4</v>
      </c>
      <c r="I55" s="10"/>
      <c r="J55" s="10" t="s">
        <v>142</v>
      </c>
      <c r="K55" s="16">
        <v>3</v>
      </c>
    </row>
    <row r="56" spans="1:11" ht="15">
      <c r="A56" s="41" t="str">
        <f>+'Sch 10, p 2'!A61</f>
        <v>Sempra Energy</v>
      </c>
      <c r="C56" s="10">
        <v>2</v>
      </c>
      <c r="D56" s="10"/>
      <c r="E56" s="16">
        <v>1.05</v>
      </c>
      <c r="F56" s="10"/>
      <c r="G56" s="10" t="s">
        <v>143</v>
      </c>
      <c r="H56" s="16">
        <v>4</v>
      </c>
      <c r="I56" s="10"/>
      <c r="J56" s="10" t="s">
        <v>142</v>
      </c>
      <c r="K56" s="16">
        <v>3</v>
      </c>
    </row>
    <row r="57" spans="1:11" ht="15">
      <c r="A57" s="41" t="str">
        <f>+'Sch 10, p 2'!A62</f>
        <v>TXU Corp.</v>
      </c>
      <c r="C57" s="10">
        <f>+C19</f>
        <v>3</v>
      </c>
      <c r="D57" s="10"/>
      <c r="E57" s="16">
        <v>1.1</v>
      </c>
      <c r="F57" s="10"/>
      <c r="G57" s="16" t="s">
        <v>142</v>
      </c>
      <c r="H57" s="16">
        <v>3</v>
      </c>
      <c r="I57" s="10"/>
      <c r="J57" s="10" t="s">
        <v>142</v>
      </c>
      <c r="K57" s="16">
        <v>3</v>
      </c>
    </row>
    <row r="58" spans="1:11" ht="15">
      <c r="A58" s="41" t="str">
        <f>+'Sch 10, p 2'!A63</f>
        <v>Vectren Corp.</v>
      </c>
      <c r="C58" s="10">
        <v>2</v>
      </c>
      <c r="D58" s="10"/>
      <c r="E58" s="16">
        <v>0.85</v>
      </c>
      <c r="F58" s="10"/>
      <c r="G58" s="10" t="s">
        <v>143</v>
      </c>
      <c r="H58" s="16">
        <v>4</v>
      </c>
      <c r="I58" s="10"/>
      <c r="J58" s="10" t="s">
        <v>95</v>
      </c>
      <c r="K58" s="16">
        <v>3.33</v>
      </c>
    </row>
    <row r="59" spans="1:11" ht="15">
      <c r="A59" s="41" t="str">
        <f>+'Sch 10, p 2'!A64</f>
        <v>Wisconsin Energy</v>
      </c>
      <c r="C59" s="10">
        <v>2</v>
      </c>
      <c r="D59" s="10"/>
      <c r="E59" s="16">
        <v>0.8</v>
      </c>
      <c r="F59" s="10"/>
      <c r="G59" s="10" t="s">
        <v>141</v>
      </c>
      <c r="H59" s="16">
        <v>3.67</v>
      </c>
      <c r="I59" s="10"/>
      <c r="J59" s="10" t="s">
        <v>142</v>
      </c>
      <c r="K59" s="16">
        <v>3</v>
      </c>
    </row>
    <row r="60" spans="1:11" ht="15">
      <c r="A60" s="52"/>
      <c r="B60" s="52"/>
      <c r="C60" s="71"/>
      <c r="D60" s="71"/>
      <c r="E60" s="68"/>
      <c r="F60" s="71"/>
      <c r="G60" s="71"/>
      <c r="H60" s="68"/>
      <c r="I60" s="71"/>
      <c r="J60" s="71"/>
      <c r="K60" s="68"/>
    </row>
    <row r="61" ht="15">
      <c r="C61" s="10"/>
    </row>
    <row r="62" spans="1:11" ht="15">
      <c r="A62" s="27" t="s">
        <v>108</v>
      </c>
      <c r="C62" s="31">
        <f>AVERAGE(C40:C59)</f>
        <v>2.15</v>
      </c>
      <c r="E62" s="82">
        <f>AVERAGE(E40:E59)</f>
        <v>0.8925000000000003</v>
      </c>
      <c r="G62" s="83" t="s">
        <v>141</v>
      </c>
      <c r="H62" s="82">
        <f>AVERAGE(H40:H59)</f>
        <v>3.7335000000000003</v>
      </c>
      <c r="J62" s="83" t="s">
        <v>95</v>
      </c>
      <c r="K62" s="82">
        <f>AVERAGE(K40:K59)</f>
        <v>3.1994999999999996</v>
      </c>
    </row>
    <row r="63" spans="1:11" ht="15.75" thickBot="1">
      <c r="A63" s="55"/>
      <c r="B63" s="55"/>
      <c r="C63" s="90"/>
      <c r="D63" s="55"/>
      <c r="E63" s="91"/>
      <c r="F63" s="55"/>
      <c r="G63" s="55"/>
      <c r="H63" s="91"/>
      <c r="I63" s="55"/>
      <c r="J63" s="92"/>
      <c r="K63" s="91"/>
    </row>
    <row r="64" spans="3:11" ht="15.75" thickTop="1">
      <c r="C64" s="31"/>
      <c r="E64" s="82"/>
      <c r="H64" s="82"/>
      <c r="J64" s="83"/>
      <c r="K64" s="82"/>
    </row>
    <row r="65" spans="1:3" ht="15.75">
      <c r="A65" s="40" t="str">
        <f>+'Sch 7, p1'!A67</f>
        <v>Morin Natural Gas Utilities</v>
      </c>
      <c r="C65" s="10"/>
    </row>
    <row r="66" ht="15">
      <c r="C66" s="10"/>
    </row>
    <row r="67" spans="1:11" ht="15">
      <c r="A67" s="27" t="str">
        <f>+'Sch 10, p 2'!A75</f>
        <v>AGL Resources</v>
      </c>
      <c r="C67" s="10">
        <f>+C16</f>
        <v>2</v>
      </c>
      <c r="E67" s="16">
        <f>+E16</f>
        <v>0.95</v>
      </c>
      <c r="F67" s="82"/>
      <c r="G67" s="16" t="str">
        <f>+G16</f>
        <v>B++</v>
      </c>
      <c r="H67" s="16">
        <f>+H16</f>
        <v>3.67</v>
      </c>
      <c r="J67" s="16" t="str">
        <f>+J16</f>
        <v>A-</v>
      </c>
      <c r="K67" s="16">
        <f>+K16</f>
        <v>3.67</v>
      </c>
    </row>
    <row r="68" spans="1:12" ht="15">
      <c r="A68" s="27" t="str">
        <f>+'Sch 10, p 2'!A76</f>
        <v>Atmos Energy</v>
      </c>
      <c r="C68" s="33">
        <f>+C17</f>
        <v>2</v>
      </c>
      <c r="E68" s="82">
        <f>+E17</f>
        <v>0.75</v>
      </c>
      <c r="G68" s="82" t="str">
        <f>+G17</f>
        <v>B+</v>
      </c>
      <c r="H68" s="82">
        <f>+H17</f>
        <v>3.33</v>
      </c>
      <c r="I68" s="82"/>
      <c r="J68" s="82" t="str">
        <f>+J17</f>
        <v>B+</v>
      </c>
      <c r="K68" s="82">
        <f>+K17</f>
        <v>3.33</v>
      </c>
      <c r="L68" s="82"/>
    </row>
    <row r="69" spans="1:12" ht="15">
      <c r="A69" s="27" t="str">
        <f>+'Sch 10, p 2'!A77</f>
        <v>KeySpan Corp.</v>
      </c>
      <c r="C69" s="10">
        <f>+C20</f>
        <v>2</v>
      </c>
      <c r="E69" s="16">
        <f>+E20</f>
        <v>0.9</v>
      </c>
      <c r="F69" s="82"/>
      <c r="G69" s="16" t="str">
        <f aca="true" t="shared" si="0" ref="G69:H71">+G20</f>
        <v>B++</v>
      </c>
      <c r="H69" s="16">
        <f t="shared" si="0"/>
        <v>3.67</v>
      </c>
      <c r="I69" s="82"/>
      <c r="J69" s="16" t="str">
        <f aca="true" t="shared" si="1" ref="J69:K71">+J20</f>
        <v>B </v>
      </c>
      <c r="K69" s="16">
        <f t="shared" si="1"/>
        <v>3</v>
      </c>
      <c r="L69" s="82"/>
    </row>
    <row r="70" spans="1:12" ht="15">
      <c r="A70" s="27" t="str">
        <f>+'Sch 10, p 2'!A78</f>
        <v>Laclede Group</v>
      </c>
      <c r="C70" s="33">
        <f>+C21</f>
        <v>2</v>
      </c>
      <c r="E70" s="82">
        <f>+E21</f>
        <v>0.85</v>
      </c>
      <c r="F70" s="82"/>
      <c r="G70" s="82" t="str">
        <f t="shared" si="0"/>
        <v>B+</v>
      </c>
      <c r="H70" s="82">
        <f t="shared" si="0"/>
        <v>3.33</v>
      </c>
      <c r="I70" s="82"/>
      <c r="J70" s="82" t="str">
        <f t="shared" si="1"/>
        <v>B+</v>
      </c>
      <c r="K70" s="82">
        <f t="shared" si="1"/>
        <v>3.33</v>
      </c>
      <c r="L70" s="82"/>
    </row>
    <row r="71" spans="1:12" ht="15">
      <c r="A71" s="27" t="str">
        <f>+'Sch 10, p 2'!A79</f>
        <v>New Jersey Resources</v>
      </c>
      <c r="C71" s="33">
        <f>+C22</f>
        <v>2</v>
      </c>
      <c r="E71" s="82">
        <f>+E22</f>
        <v>0.8</v>
      </c>
      <c r="F71" s="82"/>
      <c r="G71" s="82" t="str">
        <f t="shared" si="0"/>
        <v>B++</v>
      </c>
      <c r="H71" s="82">
        <f t="shared" si="0"/>
        <v>3.67</v>
      </c>
      <c r="I71" s="82"/>
      <c r="J71" s="82" t="str">
        <f t="shared" si="1"/>
        <v>A</v>
      </c>
      <c r="K71" s="82">
        <f t="shared" si="1"/>
        <v>4</v>
      </c>
      <c r="L71" s="82"/>
    </row>
    <row r="72" spans="1:12" ht="15">
      <c r="A72" s="27" t="str">
        <f>+'Sch 10, p 2'!A80</f>
        <v>Northwest Natural Gas</v>
      </c>
      <c r="C72" s="33">
        <f aca="true" t="shared" si="2" ref="C72:C78">+C24</f>
        <v>1</v>
      </c>
      <c r="E72" s="82">
        <f aca="true" t="shared" si="3" ref="E72:E78">+E24</f>
        <v>0.75</v>
      </c>
      <c r="F72" s="82"/>
      <c r="G72" s="82" t="str">
        <f aca="true" t="shared" si="4" ref="G72:H75">+G24</f>
        <v>A</v>
      </c>
      <c r="H72" s="82">
        <f t="shared" si="4"/>
        <v>4</v>
      </c>
      <c r="I72" s="82"/>
      <c r="J72" s="82" t="str">
        <f aca="true" t="shared" si="5" ref="J72:K75">+J24</f>
        <v>B+</v>
      </c>
      <c r="K72" s="82">
        <f t="shared" si="5"/>
        <v>3.33</v>
      </c>
      <c r="L72" s="82"/>
    </row>
    <row r="73" spans="1:12" ht="15">
      <c r="A73" s="27" t="str">
        <f>+'Sch 10, p 2'!A81</f>
        <v>Peoples Energy</v>
      </c>
      <c r="C73" s="33">
        <f t="shared" si="2"/>
        <v>2</v>
      </c>
      <c r="E73" s="82">
        <f t="shared" si="3"/>
        <v>0.9</v>
      </c>
      <c r="F73" s="82"/>
      <c r="G73" s="82" t="str">
        <f t="shared" si="4"/>
        <v>B++</v>
      </c>
      <c r="H73" s="82">
        <f t="shared" si="4"/>
        <v>3.67</v>
      </c>
      <c r="I73" s="82"/>
      <c r="J73" s="82" t="str">
        <f t="shared" si="5"/>
        <v>B</v>
      </c>
      <c r="K73" s="82">
        <f t="shared" si="5"/>
        <v>3</v>
      </c>
      <c r="L73" s="82"/>
    </row>
    <row r="74" spans="1:12" ht="15">
      <c r="A74" s="27" t="str">
        <f>+'Sch 10, p 2'!A82</f>
        <v>Piedmont Natural Gas</v>
      </c>
      <c r="C74" s="33">
        <f t="shared" si="2"/>
        <v>2</v>
      </c>
      <c r="E74" s="82">
        <f t="shared" si="3"/>
        <v>0.85</v>
      </c>
      <c r="F74" s="82"/>
      <c r="G74" s="82" t="str">
        <f t="shared" si="4"/>
        <v>B++</v>
      </c>
      <c r="H74" s="82">
        <f t="shared" si="4"/>
        <v>3.67</v>
      </c>
      <c r="I74" s="82"/>
      <c r="J74" s="82" t="str">
        <f t="shared" si="5"/>
        <v>A-</v>
      </c>
      <c r="K74" s="82">
        <f t="shared" si="5"/>
        <v>3.67</v>
      </c>
      <c r="L74" s="82"/>
    </row>
    <row r="75" spans="1:12" ht="15">
      <c r="A75" s="27" t="str">
        <f>+'Sch 10, p 2'!A83</f>
        <v>South Jersey Industries</v>
      </c>
      <c r="C75" s="33">
        <f t="shared" si="2"/>
        <v>2</v>
      </c>
      <c r="E75" s="82">
        <f t="shared" si="3"/>
        <v>0.7</v>
      </c>
      <c r="F75" s="82"/>
      <c r="G75" s="82" t="str">
        <f t="shared" si="4"/>
        <v>B++</v>
      </c>
      <c r="H75" s="82">
        <f t="shared" si="4"/>
        <v>3.67</v>
      </c>
      <c r="I75" s="82"/>
      <c r="J75" s="82" t="str">
        <f t="shared" si="5"/>
        <v>B+</v>
      </c>
      <c r="K75" s="82">
        <f t="shared" si="5"/>
        <v>3.33</v>
      </c>
      <c r="L75" s="82"/>
    </row>
    <row r="76" spans="1:12" ht="15">
      <c r="A76" s="27" t="str">
        <f>+'Sch 10, p 2'!A84</f>
        <v>Southwest Gas</v>
      </c>
      <c r="C76" s="33">
        <f t="shared" si="2"/>
        <v>3</v>
      </c>
      <c r="E76" s="82">
        <f t="shared" si="3"/>
        <v>0.85</v>
      </c>
      <c r="F76" s="82"/>
      <c r="G76" s="82" t="str">
        <f aca="true" t="shared" si="6" ref="G76:H78">+G28</f>
        <v>B</v>
      </c>
      <c r="H76" s="82">
        <f t="shared" si="6"/>
        <v>3</v>
      </c>
      <c r="I76" s="82"/>
      <c r="J76" s="82" t="str">
        <f aca="true" t="shared" si="7" ref="J76:K78">+J28</f>
        <v>B+</v>
      </c>
      <c r="K76" s="82">
        <f t="shared" si="7"/>
        <v>3.33</v>
      </c>
      <c r="L76" s="82"/>
    </row>
    <row r="77" spans="1:12" ht="15">
      <c r="A77" s="27" t="str">
        <f>+'Sch 10, p 2'!A85</f>
        <v>UGI Corp.</v>
      </c>
      <c r="C77" s="33">
        <f t="shared" si="2"/>
        <v>2</v>
      </c>
      <c r="E77" s="82">
        <f t="shared" si="3"/>
        <v>0.9</v>
      </c>
      <c r="F77" s="82"/>
      <c r="G77" s="82" t="str">
        <f t="shared" si="6"/>
        <v>B+</v>
      </c>
      <c r="H77" s="82">
        <f t="shared" si="6"/>
        <v>3.33</v>
      </c>
      <c r="I77" s="82"/>
      <c r="J77" s="82" t="str">
        <f t="shared" si="7"/>
        <v>A</v>
      </c>
      <c r="K77" s="82">
        <f t="shared" si="7"/>
        <v>4</v>
      </c>
      <c r="L77" s="82"/>
    </row>
    <row r="78" spans="1:12" ht="15">
      <c r="A78" s="27" t="str">
        <f>+'Sch 10, p 2'!A86</f>
        <v>WGL Corp.</v>
      </c>
      <c r="C78" s="33">
        <f t="shared" si="2"/>
        <v>1</v>
      </c>
      <c r="E78" s="82">
        <f t="shared" si="3"/>
        <v>0.8</v>
      </c>
      <c r="F78" s="82"/>
      <c r="G78" s="82" t="str">
        <f t="shared" si="6"/>
        <v>A</v>
      </c>
      <c r="H78" s="82">
        <f t="shared" si="6"/>
        <v>4</v>
      </c>
      <c r="I78" s="82"/>
      <c r="J78" s="82" t="str">
        <f t="shared" si="7"/>
        <v>B+</v>
      </c>
      <c r="K78" s="82">
        <f t="shared" si="7"/>
        <v>3.33</v>
      </c>
      <c r="L78" s="82"/>
    </row>
    <row r="79" spans="1:11" ht="15">
      <c r="A79" s="52"/>
      <c r="B79" s="52"/>
      <c r="C79" s="134"/>
      <c r="D79" s="52"/>
      <c r="E79" s="136"/>
      <c r="F79" s="52"/>
      <c r="G79" s="134"/>
      <c r="H79" s="134"/>
      <c r="I79" s="134"/>
      <c r="J79" s="134"/>
      <c r="K79" s="134"/>
    </row>
    <row r="80" spans="3:11" ht="15">
      <c r="C80" s="33"/>
      <c r="E80" s="82"/>
      <c r="G80" s="33"/>
      <c r="H80" s="33"/>
      <c r="I80" s="33"/>
      <c r="J80" s="33"/>
      <c r="K80" s="33"/>
    </row>
    <row r="81" spans="1:11" ht="15">
      <c r="A81" s="27" t="s">
        <v>108</v>
      </c>
      <c r="C81" s="137">
        <f>AVERAGE(C67:C78)</f>
        <v>1.9166666666666667</v>
      </c>
      <c r="E81" s="82">
        <f>AVERAGE(E67:E78)</f>
        <v>0.8333333333333335</v>
      </c>
      <c r="G81" s="33" t="s">
        <v>141</v>
      </c>
      <c r="H81" s="82">
        <f>AVERAGE(H67:H78)</f>
        <v>3.584166666666667</v>
      </c>
      <c r="I81" s="33"/>
      <c r="J81" s="33" t="s">
        <v>95</v>
      </c>
      <c r="K81" s="82">
        <f>AVERAGE(K67:K78)</f>
        <v>3.443333333333333</v>
      </c>
    </row>
    <row r="82" spans="1:11" ht="15.75" thickBot="1">
      <c r="A82" s="55"/>
      <c r="B82" s="55"/>
      <c r="C82" s="135"/>
      <c r="D82" s="55"/>
      <c r="E82" s="91"/>
      <c r="F82" s="55"/>
      <c r="G82" s="135"/>
      <c r="H82" s="135"/>
      <c r="I82" s="135"/>
      <c r="J82" s="135"/>
      <c r="K82" s="135"/>
    </row>
    <row r="83" ht="15.75" thickTop="1"/>
  </sheetData>
  <mergeCells count="1">
    <mergeCell ref="C5:K5"/>
  </mergeCells>
  <printOptions horizontalCentered="1"/>
  <pageMargins left="0.5" right="0.5" top="0.5" bottom="0.55" header="0" footer="0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5"/>
  <sheetViews>
    <sheetView showOutlineSymbols="0" zoomScale="87" zoomScaleNormal="87" workbookViewId="0" topLeftCell="A1">
      <selection activeCell="E2" sqref="E2"/>
    </sheetView>
  </sheetViews>
  <sheetFormatPr defaultColWidth="8.88671875" defaultRowHeight="15"/>
  <cols>
    <col min="1" max="2" width="9.77734375" style="41" customWidth="1"/>
    <col min="3" max="3" width="7.77734375" style="41" customWidth="1"/>
    <col min="4" max="4" width="2.77734375" style="41" customWidth="1"/>
    <col min="5" max="5" width="10.77734375" style="41" customWidth="1"/>
    <col min="6" max="6" width="2.77734375" style="41" customWidth="1"/>
    <col min="7" max="7" width="10.77734375" style="41" customWidth="1"/>
    <col min="8" max="8" width="2.77734375" style="41" customWidth="1"/>
    <col min="9" max="9" width="7.77734375" style="41" customWidth="1"/>
    <col min="10" max="10" width="2.77734375" style="41" customWidth="1"/>
    <col min="11" max="11" width="7.77734375" style="41" customWidth="1"/>
    <col min="12" max="12" width="2.77734375" style="41" customWidth="1"/>
    <col min="13" max="13" width="7.77734375" style="41" customWidth="1"/>
    <col min="14" max="14" width="2.77734375" style="41" customWidth="1"/>
    <col min="15" max="15" width="7.77734375" style="41" customWidth="1"/>
    <col min="16" max="16" width="2.77734375" style="41" customWidth="1"/>
    <col min="17" max="16384" width="9.77734375" style="41" customWidth="1"/>
  </cols>
  <sheetData>
    <row r="1" spans="12:13" ht="15.75">
      <c r="L1" s="40"/>
      <c r="M1" s="40" t="s">
        <v>331</v>
      </c>
    </row>
    <row r="2" spans="12:13" ht="15.75">
      <c r="L2" s="40"/>
      <c r="M2" s="40" t="str">
        <f>+'[1]Sch 2, p 1'!I2</f>
        <v>Schedule 2</v>
      </c>
    </row>
    <row r="3" ht="15.75">
      <c r="M3" s="40" t="s">
        <v>68</v>
      </c>
    </row>
    <row r="4" ht="15.75">
      <c r="M4" s="40"/>
    </row>
    <row r="5" spans="2:16" ht="20.25">
      <c r="B5" s="93" t="s">
        <v>43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7" spans="2:16" ht="15.75">
      <c r="B7" s="103"/>
      <c r="C7" s="103"/>
      <c r="D7" s="103"/>
      <c r="E7" s="103" t="s">
        <v>59</v>
      </c>
      <c r="F7" s="103"/>
      <c r="G7" s="103" t="s">
        <v>59</v>
      </c>
      <c r="H7" s="103"/>
      <c r="I7" s="103" t="s">
        <v>64</v>
      </c>
      <c r="J7" s="103"/>
      <c r="K7" s="103" t="s">
        <v>64</v>
      </c>
      <c r="L7" s="103"/>
      <c r="M7" s="103" t="s">
        <v>64</v>
      </c>
      <c r="N7" s="103"/>
      <c r="O7" s="103" t="s">
        <v>64</v>
      </c>
      <c r="P7" s="96"/>
    </row>
    <row r="8" spans="2:15" ht="15.75">
      <c r="B8" s="104"/>
      <c r="C8" s="104" t="s">
        <v>58</v>
      </c>
      <c r="D8" s="104"/>
      <c r="E8" s="104" t="s">
        <v>60</v>
      </c>
      <c r="F8" s="104"/>
      <c r="G8" s="104" t="s">
        <v>62</v>
      </c>
      <c r="H8" s="104"/>
      <c r="I8" s="104" t="s">
        <v>65</v>
      </c>
      <c r="J8" s="104"/>
      <c r="K8" s="104" t="s">
        <v>65</v>
      </c>
      <c r="L8" s="104"/>
      <c r="M8" s="104" t="s">
        <v>65</v>
      </c>
      <c r="N8" s="104"/>
      <c r="O8" s="104" t="s">
        <v>65</v>
      </c>
    </row>
    <row r="9" spans="2:15" ht="15.75">
      <c r="B9" s="104" t="s">
        <v>1</v>
      </c>
      <c r="C9" s="104" t="s">
        <v>39</v>
      </c>
      <c r="D9" s="104"/>
      <c r="E9" s="104" t="s">
        <v>61</v>
      </c>
      <c r="F9" s="104"/>
      <c r="G9" s="104" t="s">
        <v>63</v>
      </c>
      <c r="H9" s="104"/>
      <c r="I9" s="104" t="s">
        <v>66</v>
      </c>
      <c r="J9" s="104"/>
      <c r="K9" s="104" t="s">
        <v>67</v>
      </c>
      <c r="L9" s="104"/>
      <c r="M9" s="104" t="s">
        <v>69</v>
      </c>
      <c r="N9" s="104"/>
      <c r="O9" s="104" t="s">
        <v>70</v>
      </c>
    </row>
    <row r="10" spans="2:16" ht="1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15.75">
      <c r="B11" s="105" t="s">
        <v>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  <row r="13" spans="2:15" ht="15">
      <c r="B13" s="98" t="s">
        <v>3</v>
      </c>
      <c r="C13" s="114">
        <v>0.0786</v>
      </c>
      <c r="D13" s="114"/>
      <c r="E13" s="114">
        <v>0.0584</v>
      </c>
      <c r="F13" s="114"/>
      <c r="G13" s="114">
        <v>0.0799</v>
      </c>
      <c r="H13" s="114"/>
      <c r="I13" s="114">
        <v>0.0903</v>
      </c>
      <c r="J13" s="114"/>
      <c r="K13" s="114">
        <v>0.0944</v>
      </c>
      <c r="L13" s="114"/>
      <c r="M13" s="114">
        <v>0.1009</v>
      </c>
      <c r="N13" s="114"/>
      <c r="O13" s="114">
        <v>0.1096</v>
      </c>
    </row>
    <row r="14" spans="2:15" ht="15">
      <c r="B14" s="98" t="s">
        <v>4</v>
      </c>
      <c r="C14" s="114">
        <v>0.0684</v>
      </c>
      <c r="D14" s="114"/>
      <c r="E14" s="114">
        <v>0.0499</v>
      </c>
      <c r="F14" s="114"/>
      <c r="G14" s="114">
        <v>0.0761</v>
      </c>
      <c r="H14" s="114"/>
      <c r="I14" s="114">
        <v>0.0863</v>
      </c>
      <c r="J14" s="114"/>
      <c r="K14" s="114">
        <v>0.0892</v>
      </c>
      <c r="L14" s="114"/>
      <c r="M14" s="114">
        <v>0.0929</v>
      </c>
      <c r="N14" s="114"/>
      <c r="O14" s="114">
        <v>0.0982</v>
      </c>
    </row>
    <row r="15" spans="2:15" ht="15">
      <c r="B15" s="98" t="s">
        <v>5</v>
      </c>
      <c r="C15" s="114">
        <v>0.0683</v>
      </c>
      <c r="D15" s="114"/>
      <c r="E15" s="114">
        <v>0.0527</v>
      </c>
      <c r="F15" s="114"/>
      <c r="G15" s="114">
        <v>0.0742</v>
      </c>
      <c r="H15" s="114"/>
      <c r="I15" s="114">
        <v>0.0819</v>
      </c>
      <c r="J15" s="114"/>
      <c r="K15" s="114">
        <v>0.0843</v>
      </c>
      <c r="L15" s="114"/>
      <c r="M15" s="114">
        <v>0.0861</v>
      </c>
      <c r="N15" s="114"/>
      <c r="O15" s="114">
        <v>0.0906</v>
      </c>
    </row>
    <row r="16" spans="2:15" ht="15">
      <c r="B16" s="98" t="s">
        <v>6</v>
      </c>
      <c r="C16" s="114">
        <v>0.0906</v>
      </c>
      <c r="D16" s="114"/>
      <c r="E16" s="114">
        <v>0.0722</v>
      </c>
      <c r="F16" s="114"/>
      <c r="G16" s="114">
        <v>0.0841</v>
      </c>
      <c r="H16" s="114"/>
      <c r="I16" s="114">
        <v>0.0887</v>
      </c>
      <c r="J16" s="114"/>
      <c r="K16" s="114">
        <v>0.091</v>
      </c>
      <c r="L16" s="114"/>
      <c r="M16" s="114">
        <v>0.0929</v>
      </c>
      <c r="N16" s="114"/>
      <c r="O16" s="114">
        <v>0.0962</v>
      </c>
    </row>
    <row r="17" spans="2:15" ht="15">
      <c r="B17" s="98" t="s">
        <v>7</v>
      </c>
      <c r="C17" s="114">
        <v>0.1267</v>
      </c>
      <c r="D17" s="114"/>
      <c r="E17" s="114">
        <v>0.1004</v>
      </c>
      <c r="F17" s="114"/>
      <c r="G17" s="114">
        <v>0.0944</v>
      </c>
      <c r="H17" s="114"/>
      <c r="I17" s="114">
        <v>0.0986</v>
      </c>
      <c r="J17" s="114"/>
      <c r="K17" s="114">
        <v>0.1022</v>
      </c>
      <c r="L17" s="114"/>
      <c r="M17" s="114">
        <v>0.1049</v>
      </c>
      <c r="N17" s="114"/>
      <c r="O17" s="114">
        <v>0.1096</v>
      </c>
    </row>
    <row r="18" spans="2:15" ht="15">
      <c r="B18" s="98" t="s">
        <v>8</v>
      </c>
      <c r="C18" s="114">
        <v>0.1527</v>
      </c>
      <c r="D18" s="114"/>
      <c r="E18" s="114">
        <v>0.1151</v>
      </c>
      <c r="F18" s="114"/>
      <c r="G18" s="114">
        <v>0.1146</v>
      </c>
      <c r="H18" s="114"/>
      <c r="I18" s="114">
        <v>0.123</v>
      </c>
      <c r="J18" s="114"/>
      <c r="K18" s="114">
        <v>0.13</v>
      </c>
      <c r="L18" s="114"/>
      <c r="M18" s="114">
        <v>0.1334</v>
      </c>
      <c r="N18" s="114"/>
      <c r="O18" s="114">
        <v>0.1395</v>
      </c>
    </row>
    <row r="19" spans="2:15" ht="15">
      <c r="B19" s="98" t="s">
        <v>9</v>
      </c>
      <c r="C19" s="114">
        <v>0.1889</v>
      </c>
      <c r="D19" s="114"/>
      <c r="E19" s="114">
        <v>0.1403</v>
      </c>
      <c r="F19" s="114"/>
      <c r="G19" s="114">
        <v>0.1393</v>
      </c>
      <c r="H19" s="114"/>
      <c r="I19" s="114">
        <v>0.1464</v>
      </c>
      <c r="J19" s="114"/>
      <c r="K19" s="114">
        <v>0.153</v>
      </c>
      <c r="L19" s="114"/>
      <c r="M19" s="114">
        <v>0.1595</v>
      </c>
      <c r="N19" s="114"/>
      <c r="O19" s="114">
        <v>0.166</v>
      </c>
    </row>
    <row r="20" spans="2:15" ht="15">
      <c r="B20" s="98" t="s">
        <v>10</v>
      </c>
      <c r="C20" s="114">
        <v>0.1486</v>
      </c>
      <c r="D20" s="114"/>
      <c r="E20" s="114">
        <v>0.1069</v>
      </c>
      <c r="F20" s="114"/>
      <c r="G20" s="114">
        <v>0.13</v>
      </c>
      <c r="H20" s="114"/>
      <c r="I20" s="114">
        <v>0.1422</v>
      </c>
      <c r="J20" s="114"/>
      <c r="K20" s="114">
        <v>0.1479</v>
      </c>
      <c r="L20" s="114"/>
      <c r="M20" s="114">
        <v>0.1586</v>
      </c>
      <c r="N20" s="114"/>
      <c r="O20" s="114">
        <v>0.1645</v>
      </c>
    </row>
    <row r="21" spans="3:15" ht="15"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2:16" ht="15.75">
      <c r="B22" s="115" t="s">
        <v>11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94"/>
    </row>
    <row r="23" spans="3:15" ht="15"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2:15" ht="15">
      <c r="B24" s="98" t="s">
        <v>12</v>
      </c>
      <c r="C24" s="114">
        <v>0.1079</v>
      </c>
      <c r="D24" s="114"/>
      <c r="E24" s="114">
        <v>0.0863</v>
      </c>
      <c r="F24" s="114"/>
      <c r="G24" s="114">
        <v>0.111</v>
      </c>
      <c r="H24" s="114"/>
      <c r="I24" s="114">
        <v>0.1252</v>
      </c>
      <c r="J24" s="114"/>
      <c r="K24" s="114">
        <v>0.1283</v>
      </c>
      <c r="L24" s="114"/>
      <c r="M24" s="114">
        <v>0.1366</v>
      </c>
      <c r="N24" s="114"/>
      <c r="O24" s="114">
        <v>0.142</v>
      </c>
    </row>
    <row r="25" spans="2:15" ht="15">
      <c r="B25" s="98" t="s">
        <v>13</v>
      </c>
      <c r="C25" s="114">
        <v>0.1204</v>
      </c>
      <c r="D25" s="114"/>
      <c r="E25" s="114">
        <v>0.0958</v>
      </c>
      <c r="F25" s="114"/>
      <c r="G25" s="114">
        <v>0.1244</v>
      </c>
      <c r="H25" s="114"/>
      <c r="I25" s="114">
        <v>0.1272</v>
      </c>
      <c r="J25" s="114"/>
      <c r="K25" s="114">
        <v>0.1366</v>
      </c>
      <c r="L25" s="114"/>
      <c r="M25" s="114">
        <v>0.1403</v>
      </c>
      <c r="N25" s="114"/>
      <c r="O25" s="114">
        <v>0.1453</v>
      </c>
    </row>
    <row r="26" spans="2:15" ht="15">
      <c r="B26" s="98" t="s">
        <v>14</v>
      </c>
      <c r="C26" s="114">
        <v>0.0993</v>
      </c>
      <c r="D26" s="114"/>
      <c r="E26" s="114">
        <v>0.0748</v>
      </c>
      <c r="F26" s="114"/>
      <c r="G26" s="114">
        <v>0.1062</v>
      </c>
      <c r="H26" s="114"/>
      <c r="I26" s="114">
        <v>0.1168</v>
      </c>
      <c r="J26" s="114"/>
      <c r="K26" s="114">
        <v>0.1206</v>
      </c>
      <c r="L26" s="114"/>
      <c r="M26" s="114">
        <v>0.1247</v>
      </c>
      <c r="N26" s="114"/>
      <c r="O26" s="114">
        <v>0.1296</v>
      </c>
    </row>
    <row r="27" spans="2:15" ht="15">
      <c r="B27" s="98" t="s">
        <v>15</v>
      </c>
      <c r="C27" s="114">
        <v>0.0833</v>
      </c>
      <c r="D27" s="114"/>
      <c r="E27" s="114">
        <v>0.0598</v>
      </c>
      <c r="F27" s="114"/>
      <c r="G27" s="114">
        <v>0.0768</v>
      </c>
      <c r="H27" s="114"/>
      <c r="I27" s="114">
        <v>0.0892</v>
      </c>
      <c r="J27" s="114"/>
      <c r="K27" s="114">
        <v>0.093</v>
      </c>
      <c r="L27" s="114"/>
      <c r="M27" s="114">
        <v>0.0958</v>
      </c>
      <c r="N27" s="114"/>
      <c r="O27" s="114">
        <v>0.1</v>
      </c>
    </row>
    <row r="28" spans="2:15" ht="15">
      <c r="B28" s="98" t="s">
        <v>16</v>
      </c>
      <c r="C28" s="114">
        <v>0.0821</v>
      </c>
      <c r="D28" s="114"/>
      <c r="E28" s="114">
        <v>0.0582</v>
      </c>
      <c r="F28" s="114"/>
      <c r="G28" s="114">
        <v>0.0839</v>
      </c>
      <c r="H28" s="114"/>
      <c r="I28" s="114">
        <v>0.0952</v>
      </c>
      <c r="J28" s="114"/>
      <c r="K28" s="114">
        <v>0.0977</v>
      </c>
      <c r="L28" s="114"/>
      <c r="M28" s="114">
        <v>0.101</v>
      </c>
      <c r="N28" s="114"/>
      <c r="O28" s="114">
        <v>0.1053</v>
      </c>
    </row>
    <row r="29" spans="2:15" ht="15">
      <c r="B29" s="98" t="s">
        <v>17</v>
      </c>
      <c r="C29" s="114">
        <v>0.0932</v>
      </c>
      <c r="D29" s="114"/>
      <c r="E29" s="114">
        <v>0.0669</v>
      </c>
      <c r="F29" s="114"/>
      <c r="G29" s="114">
        <v>0.0885</v>
      </c>
      <c r="H29" s="114"/>
      <c r="I29" s="114">
        <v>0.1005</v>
      </c>
      <c r="J29" s="114"/>
      <c r="K29" s="114">
        <v>0.1026</v>
      </c>
      <c r="L29" s="114"/>
      <c r="M29" s="114">
        <v>0.1049</v>
      </c>
      <c r="N29" s="114"/>
      <c r="O29" s="114">
        <v>0.11</v>
      </c>
    </row>
    <row r="30" spans="2:15" ht="15">
      <c r="B30" s="98" t="s">
        <v>18</v>
      </c>
      <c r="C30" s="114">
        <v>0.1087</v>
      </c>
      <c r="D30" s="114"/>
      <c r="E30" s="114">
        <v>0.0812</v>
      </c>
      <c r="F30" s="114"/>
      <c r="G30" s="114">
        <v>0.0849</v>
      </c>
      <c r="H30" s="114"/>
      <c r="I30" s="114">
        <v>0.0932</v>
      </c>
      <c r="J30" s="114"/>
      <c r="K30" s="114">
        <v>0.0956</v>
      </c>
      <c r="L30" s="114"/>
      <c r="M30" s="114">
        <v>0.0977</v>
      </c>
      <c r="N30" s="114"/>
      <c r="O30" s="114">
        <v>0.0997</v>
      </c>
    </row>
    <row r="31" spans="2:15" ht="15">
      <c r="B31" s="98" t="s">
        <v>19</v>
      </c>
      <c r="C31" s="114">
        <v>0.1001</v>
      </c>
      <c r="D31" s="114"/>
      <c r="E31" s="114">
        <v>0.0751</v>
      </c>
      <c r="F31" s="114"/>
      <c r="G31" s="114">
        <v>0.0855</v>
      </c>
      <c r="H31" s="114"/>
      <c r="I31" s="114">
        <v>0.0945</v>
      </c>
      <c r="J31" s="114"/>
      <c r="K31" s="114">
        <v>0.0965</v>
      </c>
      <c r="L31" s="114"/>
      <c r="M31" s="114">
        <v>0.0986</v>
      </c>
      <c r="N31" s="114"/>
      <c r="O31" s="114">
        <v>0.1006</v>
      </c>
    </row>
    <row r="32" spans="2:15" ht="15">
      <c r="B32" s="98" t="s">
        <v>20</v>
      </c>
      <c r="C32" s="114">
        <v>0.0846</v>
      </c>
      <c r="D32" s="114"/>
      <c r="E32" s="114">
        <v>0.0542</v>
      </c>
      <c r="F32" s="114"/>
      <c r="G32" s="114">
        <v>0.0786</v>
      </c>
      <c r="H32" s="114"/>
      <c r="I32" s="114">
        <v>0.0885</v>
      </c>
      <c r="J32" s="114"/>
      <c r="K32" s="114">
        <v>0.0909</v>
      </c>
      <c r="L32" s="114"/>
      <c r="M32" s="114">
        <v>0.0936</v>
      </c>
      <c r="N32" s="114"/>
      <c r="O32" s="114">
        <v>0.0955</v>
      </c>
    </row>
    <row r="33" spans="3:15" ht="15"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2:16" ht="15.75">
      <c r="B34" s="105" t="s">
        <v>163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94"/>
    </row>
    <row r="35" spans="3:15" ht="15"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2:15" ht="15">
      <c r="B36" s="98" t="s">
        <v>21</v>
      </c>
      <c r="C36" s="114">
        <v>0.0625</v>
      </c>
      <c r="D36" s="114"/>
      <c r="E36" s="114">
        <v>0.0345</v>
      </c>
      <c r="F36" s="114"/>
      <c r="G36" s="114">
        <v>0.0701</v>
      </c>
      <c r="H36" s="114"/>
      <c r="I36" s="114">
        <v>0.0819</v>
      </c>
      <c r="J36" s="114"/>
      <c r="K36" s="114">
        <v>0.0855</v>
      </c>
      <c r="L36" s="114"/>
      <c r="M36" s="114">
        <v>0.0869</v>
      </c>
      <c r="N36" s="114"/>
      <c r="O36" s="114">
        <v>0.0886</v>
      </c>
    </row>
    <row r="37" spans="2:15" ht="15">
      <c r="B37" s="98" t="s">
        <v>22</v>
      </c>
      <c r="C37" s="114">
        <v>0.06</v>
      </c>
      <c r="D37" s="114"/>
      <c r="E37" s="114">
        <v>0.0302</v>
      </c>
      <c r="F37" s="114"/>
      <c r="G37" s="114">
        <v>0.0587</v>
      </c>
      <c r="H37" s="114"/>
      <c r="I37" s="114">
        <v>0.0729</v>
      </c>
      <c r="J37" s="114"/>
      <c r="K37" s="114">
        <v>0.0744</v>
      </c>
      <c r="L37" s="114"/>
      <c r="M37" s="114">
        <v>0.0759</v>
      </c>
      <c r="N37" s="114"/>
      <c r="O37" s="114">
        <v>0.0791</v>
      </c>
    </row>
    <row r="38" spans="2:15" ht="15">
      <c r="B38" s="98" t="s">
        <v>23</v>
      </c>
      <c r="C38" s="114">
        <v>0.0715</v>
      </c>
      <c r="D38" s="114"/>
      <c r="E38" s="114">
        <v>0.0429</v>
      </c>
      <c r="F38" s="114"/>
      <c r="G38" s="114">
        <v>0.0709</v>
      </c>
      <c r="H38" s="114"/>
      <c r="I38" s="114">
        <v>0.0807</v>
      </c>
      <c r="J38" s="114"/>
      <c r="K38" s="114">
        <v>0.0821</v>
      </c>
      <c r="L38" s="114"/>
      <c r="M38" s="114">
        <v>0.0831</v>
      </c>
      <c r="N38" s="114"/>
      <c r="O38" s="114">
        <v>0.0863</v>
      </c>
    </row>
    <row r="39" spans="2:15" ht="15">
      <c r="B39" s="98" t="s">
        <v>24</v>
      </c>
      <c r="C39" s="114">
        <v>0.0883</v>
      </c>
      <c r="D39" s="114"/>
      <c r="E39" s="114">
        <v>0.0551</v>
      </c>
      <c r="F39" s="114"/>
      <c r="G39" s="114">
        <v>0.0657</v>
      </c>
      <c r="H39" s="114"/>
      <c r="I39" s="114">
        <v>0.0768</v>
      </c>
      <c r="J39" s="114"/>
      <c r="K39" s="114">
        <v>0.0777</v>
      </c>
      <c r="L39" s="114"/>
      <c r="M39" s="114">
        <v>0.0789</v>
      </c>
      <c r="N39" s="114"/>
      <c r="O39" s="114">
        <v>0.0829</v>
      </c>
    </row>
    <row r="40" spans="2:15" ht="15">
      <c r="B40" s="98" t="s">
        <v>25</v>
      </c>
      <c r="C40" s="114">
        <v>0.0827</v>
      </c>
      <c r="D40" s="114"/>
      <c r="E40" s="114">
        <v>0.0502</v>
      </c>
      <c r="F40" s="114"/>
      <c r="G40" s="114">
        <v>0.0644</v>
      </c>
      <c r="H40" s="114"/>
      <c r="I40" s="114">
        <v>0.0748</v>
      </c>
      <c r="J40" s="114"/>
      <c r="K40" s="114">
        <v>0.0757</v>
      </c>
      <c r="L40" s="114"/>
      <c r="M40" s="114">
        <v>0.0775</v>
      </c>
      <c r="N40" s="114"/>
      <c r="O40" s="114">
        <v>0.0816</v>
      </c>
    </row>
    <row r="41" spans="2:15" ht="15">
      <c r="B41" s="98" t="s">
        <v>26</v>
      </c>
      <c r="C41" s="114">
        <v>0.0844</v>
      </c>
      <c r="D41" s="114"/>
      <c r="E41" s="114">
        <v>0.0507</v>
      </c>
      <c r="F41" s="114"/>
      <c r="G41" s="114">
        <v>0.0635</v>
      </c>
      <c r="H41" s="114"/>
      <c r="I41" s="114">
        <v>0.0743</v>
      </c>
      <c r="J41" s="114"/>
      <c r="K41" s="114">
        <v>0.0754</v>
      </c>
      <c r="L41" s="114"/>
      <c r="M41" s="114">
        <v>0.076</v>
      </c>
      <c r="N41" s="114"/>
      <c r="O41" s="114">
        <v>0.0795</v>
      </c>
    </row>
    <row r="42" spans="2:15" ht="15">
      <c r="B42" s="98">
        <v>1998</v>
      </c>
      <c r="C42" s="114">
        <v>0.0835</v>
      </c>
      <c r="D42" s="114"/>
      <c r="E42" s="114">
        <v>0.0481</v>
      </c>
      <c r="F42" s="114"/>
      <c r="G42" s="114">
        <v>0.0526</v>
      </c>
      <c r="H42" s="114"/>
      <c r="I42" s="114">
        <v>0.0677</v>
      </c>
      <c r="J42" s="114"/>
      <c r="K42" s="114">
        <v>0.0691</v>
      </c>
      <c r="L42" s="114"/>
      <c r="M42" s="114">
        <v>0.0704</v>
      </c>
      <c r="N42" s="114"/>
      <c r="O42" s="114">
        <v>0.0726</v>
      </c>
    </row>
    <row r="43" spans="2:15" ht="15">
      <c r="B43" s="98">
        <v>1999</v>
      </c>
      <c r="C43" s="114">
        <v>0.08</v>
      </c>
      <c r="D43" s="114"/>
      <c r="E43" s="114">
        <v>0.0466</v>
      </c>
      <c r="F43" s="114"/>
      <c r="G43" s="114">
        <v>0.0565</v>
      </c>
      <c r="H43" s="114"/>
      <c r="I43" s="114">
        <v>0.0721</v>
      </c>
      <c r="J43" s="114"/>
      <c r="K43" s="114">
        <v>0.0751</v>
      </c>
      <c r="L43" s="114"/>
      <c r="M43" s="114">
        <v>0.0762</v>
      </c>
      <c r="N43" s="114"/>
      <c r="O43" s="114">
        <v>0.0788</v>
      </c>
    </row>
    <row r="44" spans="2:15" ht="15">
      <c r="B44" s="98">
        <v>2000</v>
      </c>
      <c r="C44" s="114">
        <v>0.0923</v>
      </c>
      <c r="D44" s="114"/>
      <c r="E44" s="114">
        <v>0.0585</v>
      </c>
      <c r="F44" s="114"/>
      <c r="G44" s="114">
        <v>0.0603</v>
      </c>
      <c r="H44" s="114"/>
      <c r="I44" s="114">
        <v>0.0788</v>
      </c>
      <c r="J44" s="114"/>
      <c r="K44" s="114">
        <v>0.0806</v>
      </c>
      <c r="L44" s="114"/>
      <c r="M44" s="114">
        <v>0.0824</v>
      </c>
      <c r="N44" s="114"/>
      <c r="O44" s="114">
        <v>0.0836</v>
      </c>
    </row>
    <row r="45" spans="2:15" ht="15">
      <c r="B45" s="98">
        <v>2001</v>
      </c>
      <c r="C45" s="114">
        <v>0.0691</v>
      </c>
      <c r="D45" s="114"/>
      <c r="E45" s="114">
        <v>0.0345</v>
      </c>
      <c r="F45" s="114"/>
      <c r="G45" s="114">
        <v>0.0502</v>
      </c>
      <c r="H45" s="114"/>
      <c r="I45" s="114">
        <v>0.0747</v>
      </c>
      <c r="J45" s="114"/>
      <c r="K45" s="114">
        <v>0.0759</v>
      </c>
      <c r="L45" s="114"/>
      <c r="M45" s="114">
        <v>0.0778</v>
      </c>
      <c r="N45" s="114"/>
      <c r="O45" s="114">
        <v>0.0802</v>
      </c>
    </row>
    <row r="46" spans="2:15" ht="15">
      <c r="B46" s="98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2:15" ht="15.75">
      <c r="B47" s="215" t="s">
        <v>190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</row>
    <row r="48" spans="2:15" ht="15">
      <c r="B48" s="98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</row>
    <row r="49" spans="2:15" ht="15">
      <c r="B49" s="98">
        <v>2002</v>
      </c>
      <c r="C49" s="114">
        <v>0.0467</v>
      </c>
      <c r="D49" s="114"/>
      <c r="E49" s="114">
        <v>0.0162</v>
      </c>
      <c r="F49" s="114"/>
      <c r="G49" s="114">
        <v>0.0461</v>
      </c>
      <c r="H49" s="114"/>
      <c r="I49" s="114"/>
      <c r="J49" s="114"/>
      <c r="K49" s="114">
        <v>0.0719</v>
      </c>
      <c r="L49" s="114"/>
      <c r="M49" s="114">
        <v>0.0737</v>
      </c>
      <c r="N49" s="114"/>
      <c r="O49" s="114">
        <v>0.0802</v>
      </c>
    </row>
    <row r="50" spans="2:15" ht="15">
      <c r="B50" s="98">
        <v>2003</v>
      </c>
      <c r="C50" s="114">
        <v>0.0412</v>
      </c>
      <c r="D50" s="114"/>
      <c r="E50" s="114">
        <v>0.0102</v>
      </c>
      <c r="F50" s="114"/>
      <c r="G50" s="114">
        <v>0.0401</v>
      </c>
      <c r="H50" s="114"/>
      <c r="I50" s="114"/>
      <c r="J50" s="114"/>
      <c r="K50" s="114">
        <v>0.064</v>
      </c>
      <c r="L50" s="114"/>
      <c r="M50" s="114">
        <v>0.0658</v>
      </c>
      <c r="N50" s="114"/>
      <c r="O50" s="114">
        <v>0.0684</v>
      </c>
    </row>
    <row r="51" spans="2:15" ht="15">
      <c r="B51" s="98">
        <v>2004</v>
      </c>
      <c r="C51" s="114">
        <v>0.0434</v>
      </c>
      <c r="D51" s="114"/>
      <c r="E51" s="114">
        <v>0.0138</v>
      </c>
      <c r="F51" s="114"/>
      <c r="G51" s="114">
        <f>AVERAGE(G56:G67)</f>
        <v>0.04274166666666666</v>
      </c>
      <c r="H51" s="114"/>
      <c r="I51" s="114"/>
      <c r="J51" s="114"/>
      <c r="K51" s="114">
        <v>0.0604</v>
      </c>
      <c r="L51" s="114"/>
      <c r="M51" s="114">
        <v>0.0616</v>
      </c>
      <c r="N51" s="114"/>
      <c r="O51" s="114">
        <v>0.064</v>
      </c>
    </row>
    <row r="52" spans="2:15" ht="15">
      <c r="B52" s="98">
        <v>2005</v>
      </c>
      <c r="C52" s="114">
        <v>0.0619</v>
      </c>
      <c r="D52" s="114"/>
      <c r="E52" s="114">
        <v>0.0316</v>
      </c>
      <c r="F52" s="114"/>
      <c r="G52" s="114">
        <v>0.0429</v>
      </c>
      <c r="H52" s="114"/>
      <c r="I52" s="114"/>
      <c r="J52" s="114"/>
      <c r="K52" s="114">
        <f>AVERAGE(K70:K81)</f>
        <v>0.054425</v>
      </c>
      <c r="L52" s="114"/>
      <c r="M52" s="114">
        <f>AVERAGE(M70:M81)</f>
        <v>0.05649166666666666</v>
      </c>
      <c r="N52" s="114"/>
      <c r="O52" s="114">
        <f>AVERAGE(O70:O81)</f>
        <v>0.05924999999999999</v>
      </c>
    </row>
    <row r="53" spans="2:15" ht="15">
      <c r="B53" s="98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</row>
    <row r="54" spans="2:15" ht="15">
      <c r="B54" s="98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2:15" ht="15">
      <c r="B55" s="98">
        <v>2004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</row>
    <row r="56" spans="2:15" ht="15">
      <c r="B56" s="98" t="s">
        <v>44</v>
      </c>
      <c r="C56" s="114">
        <v>0.04</v>
      </c>
      <c r="D56" s="114"/>
      <c r="E56" s="114">
        <v>0.0089</v>
      </c>
      <c r="F56" s="114"/>
      <c r="G56" s="114">
        <v>0.0415</v>
      </c>
      <c r="H56" s="114"/>
      <c r="I56" s="114"/>
      <c r="J56" s="114"/>
      <c r="K56" s="114">
        <v>0.0606</v>
      </c>
      <c r="L56" s="114"/>
      <c r="M56" s="114">
        <v>0.0615</v>
      </c>
      <c r="N56" s="114"/>
      <c r="O56" s="114">
        <v>0.0647</v>
      </c>
    </row>
    <row r="57" spans="2:15" ht="15">
      <c r="B57" s="98" t="s">
        <v>45</v>
      </c>
      <c r="C57" s="114">
        <v>0.04</v>
      </c>
      <c r="D57" s="114"/>
      <c r="E57" s="114">
        <v>0.0092</v>
      </c>
      <c r="F57" s="114"/>
      <c r="G57" s="114">
        <v>0.0408</v>
      </c>
      <c r="H57" s="114"/>
      <c r="I57" s="114"/>
      <c r="J57" s="114"/>
      <c r="K57" s="114">
        <v>0.061</v>
      </c>
      <c r="L57" s="114"/>
      <c r="M57" s="114">
        <v>0.0615</v>
      </c>
      <c r="N57" s="114"/>
      <c r="O57" s="114">
        <v>0.0628</v>
      </c>
    </row>
    <row r="58" spans="2:15" ht="15">
      <c r="B58" s="98" t="s">
        <v>46</v>
      </c>
      <c r="C58" s="114">
        <v>0.04</v>
      </c>
      <c r="D58" s="114"/>
      <c r="E58" s="114">
        <v>0.0094</v>
      </c>
      <c r="F58" s="114"/>
      <c r="G58" s="114">
        <v>0.0383</v>
      </c>
      <c r="H58" s="114"/>
      <c r="I58" s="114"/>
      <c r="J58" s="114"/>
      <c r="K58" s="114">
        <v>0.0593</v>
      </c>
      <c r="L58" s="114"/>
      <c r="M58" s="114">
        <v>0.0597</v>
      </c>
      <c r="N58" s="114"/>
      <c r="O58" s="114">
        <v>0.0612</v>
      </c>
    </row>
    <row r="59" spans="2:15" ht="15">
      <c r="B59" s="98" t="s">
        <v>47</v>
      </c>
      <c r="C59" s="114">
        <v>0.04</v>
      </c>
      <c r="D59" s="114"/>
      <c r="E59" s="114">
        <v>0.0094</v>
      </c>
      <c r="F59" s="114"/>
      <c r="G59" s="114">
        <v>0.0435</v>
      </c>
      <c r="H59" s="114"/>
      <c r="I59" s="114"/>
      <c r="J59" s="114"/>
      <c r="K59" s="114">
        <v>0.0633</v>
      </c>
      <c r="L59" s="114"/>
      <c r="M59" s="114">
        <v>0.0635</v>
      </c>
      <c r="N59" s="114"/>
      <c r="O59" s="114">
        <v>0.0646</v>
      </c>
    </row>
    <row r="60" spans="2:15" ht="15">
      <c r="B60" s="98" t="s">
        <v>48</v>
      </c>
      <c r="C60" s="114">
        <v>0.04</v>
      </c>
      <c r="D60" s="114"/>
      <c r="E60" s="114">
        <v>0.0104</v>
      </c>
      <c r="F60" s="114"/>
      <c r="G60" s="114">
        <v>0.0472</v>
      </c>
      <c r="H60" s="114"/>
      <c r="I60" s="114"/>
      <c r="J60" s="114"/>
      <c r="K60" s="114">
        <v>0.0666</v>
      </c>
      <c r="L60" s="114"/>
      <c r="M60" s="114">
        <v>0.0662</v>
      </c>
      <c r="N60" s="114"/>
      <c r="O60" s="114">
        <v>0.0675</v>
      </c>
    </row>
    <row r="61" spans="2:15" ht="15">
      <c r="B61" s="98" t="s">
        <v>49</v>
      </c>
      <c r="C61" s="114">
        <v>0.04</v>
      </c>
      <c r="D61" s="114"/>
      <c r="E61" s="114">
        <v>0.0127</v>
      </c>
      <c r="F61" s="114"/>
      <c r="G61" s="114">
        <v>0.0473</v>
      </c>
      <c r="H61" s="114"/>
      <c r="I61" s="114"/>
      <c r="J61" s="114"/>
      <c r="K61" s="114">
        <v>0.063</v>
      </c>
      <c r="L61" s="114"/>
      <c r="M61" s="114">
        <v>0.0646</v>
      </c>
      <c r="N61" s="114"/>
      <c r="O61" s="114">
        <v>0.0684</v>
      </c>
    </row>
    <row r="62" spans="2:15" ht="15">
      <c r="B62" s="98" t="s">
        <v>50</v>
      </c>
      <c r="C62" s="114">
        <v>0.0425</v>
      </c>
      <c r="D62" s="114"/>
      <c r="E62" s="114">
        <v>0.0135</v>
      </c>
      <c r="F62" s="114"/>
      <c r="G62" s="114">
        <v>0.045</v>
      </c>
      <c r="H62" s="114"/>
      <c r="I62" s="114"/>
      <c r="J62" s="114"/>
      <c r="K62" s="114">
        <v>0.0609</v>
      </c>
      <c r="L62" s="114"/>
      <c r="M62" s="114">
        <v>0.0627</v>
      </c>
      <c r="N62" s="114"/>
      <c r="O62" s="114">
        <v>0.0667</v>
      </c>
    </row>
    <row r="63" spans="2:15" ht="15">
      <c r="B63" s="98" t="s">
        <v>51</v>
      </c>
      <c r="C63" s="114">
        <v>0.045</v>
      </c>
      <c r="D63" s="114"/>
      <c r="E63" s="114">
        <v>0.0148</v>
      </c>
      <c r="F63" s="114"/>
      <c r="G63" s="114">
        <v>0.0428</v>
      </c>
      <c r="H63" s="114"/>
      <c r="I63" s="114"/>
      <c r="J63" s="114"/>
      <c r="K63" s="114">
        <v>0.0595</v>
      </c>
      <c r="L63" s="114"/>
      <c r="M63" s="114">
        <v>0.0614</v>
      </c>
      <c r="N63" s="114"/>
      <c r="O63" s="114">
        <v>0.0645</v>
      </c>
    </row>
    <row r="64" spans="2:15" ht="15">
      <c r="B64" s="98" t="s">
        <v>52</v>
      </c>
      <c r="C64" s="114">
        <v>0.0475</v>
      </c>
      <c r="D64" s="114"/>
      <c r="E64" s="114">
        <v>0.0165</v>
      </c>
      <c r="F64" s="114"/>
      <c r="G64" s="114">
        <v>0.0413</v>
      </c>
      <c r="H64" s="114"/>
      <c r="I64" s="114"/>
      <c r="J64" s="114"/>
      <c r="K64" s="114">
        <v>0.0579</v>
      </c>
      <c r="L64" s="114"/>
      <c r="M64" s="114">
        <v>0.0598</v>
      </c>
      <c r="N64" s="114"/>
      <c r="O64" s="114">
        <v>0.0627</v>
      </c>
    </row>
    <row r="65" spans="2:15" ht="15">
      <c r="B65" s="98" t="s">
        <v>53</v>
      </c>
      <c r="C65" s="114">
        <v>0.0475</v>
      </c>
      <c r="D65" s="114"/>
      <c r="E65" s="114">
        <v>0.0175</v>
      </c>
      <c r="F65" s="114"/>
      <c r="G65" s="114">
        <v>0.041</v>
      </c>
      <c r="H65" s="114"/>
      <c r="I65" s="114"/>
      <c r="J65" s="114"/>
      <c r="K65" s="114">
        <v>0.0574</v>
      </c>
      <c r="L65" s="114"/>
      <c r="M65" s="114">
        <v>0.0594</v>
      </c>
      <c r="N65" s="114"/>
      <c r="O65" s="114">
        <v>0.0617</v>
      </c>
    </row>
    <row r="66" spans="2:15" ht="15">
      <c r="B66" s="98" t="s">
        <v>54</v>
      </c>
      <c r="C66" s="114">
        <v>0.05</v>
      </c>
      <c r="D66" s="114"/>
      <c r="E66" s="114">
        <v>0.0206</v>
      </c>
      <c r="F66" s="114"/>
      <c r="G66" s="114">
        <v>0.0419</v>
      </c>
      <c r="H66" s="114"/>
      <c r="I66" s="114"/>
      <c r="J66" s="114"/>
      <c r="K66" s="114">
        <v>0.0579</v>
      </c>
      <c r="L66" s="114"/>
      <c r="M66" s="114">
        <v>0.0597</v>
      </c>
      <c r="N66" s="114"/>
      <c r="O66" s="114">
        <v>0.0616</v>
      </c>
    </row>
    <row r="67" spans="2:15" ht="15">
      <c r="B67" s="98" t="s">
        <v>55</v>
      </c>
      <c r="C67" s="114">
        <v>0.0525</v>
      </c>
      <c r="D67" s="114"/>
      <c r="E67" s="114">
        <v>0.022</v>
      </c>
      <c r="F67" s="114"/>
      <c r="G67" s="114">
        <v>0.0423</v>
      </c>
      <c r="H67" s="114"/>
      <c r="I67" s="114"/>
      <c r="J67" s="114"/>
      <c r="K67" s="114">
        <v>0.0578</v>
      </c>
      <c r="L67" s="114"/>
      <c r="M67" s="114">
        <v>0.0592</v>
      </c>
      <c r="N67" s="114"/>
      <c r="O67" s="114">
        <v>0.061</v>
      </c>
    </row>
    <row r="68" spans="2:15" ht="15">
      <c r="B68" s="98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2:15" ht="15">
      <c r="B69" s="98">
        <v>2005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</row>
    <row r="70" spans="2:15" ht="15">
      <c r="B70" s="98" t="s">
        <v>44</v>
      </c>
      <c r="C70" s="114">
        <v>0.0525</v>
      </c>
      <c r="D70" s="114"/>
      <c r="E70" s="114">
        <v>0.0232</v>
      </c>
      <c r="F70" s="114"/>
      <c r="G70" s="114">
        <v>0.0422</v>
      </c>
      <c r="H70" s="114"/>
      <c r="I70" s="114"/>
      <c r="J70" s="114"/>
      <c r="K70" s="114">
        <v>0.0568</v>
      </c>
      <c r="L70" s="114"/>
      <c r="M70" s="114">
        <v>0.0578</v>
      </c>
      <c r="N70" s="114"/>
      <c r="O70" s="114">
        <v>0.0595</v>
      </c>
    </row>
    <row r="71" spans="2:15" ht="15">
      <c r="B71" s="98" t="s">
        <v>45</v>
      </c>
      <c r="C71" s="114">
        <v>0.055</v>
      </c>
      <c r="D71" s="114"/>
      <c r="E71" s="114">
        <v>0.0253</v>
      </c>
      <c r="F71" s="114"/>
      <c r="G71" s="114">
        <v>0.0417</v>
      </c>
      <c r="H71" s="114"/>
      <c r="I71" s="114"/>
      <c r="J71" s="114"/>
      <c r="K71" s="114">
        <v>0.0555</v>
      </c>
      <c r="L71" s="114"/>
      <c r="M71" s="114">
        <v>0.0561</v>
      </c>
      <c r="N71" s="114"/>
      <c r="O71" s="114">
        <v>0.0576</v>
      </c>
    </row>
    <row r="72" spans="2:15" ht="15">
      <c r="B72" s="98" t="s">
        <v>46</v>
      </c>
      <c r="C72" s="114">
        <v>0.0575</v>
      </c>
      <c r="D72" s="114"/>
      <c r="E72" s="114">
        <v>0.0275</v>
      </c>
      <c r="F72" s="114"/>
      <c r="G72" s="114">
        <v>0.045</v>
      </c>
      <c r="H72" s="114"/>
      <c r="I72" s="114"/>
      <c r="J72" s="114"/>
      <c r="K72" s="114">
        <v>0.0576</v>
      </c>
      <c r="L72" s="114"/>
      <c r="M72" s="114">
        <v>0.0583</v>
      </c>
      <c r="N72" s="114"/>
      <c r="O72" s="114">
        <v>0.0601</v>
      </c>
    </row>
    <row r="73" spans="2:15" ht="15">
      <c r="B73" s="98" t="s">
        <v>47</v>
      </c>
      <c r="C73" s="114">
        <v>0.0575</v>
      </c>
      <c r="D73" s="114"/>
      <c r="E73" s="114">
        <v>0.0279</v>
      </c>
      <c r="F73" s="114"/>
      <c r="G73" s="114">
        <v>0.0434</v>
      </c>
      <c r="H73" s="114"/>
      <c r="I73" s="114"/>
      <c r="J73" s="114"/>
      <c r="K73" s="114">
        <v>0.0556</v>
      </c>
      <c r="L73" s="114"/>
      <c r="M73" s="114">
        <v>0.0564</v>
      </c>
      <c r="N73" s="114"/>
      <c r="O73" s="114">
        <v>0.0595</v>
      </c>
    </row>
    <row r="74" spans="2:15" ht="15">
      <c r="B74" s="98" t="s">
        <v>48</v>
      </c>
      <c r="C74" s="114">
        <v>0.06</v>
      </c>
      <c r="D74" s="114"/>
      <c r="E74" s="114">
        <v>0.0286</v>
      </c>
      <c r="F74" s="114"/>
      <c r="G74" s="114">
        <v>0.0414</v>
      </c>
      <c r="H74" s="114"/>
      <c r="I74" s="114"/>
      <c r="J74" s="114"/>
      <c r="K74" s="114">
        <v>0.0539</v>
      </c>
      <c r="L74" s="114"/>
      <c r="M74" s="114">
        <v>0.0553</v>
      </c>
      <c r="N74" s="114"/>
      <c r="O74" s="114">
        <v>0.0588</v>
      </c>
    </row>
    <row r="75" spans="2:15" ht="15">
      <c r="B75" s="98" t="s">
        <v>49</v>
      </c>
      <c r="C75" s="114">
        <v>0.0625</v>
      </c>
      <c r="D75" s="114"/>
      <c r="E75" s="114">
        <v>0.0299</v>
      </c>
      <c r="F75" s="114"/>
      <c r="G75" s="114">
        <v>0.04</v>
      </c>
      <c r="H75" s="114"/>
      <c r="I75" s="114"/>
      <c r="J75" s="114"/>
      <c r="K75" s="114">
        <v>0.0505</v>
      </c>
      <c r="L75" s="114"/>
      <c r="M75" s="114">
        <v>0.054</v>
      </c>
      <c r="N75" s="114"/>
      <c r="O75" s="114">
        <v>0.057</v>
      </c>
    </row>
    <row r="76" spans="2:15" ht="15">
      <c r="B76" s="98" t="s">
        <v>50</v>
      </c>
      <c r="C76" s="114">
        <v>0.0625</v>
      </c>
      <c r="D76" s="114"/>
      <c r="E76" s="114">
        <v>0.0322</v>
      </c>
      <c r="F76" s="114"/>
      <c r="G76" s="114">
        <v>0.0418</v>
      </c>
      <c r="H76" s="114"/>
      <c r="I76" s="114"/>
      <c r="J76" s="114"/>
      <c r="K76" s="114">
        <v>0.0518</v>
      </c>
      <c r="L76" s="114"/>
      <c r="M76" s="114">
        <v>0.0551</v>
      </c>
      <c r="N76" s="114"/>
      <c r="O76" s="114">
        <v>0.0581</v>
      </c>
    </row>
    <row r="77" spans="2:15" ht="15">
      <c r="B77" s="98" t="s">
        <v>51</v>
      </c>
      <c r="C77" s="114">
        <v>0.065</v>
      </c>
      <c r="D77" s="114"/>
      <c r="E77" s="114">
        <v>0.0345</v>
      </c>
      <c r="F77" s="114"/>
      <c r="G77" s="114">
        <v>0.0426</v>
      </c>
      <c r="H77" s="114"/>
      <c r="I77" s="114"/>
      <c r="J77" s="114"/>
      <c r="K77" s="114">
        <v>0.0523</v>
      </c>
      <c r="L77" s="114"/>
      <c r="M77" s="114">
        <v>0.055</v>
      </c>
      <c r="N77" s="114"/>
      <c r="O77" s="114">
        <v>0.058</v>
      </c>
    </row>
    <row r="78" spans="2:15" ht="15">
      <c r="B78" s="98" t="s">
        <v>52</v>
      </c>
      <c r="C78" s="114">
        <v>0.0675</v>
      </c>
      <c r="D78" s="114"/>
      <c r="E78" s="114">
        <v>0.0347</v>
      </c>
      <c r="F78" s="114"/>
      <c r="G78" s="114">
        <v>0.042</v>
      </c>
      <c r="H78" s="114"/>
      <c r="I78" s="114"/>
      <c r="J78" s="114"/>
      <c r="K78" s="114">
        <v>0.0527</v>
      </c>
      <c r="L78" s="114"/>
      <c r="M78" s="114">
        <v>0.0552</v>
      </c>
      <c r="N78" s="114"/>
      <c r="O78" s="114">
        <v>0.0583</v>
      </c>
    </row>
    <row r="79" spans="2:15" ht="15">
      <c r="B79" s="98" t="s">
        <v>53</v>
      </c>
      <c r="C79" s="114">
        <v>0.0675</v>
      </c>
      <c r="D79" s="114"/>
      <c r="E79" s="114">
        <v>0.037</v>
      </c>
      <c r="F79" s="114"/>
      <c r="G79" s="114">
        <v>0.0446</v>
      </c>
      <c r="H79" s="114"/>
      <c r="I79" s="114"/>
      <c r="J79" s="114"/>
      <c r="K79" s="114">
        <v>0.055</v>
      </c>
      <c r="L79" s="114"/>
      <c r="M79" s="114">
        <v>0.0579</v>
      </c>
      <c r="N79" s="114"/>
      <c r="O79" s="114">
        <v>0.0608</v>
      </c>
    </row>
    <row r="80" spans="2:15" ht="15">
      <c r="B80" s="98" t="s">
        <v>54</v>
      </c>
      <c r="C80" s="114">
        <v>0.07</v>
      </c>
      <c r="D80" s="114"/>
      <c r="E80" s="114">
        <v>0.039</v>
      </c>
      <c r="F80" s="114"/>
      <c r="G80" s="114">
        <v>0.0454</v>
      </c>
      <c r="H80" s="114"/>
      <c r="I80" s="114"/>
      <c r="J80" s="114"/>
      <c r="K80" s="114">
        <v>0.0559</v>
      </c>
      <c r="L80" s="114"/>
      <c r="M80" s="114">
        <v>0.0588</v>
      </c>
      <c r="N80" s="114"/>
      <c r="O80" s="114">
        <v>0.0619</v>
      </c>
    </row>
    <row r="81" spans="2:15" ht="15">
      <c r="B81" s="98" t="s">
        <v>55</v>
      </c>
      <c r="C81" s="114">
        <v>0.0725</v>
      </c>
      <c r="D81" s="114"/>
      <c r="E81" s="114">
        <v>0.0389</v>
      </c>
      <c r="F81" s="114"/>
      <c r="G81" s="114">
        <v>0.0447</v>
      </c>
      <c r="H81" s="114"/>
      <c r="I81" s="114"/>
      <c r="J81" s="114"/>
      <c r="K81" s="114">
        <v>0.0555</v>
      </c>
      <c r="L81" s="114"/>
      <c r="M81" s="114">
        <v>0.058</v>
      </c>
      <c r="N81" s="114"/>
      <c r="O81" s="114">
        <v>0.0614</v>
      </c>
    </row>
    <row r="82" spans="2:15" ht="15">
      <c r="B82" s="98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</row>
    <row r="83" spans="2:15" ht="15">
      <c r="B83" s="98">
        <v>2006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2:15" ht="15">
      <c r="B84" s="98" t="s">
        <v>44</v>
      </c>
      <c r="C84" s="114">
        <v>0.075</v>
      </c>
      <c r="D84" s="114"/>
      <c r="E84" s="114">
        <v>0.042</v>
      </c>
      <c r="F84" s="114"/>
      <c r="G84" s="114">
        <v>0.0442</v>
      </c>
      <c r="H84" s="114"/>
      <c r="I84" s="114"/>
      <c r="J84" s="114"/>
      <c r="K84" s="114">
        <v>0.055</v>
      </c>
      <c r="L84" s="114"/>
      <c r="M84" s="114">
        <v>0.0575</v>
      </c>
      <c r="N84" s="114"/>
      <c r="O84" s="114">
        <v>0.0606</v>
      </c>
    </row>
    <row r="85" spans="2:15" ht="15">
      <c r="B85" s="98" t="s">
        <v>45</v>
      </c>
      <c r="C85" s="114">
        <v>0.075</v>
      </c>
      <c r="D85" s="114"/>
      <c r="E85" s="114">
        <v>0.0441</v>
      </c>
      <c r="F85" s="114"/>
      <c r="G85" s="114">
        <v>0.0457</v>
      </c>
      <c r="H85" s="114"/>
      <c r="I85" s="114"/>
      <c r="J85" s="114"/>
      <c r="K85" s="114">
        <v>0.0555</v>
      </c>
      <c r="L85" s="114"/>
      <c r="M85" s="114">
        <v>0.0582</v>
      </c>
      <c r="N85" s="114"/>
      <c r="O85" s="114">
        <v>0.0611</v>
      </c>
    </row>
    <row r="86" spans="2:15" ht="15">
      <c r="B86" s="98" t="s">
        <v>46</v>
      </c>
      <c r="C86" s="114">
        <v>0.0775</v>
      </c>
      <c r="D86" s="114"/>
      <c r="E86" s="114">
        <v>0.0451</v>
      </c>
      <c r="F86" s="114"/>
      <c r="G86" s="114">
        <v>0.0472</v>
      </c>
      <c r="H86" s="114"/>
      <c r="I86" s="114"/>
      <c r="J86" s="114"/>
      <c r="K86" s="114">
        <v>0.0571</v>
      </c>
      <c r="L86" s="114"/>
      <c r="M86" s="114">
        <v>0.0598</v>
      </c>
      <c r="N86" s="114"/>
      <c r="O86" s="114">
        <v>0.0626</v>
      </c>
    </row>
    <row r="87" spans="2:15" ht="15">
      <c r="B87" s="98" t="s">
        <v>47</v>
      </c>
      <c r="C87" s="114">
        <v>0.0775</v>
      </c>
      <c r="D87" s="114"/>
      <c r="E87" s="114">
        <v>0.0459</v>
      </c>
      <c r="F87" s="114"/>
      <c r="G87" s="114">
        <v>0.0499</v>
      </c>
      <c r="H87" s="114"/>
      <c r="I87" s="114"/>
      <c r="J87" s="114"/>
      <c r="K87" s="114">
        <v>0.0602</v>
      </c>
      <c r="L87" s="114"/>
      <c r="M87" s="114">
        <v>0.0629</v>
      </c>
      <c r="N87" s="114"/>
      <c r="O87" s="114">
        <v>0.0654</v>
      </c>
    </row>
    <row r="88" spans="2:15" ht="15">
      <c r="B88" s="98" t="s">
        <v>48</v>
      </c>
      <c r="C88" s="114">
        <v>0.08</v>
      </c>
      <c r="D88" s="114"/>
      <c r="E88" s="114">
        <v>0.0472</v>
      </c>
      <c r="F88" s="114"/>
      <c r="G88" s="114">
        <v>0.0511</v>
      </c>
      <c r="H88" s="114"/>
      <c r="I88" s="114"/>
      <c r="J88" s="114"/>
      <c r="K88" s="114">
        <v>0.0616</v>
      </c>
      <c r="L88" s="114"/>
      <c r="M88" s="114">
        <v>0.0642</v>
      </c>
      <c r="N88" s="114"/>
      <c r="O88" s="114">
        <v>0.0659</v>
      </c>
    </row>
    <row r="89" spans="2:15" ht="15">
      <c r="B89" s="98" t="s">
        <v>49</v>
      </c>
      <c r="C89" s="114">
        <v>0.0825</v>
      </c>
      <c r="D89" s="114"/>
      <c r="E89" s="114">
        <v>0.0479</v>
      </c>
      <c r="F89" s="114"/>
      <c r="G89" s="114">
        <v>0.0511</v>
      </c>
      <c r="H89" s="114"/>
      <c r="I89" s="114"/>
      <c r="J89" s="114"/>
      <c r="K89" s="114">
        <v>0.0616</v>
      </c>
      <c r="L89" s="114"/>
      <c r="M89" s="114">
        <v>0.064</v>
      </c>
      <c r="N89" s="114"/>
      <c r="O89" s="114">
        <v>0.0661</v>
      </c>
    </row>
    <row r="90" spans="2:15" ht="15">
      <c r="B90" s="101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3:15" ht="1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3" spans="2:15" ht="15">
      <c r="B93" s="41" t="s">
        <v>56</v>
      </c>
      <c r="C93" s="108"/>
      <c r="E93" s="108"/>
      <c r="G93" s="108"/>
      <c r="I93" s="108"/>
      <c r="K93" s="108"/>
      <c r="M93" s="108"/>
      <c r="O93" s="108"/>
    </row>
    <row r="94" spans="2:15" ht="15">
      <c r="B94" s="41" t="s">
        <v>57</v>
      </c>
      <c r="C94" s="108"/>
      <c r="E94" s="108"/>
      <c r="G94" s="108"/>
      <c r="I94" s="108"/>
      <c r="K94" s="108"/>
      <c r="M94" s="108"/>
      <c r="O94" s="108"/>
    </row>
    <row r="95" spans="3:15" ht="15">
      <c r="C95" s="108"/>
      <c r="E95" s="108"/>
      <c r="G95" s="108"/>
      <c r="I95" s="108"/>
      <c r="K95" s="108"/>
      <c r="M95" s="108"/>
      <c r="O95" s="108"/>
    </row>
  </sheetData>
  <mergeCells count="1">
    <mergeCell ref="B47:O47"/>
  </mergeCells>
  <printOptions horizontalCentered="1"/>
  <pageMargins left="0.5" right="0.5" top="0.5" bottom="0.55" header="0" footer="0"/>
  <pageSetup fitToHeight="1" fitToWidth="1" horizontalDpi="600" verticalDpi="600" orientation="portrait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H2" sqref="H2"/>
    </sheetView>
  </sheetViews>
  <sheetFormatPr defaultColWidth="8.88671875" defaultRowHeight="15"/>
  <cols>
    <col min="1" max="1" width="16.10546875" style="0" bestFit="1" customWidth="1"/>
    <col min="2" max="2" width="16.10546875" style="0" customWidth="1"/>
    <col min="3" max="3" width="3.77734375" style="0" customWidth="1"/>
    <col min="5" max="5" width="3.77734375" style="0" customWidth="1"/>
    <col min="6" max="6" width="8.99609375" style="0" bestFit="1" customWidth="1"/>
    <col min="7" max="7" width="3.77734375" style="0" customWidth="1"/>
  </cols>
  <sheetData>
    <row r="1" ht="15.75">
      <c r="H1" s="46" t="s">
        <v>342</v>
      </c>
    </row>
    <row r="2" ht="15.75">
      <c r="H2" s="46" t="s">
        <v>162</v>
      </c>
    </row>
    <row r="3" ht="15.75">
      <c r="H3" s="46" t="s">
        <v>130</v>
      </c>
    </row>
    <row r="5" spans="1:8" ht="20.25">
      <c r="A5" s="217" t="s">
        <v>247</v>
      </c>
      <c r="B5" s="218"/>
      <c r="C5" s="218"/>
      <c r="D5" s="218"/>
      <c r="E5" s="218"/>
      <c r="F5" s="218"/>
      <c r="G5" s="218"/>
      <c r="H5" s="218"/>
    </row>
    <row r="6" spans="1:8" ht="20.25">
      <c r="A6" s="217" t="s">
        <v>212</v>
      </c>
      <c r="B6" s="218"/>
      <c r="C6" s="218"/>
      <c r="D6" s="218"/>
      <c r="E6" s="218"/>
      <c r="F6" s="218"/>
      <c r="G6" s="218"/>
      <c r="H6" s="218"/>
    </row>
    <row r="7" spans="1:8" ht="20.25">
      <c r="A7" s="217" t="s">
        <v>297</v>
      </c>
      <c r="B7" s="218"/>
      <c r="C7" s="218"/>
      <c r="D7" s="218"/>
      <c r="E7" s="218"/>
      <c r="F7" s="218"/>
      <c r="G7" s="218"/>
      <c r="H7" s="218"/>
    </row>
    <row r="9" ht="15">
      <c r="H9" s="45" t="s">
        <v>299</v>
      </c>
    </row>
    <row r="10" spans="1:8" ht="15">
      <c r="A10" s="45" t="s">
        <v>211</v>
      </c>
      <c r="B10" s="45" t="s">
        <v>296</v>
      </c>
      <c r="C10" s="45"/>
      <c r="D10" s="45" t="s">
        <v>168</v>
      </c>
      <c r="E10" s="45"/>
      <c r="F10" s="187" t="s">
        <v>194</v>
      </c>
      <c r="G10" s="187"/>
      <c r="H10" s="187" t="s">
        <v>194</v>
      </c>
    </row>
    <row r="11" spans="1:8" ht="15">
      <c r="A11" s="48"/>
      <c r="B11" s="48"/>
      <c r="C11" s="48"/>
      <c r="D11" s="48"/>
      <c r="E11" s="48"/>
      <c r="F11" s="118"/>
      <c r="G11" s="118"/>
      <c r="H11" s="48"/>
    </row>
    <row r="12" spans="1:8" ht="15">
      <c r="A12" s="47"/>
      <c r="B12" s="47"/>
      <c r="C12" s="47"/>
      <c r="D12" s="47"/>
      <c r="E12" s="47"/>
      <c r="F12" s="128"/>
      <c r="G12" s="128"/>
      <c r="H12" s="47"/>
    </row>
    <row r="13" spans="1:8" ht="15">
      <c r="A13" t="s">
        <v>314</v>
      </c>
      <c r="B13" s="186">
        <v>165726000</v>
      </c>
      <c r="C13" s="186" t="s">
        <v>316</v>
      </c>
      <c r="D13" s="129">
        <f>+B13/B20</f>
        <v>0.5478199644536033</v>
      </c>
      <c r="F13" s="129">
        <v>0.0758</v>
      </c>
      <c r="G13" s="207" t="s">
        <v>318</v>
      </c>
      <c r="H13" s="129">
        <f>+D13*F13</f>
        <v>0.04152475330558313</v>
      </c>
    </row>
    <row r="14" spans="2:8" ht="15">
      <c r="B14" s="186"/>
      <c r="C14" s="186"/>
      <c r="D14" s="129"/>
      <c r="F14" s="129"/>
      <c r="G14" s="207"/>
      <c r="H14" s="129"/>
    </row>
    <row r="15" spans="1:8" ht="15">
      <c r="A15" t="s">
        <v>315</v>
      </c>
      <c r="B15" s="186">
        <f>+'Sch 13, p 2'!D26</f>
        <v>12363095.238333335</v>
      </c>
      <c r="C15" s="186" t="s">
        <v>317</v>
      </c>
      <c r="D15" s="129">
        <f>+B15/B20</f>
        <v>0.040867156595828534</v>
      </c>
      <c r="F15" s="129">
        <v>0.0659</v>
      </c>
      <c r="G15" s="207" t="s">
        <v>317</v>
      </c>
      <c r="H15" s="129">
        <f>+D15*F15</f>
        <v>0.0026931456196651006</v>
      </c>
    </row>
    <row r="16" spans="2:7" ht="15">
      <c r="B16" s="186"/>
      <c r="C16" s="186"/>
      <c r="E16" s="208"/>
      <c r="F16" s="129"/>
      <c r="G16" s="129"/>
    </row>
    <row r="17" spans="1:8" ht="15">
      <c r="A17" t="s">
        <v>89</v>
      </c>
      <c r="B17" s="186">
        <v>124430000</v>
      </c>
      <c r="C17" s="161" t="s">
        <v>316</v>
      </c>
      <c r="D17" s="204">
        <f>+B17/B20</f>
        <v>0.4113128789505682</v>
      </c>
      <c r="E17" s="209"/>
      <c r="F17" s="129">
        <v>0.0975</v>
      </c>
      <c r="G17" s="129"/>
      <c r="H17" s="129">
        <f>+D17*F17</f>
        <v>0.0401030056976804</v>
      </c>
    </row>
    <row r="18" spans="2:8" ht="15">
      <c r="B18" s="206"/>
      <c r="D18" s="153"/>
      <c r="E18" s="210"/>
      <c r="F18" s="203"/>
      <c r="G18" s="213"/>
      <c r="H18" s="48"/>
    </row>
    <row r="19" spans="2:8" ht="15">
      <c r="B19" s="205"/>
      <c r="C19" s="205"/>
      <c r="D19" s="47"/>
      <c r="E19" s="211"/>
      <c r="F19" s="45"/>
      <c r="G19" s="45"/>
      <c r="H19" s="47"/>
    </row>
    <row r="20" spans="1:8" ht="15">
      <c r="A20" t="s">
        <v>159</v>
      </c>
      <c r="B20" s="186">
        <f>SUM(B13:B17)</f>
        <v>302519095.23833334</v>
      </c>
      <c r="C20" s="186"/>
      <c r="D20" s="129">
        <f>SUM(D13:D17)</f>
        <v>1</v>
      </c>
      <c r="E20" s="207"/>
      <c r="F20" s="45"/>
      <c r="G20" s="45"/>
      <c r="H20" s="129">
        <f>+H13+H15+H17</f>
        <v>0.08432090462292863</v>
      </c>
    </row>
    <row r="21" ht="15">
      <c r="E21" s="208"/>
    </row>
    <row r="23" ht="15">
      <c r="A23" t="s">
        <v>329</v>
      </c>
    </row>
    <row r="24" ht="15">
      <c r="H24" s="129"/>
    </row>
    <row r="25" ht="15">
      <c r="A25" t="s">
        <v>313</v>
      </c>
    </row>
    <row r="27" ht="15">
      <c r="A27" t="s">
        <v>319</v>
      </c>
    </row>
  </sheetData>
  <mergeCells count="3">
    <mergeCell ref="A5:H5"/>
    <mergeCell ref="A6:H6"/>
    <mergeCell ref="A7:H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28" sqref="A28"/>
    </sheetView>
  </sheetViews>
  <sheetFormatPr defaultColWidth="8.88671875" defaultRowHeight="15"/>
  <cols>
    <col min="4" max="4" width="10.88671875" style="0" bestFit="1" customWidth="1"/>
  </cols>
  <sheetData>
    <row r="1" ht="15.75">
      <c r="E1" s="46" t="str">
        <f>+'Sch 13, p 1'!H1</f>
        <v>Exhibit No. ___ (DCP-14)</v>
      </c>
    </row>
    <row r="2" ht="15.75">
      <c r="E2" s="46" t="str">
        <f>+'Sch 13, p 1'!H2</f>
        <v>Schedule 13</v>
      </c>
    </row>
    <row r="3" ht="15.75">
      <c r="E3" s="46" t="s">
        <v>128</v>
      </c>
    </row>
    <row r="5" spans="1:6" ht="15.75">
      <c r="A5" s="223" t="s">
        <v>311</v>
      </c>
      <c r="B5" s="224"/>
      <c r="C5" s="224"/>
      <c r="D5" s="224"/>
      <c r="E5" s="224"/>
      <c r="F5" s="225"/>
    </row>
    <row r="6" spans="1:6" ht="15.75">
      <c r="A6" s="223" t="s">
        <v>312</v>
      </c>
      <c r="B6" s="224"/>
      <c r="C6" s="224"/>
      <c r="D6" s="224"/>
      <c r="E6" s="224"/>
      <c r="F6" s="225"/>
    </row>
    <row r="7" spans="1:6" ht="15.75">
      <c r="A7" s="223">
        <v>2005</v>
      </c>
      <c r="B7" s="224"/>
      <c r="C7" s="224"/>
      <c r="D7" s="224"/>
      <c r="E7" s="224"/>
      <c r="F7" s="225"/>
    </row>
    <row r="10" spans="1:4" ht="15">
      <c r="A10" s="45" t="s">
        <v>292</v>
      </c>
      <c r="B10" s="45"/>
      <c r="D10" s="45" t="s">
        <v>296</v>
      </c>
    </row>
    <row r="11" spans="1:5" ht="15">
      <c r="A11" s="118"/>
      <c r="B11" s="118"/>
      <c r="C11" s="48"/>
      <c r="D11" s="48"/>
      <c r="E11" s="48"/>
    </row>
    <row r="12" spans="1:5" ht="15">
      <c r="A12" s="128"/>
      <c r="B12" s="128"/>
      <c r="C12" s="47"/>
      <c r="D12" s="47"/>
      <c r="E12" s="47"/>
    </row>
    <row r="13" spans="1:4" ht="15">
      <c r="A13" s="45" t="s">
        <v>44</v>
      </c>
      <c r="B13" s="45"/>
      <c r="D13" s="186">
        <v>33306451.61</v>
      </c>
    </row>
    <row r="14" spans="1:4" ht="15">
      <c r="A14" s="45" t="s">
        <v>45</v>
      </c>
      <c r="B14" s="45"/>
      <c r="D14" s="186">
        <v>11432142.86</v>
      </c>
    </row>
    <row r="15" spans="1:4" ht="15">
      <c r="A15" s="45" t="s">
        <v>46</v>
      </c>
      <c r="B15" s="45"/>
      <c r="D15" s="186">
        <v>9338709.68</v>
      </c>
    </row>
    <row r="16" spans="1:4" ht="15">
      <c r="A16" s="45" t="s">
        <v>47</v>
      </c>
      <c r="B16" s="45"/>
      <c r="D16" s="186">
        <v>6500000</v>
      </c>
    </row>
    <row r="17" spans="1:4" ht="15">
      <c r="A17" s="45" t="s">
        <v>48</v>
      </c>
      <c r="B17" s="45"/>
      <c r="D17" s="186">
        <v>3806451.61</v>
      </c>
    </row>
    <row r="18" spans="1:4" ht="15">
      <c r="A18" s="45" t="s">
        <v>293</v>
      </c>
      <c r="B18" s="45"/>
      <c r="D18" s="186">
        <v>9480000</v>
      </c>
    </row>
    <row r="19" spans="1:4" ht="15">
      <c r="A19" s="45" t="s">
        <v>294</v>
      </c>
      <c r="B19" s="45"/>
      <c r="D19" s="186">
        <v>19183870.97</v>
      </c>
    </row>
    <row r="20" spans="1:4" ht="15">
      <c r="A20" s="45" t="s">
        <v>51</v>
      </c>
      <c r="B20" s="45"/>
      <c r="D20" s="186">
        <v>19832258.06</v>
      </c>
    </row>
    <row r="21" spans="1:4" ht="15">
      <c r="A21" s="45" t="s">
        <v>295</v>
      </c>
      <c r="B21" s="45"/>
      <c r="D21" s="186">
        <v>8231666.67</v>
      </c>
    </row>
    <row r="22" spans="1:4" ht="15">
      <c r="A22" s="45" t="s">
        <v>53</v>
      </c>
      <c r="B22" s="45"/>
      <c r="D22" s="186">
        <v>9858064.52</v>
      </c>
    </row>
    <row r="23" spans="1:4" ht="15">
      <c r="A23" s="45" t="s">
        <v>54</v>
      </c>
      <c r="B23" s="45"/>
      <c r="D23" s="186">
        <v>10113333.33</v>
      </c>
    </row>
    <row r="24" spans="1:4" ht="15">
      <c r="A24" s="45" t="s">
        <v>55</v>
      </c>
      <c r="B24" s="45"/>
      <c r="D24" s="186">
        <v>7274193.55</v>
      </c>
    </row>
    <row r="25" spans="1:4" ht="15">
      <c r="A25" s="45"/>
      <c r="B25" s="45"/>
      <c r="D25" s="186"/>
    </row>
    <row r="26" spans="1:4" ht="15">
      <c r="A26" t="s">
        <v>108</v>
      </c>
      <c r="D26" s="186">
        <f>AVERAGE(D13:D24)</f>
        <v>12363095.238333335</v>
      </c>
    </row>
    <row r="27" ht="15">
      <c r="D27" s="186"/>
    </row>
    <row r="28" spans="1:4" ht="15.75">
      <c r="A28" s="214" t="s">
        <v>321</v>
      </c>
      <c r="D28" s="186"/>
    </row>
    <row r="29" ht="15">
      <c r="D29" s="186"/>
    </row>
    <row r="30" spans="1:4" ht="15">
      <c r="A30" t="s">
        <v>322</v>
      </c>
      <c r="B30" s="129">
        <v>0.08</v>
      </c>
      <c r="D30" s="186"/>
    </row>
    <row r="31" spans="1:4" ht="15">
      <c r="A31" t="s">
        <v>323</v>
      </c>
      <c r="B31" s="129">
        <v>0.0613</v>
      </c>
      <c r="D31" s="186"/>
    </row>
    <row r="32" spans="1:4" ht="15">
      <c r="A32" t="s">
        <v>324</v>
      </c>
      <c r="B32" s="129">
        <v>0.0619</v>
      </c>
      <c r="D32" s="186"/>
    </row>
    <row r="33" spans="1:4" ht="15">
      <c r="A33" t="s">
        <v>325</v>
      </c>
      <c r="B33" s="129">
        <v>0.0625</v>
      </c>
      <c r="D33" s="186"/>
    </row>
    <row r="34" spans="1:4" ht="15">
      <c r="A34" t="s">
        <v>326</v>
      </c>
      <c r="B34" s="129">
        <v>0.0638</v>
      </c>
      <c r="D34" s="186"/>
    </row>
    <row r="35" spans="1:3" ht="15">
      <c r="A35" t="s">
        <v>108</v>
      </c>
      <c r="B35" s="129"/>
      <c r="C35" s="129">
        <f>AVERAGE(B30:B34)</f>
        <v>0.0659</v>
      </c>
    </row>
    <row r="36" spans="2:3" ht="15">
      <c r="B36" s="129"/>
      <c r="C36" s="129"/>
    </row>
    <row r="37" ht="15">
      <c r="A37" t="s">
        <v>327</v>
      </c>
    </row>
    <row r="38" ht="15">
      <c r="A38" t="s">
        <v>328</v>
      </c>
    </row>
  </sheetData>
  <mergeCells count="3">
    <mergeCell ref="A6:F6"/>
    <mergeCell ref="A5:F5"/>
    <mergeCell ref="A7:F7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tabSelected="1" workbookViewId="0" topLeftCell="A1">
      <selection activeCell="E2" sqref="E2"/>
    </sheetView>
  </sheetViews>
  <sheetFormatPr defaultColWidth="8.88671875" defaultRowHeight="15"/>
  <cols>
    <col min="1" max="1" width="20.4453125" style="0" customWidth="1"/>
    <col min="2" max="3" width="9.77734375" style="0" customWidth="1"/>
    <col min="4" max="4" width="9.3359375" style="0" customWidth="1"/>
    <col min="5" max="5" width="10.21484375" style="0" customWidth="1"/>
    <col min="6" max="6" width="11.5546875" style="0" customWidth="1"/>
    <col min="7" max="7" width="9.77734375" style="0" customWidth="1"/>
    <col min="8" max="8" width="2.77734375" style="0" customWidth="1"/>
    <col min="9" max="9" width="9.88671875" style="0" bestFit="1" customWidth="1"/>
  </cols>
  <sheetData>
    <row r="1" spans="1:12" ht="15.75">
      <c r="A1" s="151"/>
      <c r="B1" s="151"/>
      <c r="C1" s="151"/>
      <c r="D1" s="151"/>
      <c r="E1" s="201" t="s">
        <v>343</v>
      </c>
      <c r="F1" s="151"/>
      <c r="G1" s="151"/>
      <c r="H1" s="151"/>
      <c r="I1" s="151"/>
      <c r="J1" s="151"/>
      <c r="K1" s="151"/>
      <c r="L1" s="151"/>
    </row>
    <row r="2" spans="1:13" ht="15.75">
      <c r="A2" s="153"/>
      <c r="B2" s="153"/>
      <c r="C2" s="153"/>
      <c r="D2" s="153"/>
      <c r="E2" s="202" t="s">
        <v>270</v>
      </c>
      <c r="F2" s="153"/>
      <c r="G2" s="153"/>
      <c r="H2" s="153"/>
      <c r="I2" s="153"/>
      <c r="J2" s="153"/>
      <c r="K2" s="153"/>
      <c r="L2" s="153"/>
      <c r="M2" s="150"/>
    </row>
    <row r="3" spans="1:13" ht="1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0"/>
    </row>
    <row r="4" spans="1:13" ht="1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0"/>
    </row>
    <row r="5" spans="1:13" ht="18">
      <c r="A5" s="236" t="str">
        <f>+'Sch 13, p 1'!A5:H5</f>
        <v>CASCADE NATURAL GAS</v>
      </c>
      <c r="B5" s="236"/>
      <c r="C5" s="236"/>
      <c r="D5" s="236"/>
      <c r="E5" s="236"/>
      <c r="F5" s="236"/>
      <c r="G5" s="153"/>
      <c r="H5" s="153"/>
      <c r="I5" s="153"/>
      <c r="J5" s="153"/>
      <c r="K5" s="153"/>
      <c r="L5" s="153"/>
      <c r="M5" s="150"/>
    </row>
    <row r="6" spans="1:13" ht="18">
      <c r="A6" s="236" t="s">
        <v>271</v>
      </c>
      <c r="B6" s="236"/>
      <c r="C6" s="236"/>
      <c r="D6" s="236"/>
      <c r="E6" s="236"/>
      <c r="F6" s="236"/>
      <c r="G6" s="153"/>
      <c r="H6" s="153"/>
      <c r="I6" s="153"/>
      <c r="J6" s="153"/>
      <c r="K6" s="153"/>
      <c r="L6" s="153"/>
      <c r="M6" s="150"/>
    </row>
    <row r="7" spans="1:13" ht="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0"/>
    </row>
    <row r="8" spans="1:13" ht="1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0"/>
    </row>
    <row r="9" spans="1:13" ht="15">
      <c r="A9" s="153"/>
      <c r="B9" s="153"/>
      <c r="C9" s="153"/>
      <c r="D9" s="179" t="s">
        <v>272</v>
      </c>
      <c r="E9" s="154" t="s">
        <v>273</v>
      </c>
      <c r="F9" s="179"/>
      <c r="G9" s="179"/>
      <c r="H9" s="153"/>
      <c r="I9" s="238"/>
      <c r="J9" s="238"/>
      <c r="K9" s="238"/>
      <c r="L9" s="238"/>
      <c r="M9" s="150"/>
    </row>
    <row r="10" spans="1:13" ht="15">
      <c r="A10" s="154" t="str">
        <f>+'Sch 13, p 1'!A10</f>
        <v>Item</v>
      </c>
      <c r="B10" s="154" t="str">
        <f>+'Sch 13, p 1'!D10</f>
        <v>Percent</v>
      </c>
      <c r="C10" s="154" t="str">
        <f>+'Sch 13, p 1'!F10</f>
        <v>Cost</v>
      </c>
      <c r="D10" s="154" t="s">
        <v>194</v>
      </c>
      <c r="E10" s="154" t="str">
        <f>+D10</f>
        <v>Cost</v>
      </c>
      <c r="G10" s="154"/>
      <c r="H10" s="153"/>
      <c r="I10" s="153"/>
      <c r="J10" s="153"/>
      <c r="K10" s="153"/>
      <c r="L10" s="154"/>
      <c r="M10" s="150"/>
    </row>
    <row r="11" spans="1:13" ht="15">
      <c r="A11" s="153"/>
      <c r="B11" s="153"/>
      <c r="C11" s="153"/>
      <c r="D11" s="153"/>
      <c r="E11" s="154"/>
      <c r="F11" s="154"/>
      <c r="G11" s="154"/>
      <c r="H11" s="153"/>
      <c r="I11" s="153"/>
      <c r="J11" s="154"/>
      <c r="K11" s="154"/>
      <c r="L11" s="154"/>
      <c r="M11" s="150"/>
    </row>
    <row r="12" spans="1:13" ht="15.75">
      <c r="A12" s="40"/>
      <c r="B12" s="153"/>
      <c r="C12" s="153"/>
      <c r="D12" s="154"/>
      <c r="E12" s="154"/>
      <c r="F12" s="154"/>
      <c r="G12" s="154"/>
      <c r="H12" s="153"/>
      <c r="I12" s="154"/>
      <c r="J12" s="154"/>
      <c r="K12" s="154"/>
      <c r="L12" s="154"/>
      <c r="M12" s="150"/>
    </row>
    <row r="13" spans="1:13" ht="15">
      <c r="A13" s="27" t="str">
        <f>+'Sch 13, p 1'!A13</f>
        <v>Long-Term Debt </v>
      </c>
      <c r="B13" s="119">
        <f>+'Sch 13, p 1'!D13</f>
        <v>0.5478199644536033</v>
      </c>
      <c r="C13" s="119">
        <f>+'Sch 13, p 1'!F13</f>
        <v>0.0758</v>
      </c>
      <c r="D13" s="119">
        <f>+B13*C13</f>
        <v>0.04152475330558313</v>
      </c>
      <c r="E13" s="119">
        <f>+D13</f>
        <v>0.04152475330558313</v>
      </c>
      <c r="F13" s="154"/>
      <c r="G13" s="154"/>
      <c r="H13" s="154"/>
      <c r="I13" s="153"/>
      <c r="J13" s="153"/>
      <c r="K13" s="153"/>
      <c r="L13" s="153"/>
      <c r="M13" s="150"/>
    </row>
    <row r="14" spans="1:13" ht="18">
      <c r="A14" s="40"/>
      <c r="B14" s="144"/>
      <c r="C14" s="144"/>
      <c r="D14" s="144"/>
      <c r="E14" s="144"/>
      <c r="F14" s="144"/>
      <c r="G14" s="155"/>
      <c r="H14" s="155"/>
      <c r="I14" s="155"/>
      <c r="J14" s="155"/>
      <c r="K14" s="155"/>
      <c r="L14" s="155"/>
      <c r="M14" s="150"/>
    </row>
    <row r="15" spans="1:13" ht="15">
      <c r="A15" s="27" t="str">
        <f>+'Sch 13, p 1'!A15</f>
        <v>Short-Term Debt </v>
      </c>
      <c r="B15" s="119">
        <f>+'Sch 13, p 1'!D15</f>
        <v>0.040867156595828534</v>
      </c>
      <c r="C15" s="119">
        <f>+'Sch 13, p 1'!F15</f>
        <v>0.0659</v>
      </c>
      <c r="D15" s="119">
        <f>+B15*C15</f>
        <v>0.0026931456196651006</v>
      </c>
      <c r="E15" s="119">
        <f>+D15</f>
        <v>0.0026931456196651006</v>
      </c>
      <c r="F15" s="154"/>
      <c r="G15" s="154"/>
      <c r="H15" s="154"/>
      <c r="I15" s="153"/>
      <c r="J15" s="153"/>
      <c r="K15" s="153"/>
      <c r="L15" s="153"/>
      <c r="M15" s="150"/>
    </row>
    <row r="16" spans="1:13" ht="15">
      <c r="A16" s="27"/>
      <c r="B16" s="154"/>
      <c r="C16" s="154"/>
      <c r="D16" s="173"/>
      <c r="E16" s="173"/>
      <c r="F16" s="173"/>
      <c r="G16" s="154"/>
      <c r="H16" s="154"/>
      <c r="I16" s="153"/>
      <c r="J16" s="153"/>
      <c r="K16" s="153"/>
      <c r="L16" s="153"/>
      <c r="M16" s="150"/>
    </row>
    <row r="17" spans="1:13" ht="15">
      <c r="A17" s="27" t="str">
        <f>+'Sch 13, p 1'!A17</f>
        <v>Common Equity</v>
      </c>
      <c r="B17" s="119">
        <f>+'Sch 13, p 1'!D17</f>
        <v>0.4113128789505682</v>
      </c>
      <c r="C17" s="166">
        <v>0.0975</v>
      </c>
      <c r="D17" s="119">
        <f>+B17*C17</f>
        <v>0.0401030056976804</v>
      </c>
      <c r="E17" s="173">
        <f>+D17/0.6</f>
        <v>0.06683834282946734</v>
      </c>
      <c r="F17" s="180" t="s">
        <v>275</v>
      </c>
      <c r="G17" s="157"/>
      <c r="H17" s="153"/>
      <c r="I17" s="156"/>
      <c r="J17" s="157"/>
      <c r="K17" s="157"/>
      <c r="L17" s="157"/>
      <c r="M17" s="150"/>
    </row>
    <row r="18" spans="1:13" ht="15">
      <c r="A18" s="27"/>
      <c r="B18" s="144"/>
      <c r="C18" s="144"/>
      <c r="D18" s="173"/>
      <c r="E18" s="173"/>
      <c r="F18" s="173"/>
      <c r="G18" s="157"/>
      <c r="H18" s="160"/>
      <c r="I18" s="159"/>
      <c r="J18" s="157"/>
      <c r="K18" s="160"/>
      <c r="L18" s="157"/>
      <c r="M18" s="150"/>
    </row>
    <row r="19" spans="1:13" ht="15">
      <c r="A19" s="27"/>
      <c r="B19" s="154"/>
      <c r="C19" s="154"/>
      <c r="D19" s="173"/>
      <c r="E19" s="173"/>
      <c r="F19" s="173"/>
      <c r="G19" s="157"/>
      <c r="H19" s="160"/>
      <c r="I19" s="159"/>
      <c r="J19" s="157"/>
      <c r="K19" s="160"/>
      <c r="L19" s="157"/>
      <c r="M19" s="150"/>
    </row>
    <row r="20" spans="1:13" ht="15">
      <c r="A20" s="27" t="str">
        <f>+'Sch 13, p 1'!A20</f>
        <v>Total</v>
      </c>
      <c r="B20" s="166">
        <f>SUM(B13:B17)</f>
        <v>1</v>
      </c>
      <c r="C20" s="161"/>
      <c r="D20" s="166">
        <f>SUM(D13:D17)</f>
        <v>0.08432090462292863</v>
      </c>
      <c r="E20" s="166">
        <f>SUM(E13:E17)</f>
        <v>0.11105624175471557</v>
      </c>
      <c r="F20" s="173"/>
      <c r="G20" s="160"/>
      <c r="H20" s="160"/>
      <c r="I20" s="159"/>
      <c r="J20" s="162"/>
      <c r="K20" s="160"/>
      <c r="L20" s="160"/>
      <c r="M20" s="150"/>
    </row>
    <row r="21" spans="1:13" ht="15">
      <c r="A21" s="27"/>
      <c r="B21" s="161"/>
      <c r="C21" s="161"/>
      <c r="D21" s="173"/>
      <c r="E21" s="173"/>
      <c r="F21" s="173"/>
      <c r="G21" s="160"/>
      <c r="H21" s="160"/>
      <c r="I21" s="159"/>
      <c r="J21" s="160"/>
      <c r="K21" s="160"/>
      <c r="L21" s="160"/>
      <c r="M21" s="150"/>
    </row>
    <row r="22" spans="1:13" ht="15">
      <c r="A22" s="27"/>
      <c r="B22" s="161"/>
      <c r="C22" s="161"/>
      <c r="D22" s="173"/>
      <c r="E22" s="173"/>
      <c r="F22" s="173"/>
      <c r="G22" s="160"/>
      <c r="H22" s="160"/>
      <c r="I22" s="159"/>
      <c r="J22" s="162"/>
      <c r="K22" s="160"/>
      <c r="L22" s="160"/>
      <c r="M22" s="150"/>
    </row>
    <row r="23" spans="1:13" ht="15">
      <c r="A23" s="178" t="s">
        <v>274</v>
      </c>
      <c r="C23" s="161"/>
      <c r="D23" s="173"/>
      <c r="E23" s="173"/>
      <c r="F23" s="173"/>
      <c r="G23" s="157"/>
      <c r="H23" s="160"/>
      <c r="I23" s="159"/>
      <c r="J23" s="162"/>
      <c r="K23" s="160"/>
      <c r="L23" s="157"/>
      <c r="M23" s="150"/>
    </row>
    <row r="24" spans="1:13" ht="15">
      <c r="A24" s="27"/>
      <c r="B24" s="166"/>
      <c r="C24" s="166"/>
      <c r="D24" s="173"/>
      <c r="E24" s="173"/>
      <c r="F24" s="173"/>
      <c r="G24" s="157"/>
      <c r="H24" s="160"/>
      <c r="I24" s="159"/>
      <c r="J24" s="157"/>
      <c r="K24" s="164"/>
      <c r="L24" s="157"/>
      <c r="M24" s="150"/>
    </row>
    <row r="25" spans="1:13" ht="15">
      <c r="A25" s="27" t="s">
        <v>276</v>
      </c>
      <c r="B25" s="165" t="s">
        <v>310</v>
      </c>
      <c r="C25" s="161"/>
      <c r="D25" s="173"/>
      <c r="E25" s="173"/>
      <c r="F25" s="173"/>
      <c r="G25" s="157"/>
      <c r="H25" s="160"/>
      <c r="I25" s="159"/>
      <c r="J25" s="157"/>
      <c r="K25" s="160"/>
      <c r="L25" s="157"/>
      <c r="M25" s="150"/>
    </row>
    <row r="26" spans="1:13" ht="15.75">
      <c r="A26" s="27"/>
      <c r="B26" s="181">
        <f>+E20/(E13+E15)</f>
        <v>2.5115675881040773</v>
      </c>
      <c r="C26" s="166"/>
      <c r="D26" s="173"/>
      <c r="E26" s="173"/>
      <c r="F26" s="173"/>
      <c r="G26" s="160"/>
      <c r="H26" s="160"/>
      <c r="I26" s="159"/>
      <c r="J26" s="160"/>
      <c r="K26" s="160"/>
      <c r="L26" s="160"/>
      <c r="M26" s="150"/>
    </row>
    <row r="27" spans="1:13" ht="15">
      <c r="A27" s="27"/>
      <c r="B27" s="161"/>
      <c r="C27" s="161"/>
      <c r="D27" s="173"/>
      <c r="E27" s="173"/>
      <c r="F27" s="173"/>
      <c r="G27" s="160"/>
      <c r="H27" s="160"/>
      <c r="I27" s="159"/>
      <c r="J27" s="160"/>
      <c r="K27" s="160"/>
      <c r="L27" s="160"/>
      <c r="M27" s="150"/>
    </row>
    <row r="28" spans="1:13" ht="15">
      <c r="A28" s="27"/>
      <c r="B28" s="166"/>
      <c r="C28" s="166"/>
      <c r="D28" s="173"/>
      <c r="E28" s="173"/>
      <c r="F28" s="173"/>
      <c r="G28" s="162"/>
      <c r="H28" s="162"/>
      <c r="I28" s="159"/>
      <c r="J28" s="160"/>
      <c r="K28" s="160"/>
      <c r="L28" s="162"/>
      <c r="M28" s="150"/>
    </row>
    <row r="29" spans="1:13" ht="15.75">
      <c r="A29" s="38" t="s">
        <v>277</v>
      </c>
      <c r="B29" s="173"/>
      <c r="C29" s="173"/>
      <c r="D29" s="173"/>
      <c r="E29" s="173"/>
      <c r="F29" s="173"/>
      <c r="G29" s="168"/>
      <c r="H29" s="162"/>
      <c r="I29" s="159"/>
      <c r="J29" s="160"/>
      <c r="K29" s="160"/>
      <c r="L29" s="168"/>
      <c r="M29" s="150"/>
    </row>
    <row r="30" spans="1:13" ht="15">
      <c r="A30" s="27"/>
      <c r="B30" s="166"/>
      <c r="C30" s="166"/>
      <c r="D30" s="173"/>
      <c r="E30" s="173"/>
      <c r="F30" s="173"/>
      <c r="G30" s="162"/>
      <c r="H30" s="162"/>
      <c r="I30" s="159"/>
      <c r="J30" s="162"/>
      <c r="K30" s="160"/>
      <c r="L30" s="162"/>
      <c r="M30" s="150"/>
    </row>
    <row r="31" spans="1:13" ht="18">
      <c r="A31" s="27"/>
      <c r="B31" s="119"/>
      <c r="C31" s="119"/>
      <c r="D31" s="182" t="s">
        <v>143</v>
      </c>
      <c r="E31" s="182" t="s">
        <v>262</v>
      </c>
      <c r="F31" s="173"/>
      <c r="G31" s="175"/>
      <c r="H31" s="174"/>
      <c r="I31" s="174"/>
      <c r="J31" s="174"/>
      <c r="K31" s="174"/>
      <c r="L31" s="174"/>
      <c r="M31" s="150"/>
    </row>
    <row r="32" spans="1:13" ht="15">
      <c r="A32" s="27"/>
      <c r="B32" s="166"/>
      <c r="C32" s="166"/>
      <c r="D32" s="160"/>
      <c r="E32" s="160"/>
      <c r="F32" s="162"/>
      <c r="G32" s="159"/>
      <c r="H32" s="162"/>
      <c r="I32" s="159"/>
      <c r="J32" s="162"/>
      <c r="K32" s="162"/>
      <c r="L32" s="162"/>
      <c r="M32" s="150"/>
    </row>
    <row r="33" spans="1:13" ht="15">
      <c r="A33" s="153" t="s">
        <v>278</v>
      </c>
      <c r="B33" s="153"/>
      <c r="C33" s="153"/>
      <c r="D33" s="184" t="s">
        <v>282</v>
      </c>
      <c r="E33" s="185" t="s">
        <v>283</v>
      </c>
      <c r="F33" s="162"/>
      <c r="G33" s="162"/>
      <c r="H33" s="162"/>
      <c r="I33" s="169"/>
      <c r="J33" s="162"/>
      <c r="K33" s="162"/>
      <c r="L33" s="162"/>
      <c r="M33" s="150"/>
    </row>
    <row r="34" spans="1:13" ht="15">
      <c r="A34" s="153"/>
      <c r="B34" s="153"/>
      <c r="C34" s="153"/>
      <c r="D34" s="161"/>
      <c r="E34" s="166"/>
      <c r="F34" s="153"/>
      <c r="G34" s="156"/>
      <c r="H34" s="153"/>
      <c r="I34" s="156"/>
      <c r="J34" s="153"/>
      <c r="K34" s="153"/>
      <c r="L34" s="153"/>
      <c r="M34" s="150"/>
    </row>
    <row r="35" spans="1:13" ht="15">
      <c r="A35" s="153" t="s">
        <v>279</v>
      </c>
      <c r="B35" s="158"/>
      <c r="C35" s="158"/>
      <c r="D35" s="177" t="s">
        <v>280</v>
      </c>
      <c r="E35" s="183" t="s">
        <v>281</v>
      </c>
      <c r="F35" s="153"/>
      <c r="G35" s="156"/>
      <c r="H35" s="153"/>
      <c r="I35" s="156"/>
      <c r="J35" s="153"/>
      <c r="K35" s="153"/>
      <c r="L35" s="153"/>
      <c r="M35" s="150"/>
    </row>
    <row r="36" spans="1:13" ht="15">
      <c r="A36" s="153"/>
      <c r="B36" s="153"/>
      <c r="C36" s="153"/>
      <c r="D36" s="170"/>
      <c r="E36" s="163"/>
      <c r="F36" s="153"/>
      <c r="G36" s="156"/>
      <c r="H36" s="153"/>
      <c r="I36" s="156"/>
      <c r="J36" s="153"/>
      <c r="K36" s="153"/>
      <c r="L36" s="153"/>
      <c r="M36" s="150"/>
    </row>
    <row r="37" spans="1:13" ht="15">
      <c r="A37" s="153"/>
      <c r="B37" s="161"/>
      <c r="C37" s="161"/>
      <c r="D37" s="170"/>
      <c r="E37" s="166"/>
      <c r="F37" s="153"/>
      <c r="G37" s="156"/>
      <c r="H37" s="153"/>
      <c r="I37" s="153"/>
      <c r="J37" s="153"/>
      <c r="K37" s="153"/>
      <c r="L37" s="153"/>
      <c r="M37" s="150"/>
    </row>
    <row r="38" spans="1:13" ht="15">
      <c r="A38" s="153" t="s">
        <v>284</v>
      </c>
      <c r="B38" s="161"/>
      <c r="C38" s="161"/>
      <c r="D38" s="170"/>
      <c r="E38" s="166"/>
      <c r="F38" s="153"/>
      <c r="G38" s="153"/>
      <c r="H38" s="153"/>
      <c r="I38" s="156"/>
      <c r="J38" s="153"/>
      <c r="K38" s="153"/>
      <c r="L38" s="153"/>
      <c r="M38" s="150"/>
    </row>
    <row r="39" spans="1:13" ht="15">
      <c r="A39" s="153" t="s">
        <v>285</v>
      </c>
      <c r="B39" s="161"/>
      <c r="C39" s="161"/>
      <c r="D39" s="170"/>
      <c r="E39" s="166"/>
      <c r="F39" s="153"/>
      <c r="G39" s="153"/>
      <c r="H39" s="153"/>
      <c r="I39" s="153"/>
      <c r="J39" s="153"/>
      <c r="K39" s="153"/>
      <c r="L39" s="153"/>
      <c r="M39" s="150"/>
    </row>
    <row r="40" spans="1:13" ht="15">
      <c r="A40" s="153" t="s">
        <v>286</v>
      </c>
      <c r="B40" s="161"/>
      <c r="C40" s="161"/>
      <c r="D40" s="170"/>
      <c r="E40" s="166"/>
      <c r="F40" s="153"/>
      <c r="G40" s="153"/>
      <c r="H40" s="153"/>
      <c r="I40" s="153"/>
      <c r="J40" s="153"/>
      <c r="K40" s="153"/>
      <c r="L40" s="153"/>
      <c r="M40" s="150"/>
    </row>
    <row r="41" spans="1:13" ht="15">
      <c r="A41" s="153"/>
      <c r="B41" s="163"/>
      <c r="C41" s="163"/>
      <c r="D41" s="170"/>
      <c r="E41" s="166"/>
      <c r="F41" s="153"/>
      <c r="G41" s="153"/>
      <c r="H41" s="153"/>
      <c r="I41" s="156"/>
      <c r="J41" s="153"/>
      <c r="K41" s="153"/>
      <c r="L41" s="153"/>
      <c r="M41" s="150"/>
    </row>
    <row r="42" spans="1:13" ht="15">
      <c r="A42" s="153"/>
      <c r="B42" s="165"/>
      <c r="C42" s="165"/>
      <c r="D42" s="170"/>
      <c r="E42" s="166"/>
      <c r="F42" s="153"/>
      <c r="G42" s="153"/>
      <c r="H42" s="153"/>
      <c r="I42" s="156"/>
      <c r="J42" s="153"/>
      <c r="K42" s="153"/>
      <c r="L42" s="153"/>
      <c r="M42" s="150"/>
    </row>
    <row r="43" spans="1:13" ht="15">
      <c r="A43" s="153"/>
      <c r="B43" s="166"/>
      <c r="C43" s="166"/>
      <c r="D43" s="170"/>
      <c r="E43" s="166"/>
      <c r="F43" s="153"/>
      <c r="G43" s="153"/>
      <c r="H43" s="153"/>
      <c r="I43" s="153"/>
      <c r="J43" s="153"/>
      <c r="K43" s="153"/>
      <c r="L43" s="153"/>
      <c r="M43" s="150"/>
    </row>
    <row r="44" spans="1:13" ht="15">
      <c r="A44" s="167"/>
      <c r="B44" s="161"/>
      <c r="C44" s="161"/>
      <c r="D44" s="170"/>
      <c r="E44" s="166"/>
      <c r="F44" s="153"/>
      <c r="G44" s="153"/>
      <c r="H44" s="153"/>
      <c r="I44" s="156"/>
      <c r="J44" s="153"/>
      <c r="K44" s="153"/>
      <c r="L44" s="153"/>
      <c r="M44" s="150"/>
    </row>
    <row r="45" spans="1:13" ht="15">
      <c r="A45" s="153"/>
      <c r="B45" s="166"/>
      <c r="C45" s="166"/>
      <c r="D45" s="170"/>
      <c r="E45" s="166"/>
      <c r="F45" s="153"/>
      <c r="G45" s="153"/>
      <c r="H45" s="153"/>
      <c r="I45" s="153"/>
      <c r="J45" s="153"/>
      <c r="K45" s="153"/>
      <c r="L45" s="153"/>
      <c r="M45" s="150"/>
    </row>
    <row r="46" spans="1:13" ht="15">
      <c r="A46" s="153"/>
      <c r="B46" s="166"/>
      <c r="C46" s="166"/>
      <c r="D46" s="170"/>
      <c r="E46" s="166"/>
      <c r="F46" s="153"/>
      <c r="G46" s="153"/>
      <c r="H46" s="153"/>
      <c r="I46" s="153"/>
      <c r="J46" s="153"/>
      <c r="K46" s="153"/>
      <c r="L46" s="153"/>
      <c r="M46" s="150"/>
    </row>
    <row r="47" spans="1:13" ht="15">
      <c r="A47" s="153"/>
      <c r="B47" s="166"/>
      <c r="C47" s="166"/>
      <c r="D47" s="170"/>
      <c r="E47" s="166"/>
      <c r="F47" s="153"/>
      <c r="G47" s="153"/>
      <c r="H47" s="153"/>
      <c r="I47" s="153"/>
      <c r="J47" s="153"/>
      <c r="K47" s="153"/>
      <c r="L47" s="153"/>
      <c r="M47" s="150"/>
    </row>
    <row r="48" spans="1:13" ht="15">
      <c r="A48" s="153"/>
      <c r="B48" s="166"/>
      <c r="C48" s="166"/>
      <c r="D48" s="170"/>
      <c r="E48" s="166"/>
      <c r="F48" s="153"/>
      <c r="G48" s="153"/>
      <c r="H48" s="153"/>
      <c r="I48" s="153"/>
      <c r="J48" s="153"/>
      <c r="K48" s="153"/>
      <c r="L48" s="153"/>
      <c r="M48" s="150"/>
    </row>
    <row r="49" spans="1:13" ht="18">
      <c r="A49" s="153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150"/>
    </row>
    <row r="50" spans="1:13" ht="15">
      <c r="A50" s="153"/>
      <c r="B50" s="166"/>
      <c r="C50" s="166"/>
      <c r="D50" s="170"/>
      <c r="E50" s="166"/>
      <c r="F50" s="153"/>
      <c r="G50" s="153"/>
      <c r="H50" s="153"/>
      <c r="I50" s="153"/>
      <c r="J50" s="153"/>
      <c r="K50" s="153"/>
      <c r="L50" s="153"/>
      <c r="M50" s="150"/>
    </row>
    <row r="51" spans="1:13" ht="15">
      <c r="A51" s="153"/>
      <c r="B51" s="153"/>
      <c r="C51" s="153"/>
      <c r="D51" s="170"/>
      <c r="E51" s="166"/>
      <c r="F51" s="153"/>
      <c r="G51" s="153"/>
      <c r="H51" s="153"/>
      <c r="I51" s="153"/>
      <c r="J51" s="153"/>
      <c r="K51" s="153"/>
      <c r="L51" s="153"/>
      <c r="M51" s="150"/>
    </row>
    <row r="52" spans="1:13" ht="15">
      <c r="A52" s="153"/>
      <c r="B52" s="153"/>
      <c r="C52" s="153"/>
      <c r="D52" s="170"/>
      <c r="E52" s="171"/>
      <c r="F52" s="171"/>
      <c r="G52" s="171"/>
      <c r="H52" s="153"/>
      <c r="I52" s="156"/>
      <c r="J52" s="171"/>
      <c r="K52" s="157"/>
      <c r="L52" s="171"/>
      <c r="M52" s="150"/>
    </row>
    <row r="53" spans="1:13" ht="15">
      <c r="A53" s="153"/>
      <c r="B53" s="158"/>
      <c r="C53" s="158"/>
      <c r="D53" s="170"/>
      <c r="E53" s="171"/>
      <c r="F53" s="171"/>
      <c r="G53" s="171"/>
      <c r="H53" s="153"/>
      <c r="I53" s="156"/>
      <c r="J53" s="171"/>
      <c r="K53" s="157"/>
      <c r="L53" s="171"/>
      <c r="M53" s="150"/>
    </row>
    <row r="54" spans="1:13" ht="15">
      <c r="A54" s="153"/>
      <c r="B54" s="153"/>
      <c r="C54" s="153"/>
      <c r="D54" s="170"/>
      <c r="E54" s="171"/>
      <c r="F54" s="171"/>
      <c r="G54" s="171"/>
      <c r="H54" s="153"/>
      <c r="I54" s="156"/>
      <c r="J54" s="171"/>
      <c r="K54" s="157"/>
      <c r="L54" s="171"/>
      <c r="M54" s="150"/>
    </row>
    <row r="55" spans="1:13" ht="15">
      <c r="A55" s="153"/>
      <c r="B55" s="161"/>
      <c r="C55" s="161"/>
      <c r="D55" s="170"/>
      <c r="E55" s="166"/>
      <c r="F55" s="171"/>
      <c r="G55" s="171"/>
      <c r="H55" s="153"/>
      <c r="I55" s="153"/>
      <c r="J55" s="166"/>
      <c r="K55" s="157"/>
      <c r="L55" s="171"/>
      <c r="M55" s="150"/>
    </row>
    <row r="56" spans="1:13" ht="15">
      <c r="A56" s="153"/>
      <c r="B56" s="161"/>
      <c r="C56" s="161"/>
      <c r="D56" s="170"/>
      <c r="E56" s="171"/>
      <c r="F56" s="171"/>
      <c r="G56" s="171"/>
      <c r="H56" s="153"/>
      <c r="I56" s="156"/>
      <c r="J56" s="171"/>
      <c r="K56" s="157"/>
      <c r="L56" s="171"/>
      <c r="M56" s="150"/>
    </row>
    <row r="57" spans="1:13" ht="15">
      <c r="A57" s="153"/>
      <c r="B57" s="161"/>
      <c r="C57" s="161"/>
      <c r="D57" s="170"/>
      <c r="E57" s="172"/>
      <c r="F57" s="171"/>
      <c r="G57" s="171"/>
      <c r="H57" s="153"/>
      <c r="I57" s="153"/>
      <c r="J57" s="172"/>
      <c r="K57" s="157"/>
      <c r="L57" s="171"/>
      <c r="M57" s="150"/>
    </row>
    <row r="58" spans="1:13" ht="15">
      <c r="A58" s="153"/>
      <c r="B58" s="161"/>
      <c r="C58" s="161"/>
      <c r="D58" s="170"/>
      <c r="E58" s="166"/>
      <c r="F58" s="171"/>
      <c r="G58" s="171"/>
      <c r="H58" s="153"/>
      <c r="I58" s="153"/>
      <c r="J58" s="166"/>
      <c r="K58" s="157"/>
      <c r="L58" s="171"/>
      <c r="M58" s="150"/>
    </row>
    <row r="59" spans="1:13" ht="15">
      <c r="A59" s="153"/>
      <c r="B59" s="163"/>
      <c r="C59" s="163"/>
      <c r="D59" s="170"/>
      <c r="E59" s="171"/>
      <c r="F59" s="171"/>
      <c r="G59" s="171"/>
      <c r="H59" s="153"/>
      <c r="I59" s="156"/>
      <c r="J59" s="171"/>
      <c r="K59" s="157"/>
      <c r="L59" s="171"/>
      <c r="M59" s="150"/>
    </row>
    <row r="60" spans="1:13" ht="15">
      <c r="A60" s="153"/>
      <c r="B60" s="165"/>
      <c r="C60" s="165"/>
      <c r="D60" s="170"/>
      <c r="E60" s="171"/>
      <c r="F60" s="171"/>
      <c r="G60" s="171"/>
      <c r="H60" s="153"/>
      <c r="I60" s="156"/>
      <c r="J60" s="171"/>
      <c r="K60" s="157"/>
      <c r="L60" s="171"/>
      <c r="M60" s="150"/>
    </row>
    <row r="61" spans="1:13" ht="15">
      <c r="A61" s="153"/>
      <c r="B61" s="166"/>
      <c r="C61" s="166"/>
      <c r="D61" s="170"/>
      <c r="E61" s="166"/>
      <c r="F61" s="171"/>
      <c r="G61" s="171"/>
      <c r="H61" s="153"/>
      <c r="I61" s="153"/>
      <c r="J61" s="166"/>
      <c r="K61" s="157"/>
      <c r="L61" s="171"/>
      <c r="M61" s="150"/>
    </row>
    <row r="62" spans="1:13" ht="15">
      <c r="A62" s="167"/>
      <c r="B62" s="161"/>
      <c r="C62" s="161"/>
      <c r="D62" s="170"/>
      <c r="E62" s="171"/>
      <c r="F62" s="171"/>
      <c r="G62" s="171"/>
      <c r="H62" s="153"/>
      <c r="I62" s="156"/>
      <c r="J62" s="171"/>
      <c r="K62" s="157"/>
      <c r="L62" s="171"/>
      <c r="M62" s="150"/>
    </row>
    <row r="63" spans="1:13" ht="15">
      <c r="A63" s="153"/>
      <c r="B63" s="166"/>
      <c r="C63" s="166"/>
      <c r="D63" s="170"/>
      <c r="E63" s="171"/>
      <c r="F63" s="171"/>
      <c r="G63" s="171"/>
      <c r="H63" s="153"/>
      <c r="I63" s="153"/>
      <c r="J63" s="171"/>
      <c r="K63" s="157"/>
      <c r="L63" s="171"/>
      <c r="M63" s="150"/>
    </row>
    <row r="64" spans="1:13" ht="15.75">
      <c r="A64" s="153"/>
      <c r="B64" s="166"/>
      <c r="C64" s="166"/>
      <c r="D64" s="170"/>
      <c r="E64" s="171"/>
      <c r="F64" s="171"/>
      <c r="G64" s="168"/>
      <c r="H64" s="153"/>
      <c r="I64" s="156"/>
      <c r="J64" s="171"/>
      <c r="K64" s="157"/>
      <c r="L64" s="168"/>
      <c r="M64" s="150"/>
    </row>
    <row r="65" spans="1:13" ht="15">
      <c r="A65" s="153"/>
      <c r="B65" s="166"/>
      <c r="C65" s="166"/>
      <c r="D65" s="170"/>
      <c r="E65" s="166"/>
      <c r="F65" s="153"/>
      <c r="G65" s="153"/>
      <c r="H65" s="153"/>
      <c r="I65" s="153"/>
      <c r="J65" s="153"/>
      <c r="K65" s="157"/>
      <c r="L65" s="157"/>
      <c r="M65" s="150"/>
    </row>
    <row r="66" spans="1:13" ht="15">
      <c r="A66" s="153"/>
      <c r="B66" s="166"/>
      <c r="C66" s="166"/>
      <c r="D66" s="170"/>
      <c r="E66" s="166"/>
      <c r="F66" s="153"/>
      <c r="G66" s="153"/>
      <c r="H66" s="153"/>
      <c r="I66" s="153"/>
      <c r="J66" s="153"/>
      <c r="K66" s="153"/>
      <c r="L66" s="153"/>
      <c r="M66" s="150"/>
    </row>
    <row r="67" spans="1:13" ht="15">
      <c r="A67" s="153"/>
      <c r="B67" s="166"/>
      <c r="C67" s="166"/>
      <c r="D67" s="166"/>
      <c r="E67" s="166"/>
      <c r="F67" s="153"/>
      <c r="G67" s="153"/>
      <c r="H67" s="153"/>
      <c r="I67" s="153"/>
      <c r="J67" s="153"/>
      <c r="K67" s="153"/>
      <c r="L67" s="153"/>
      <c r="M67" s="150"/>
    </row>
    <row r="68" spans="1:13" ht="15">
      <c r="A68" s="153"/>
      <c r="B68" s="166"/>
      <c r="C68" s="166"/>
      <c r="D68" s="166"/>
      <c r="E68" s="166"/>
      <c r="F68" s="153"/>
      <c r="G68" s="153"/>
      <c r="H68" s="153"/>
      <c r="I68" s="153"/>
      <c r="J68" s="153"/>
      <c r="K68" s="153"/>
      <c r="L68" s="153"/>
      <c r="M68" s="150"/>
    </row>
    <row r="69" spans="1:13" ht="15">
      <c r="A69" s="153"/>
      <c r="B69" s="166"/>
      <c r="C69" s="166"/>
      <c r="D69" s="166"/>
      <c r="E69" s="166"/>
      <c r="F69" s="153"/>
      <c r="G69" s="153"/>
      <c r="H69" s="153"/>
      <c r="I69" s="153"/>
      <c r="J69" s="153"/>
      <c r="K69" s="153"/>
      <c r="L69" s="153"/>
      <c r="M69" s="150"/>
    </row>
    <row r="70" spans="1:13" ht="15">
      <c r="A70" s="153"/>
      <c r="B70" s="166"/>
      <c r="C70" s="166"/>
      <c r="D70" s="166"/>
      <c r="E70" s="166"/>
      <c r="F70" s="153"/>
      <c r="G70" s="153"/>
      <c r="H70" s="153"/>
      <c r="I70" s="153"/>
      <c r="J70" s="153"/>
      <c r="K70" s="153"/>
      <c r="L70" s="153"/>
      <c r="M70" s="150"/>
    </row>
    <row r="71" spans="1:13" ht="15">
      <c r="A71" s="153"/>
      <c r="B71" s="166"/>
      <c r="C71" s="166"/>
      <c r="D71" s="166"/>
      <c r="E71" s="166"/>
      <c r="F71" s="153"/>
      <c r="G71" s="153"/>
      <c r="H71" s="153"/>
      <c r="I71" s="153"/>
      <c r="J71" s="153"/>
      <c r="K71" s="153"/>
      <c r="L71" s="153"/>
      <c r="M71" s="150"/>
    </row>
    <row r="72" spans="1:13" ht="15">
      <c r="A72" s="153"/>
      <c r="B72" s="166"/>
      <c r="C72" s="166"/>
      <c r="D72" s="166"/>
      <c r="E72" s="166"/>
      <c r="F72" s="153"/>
      <c r="G72" s="153"/>
      <c r="H72" s="153"/>
      <c r="I72" s="153"/>
      <c r="J72" s="153"/>
      <c r="K72" s="153"/>
      <c r="L72" s="153"/>
      <c r="M72" s="150"/>
    </row>
    <row r="73" spans="1:13" ht="15">
      <c r="A73" s="153"/>
      <c r="B73" s="166"/>
      <c r="C73" s="166"/>
      <c r="D73" s="166"/>
      <c r="E73" s="166"/>
      <c r="F73" s="153"/>
      <c r="G73" s="153"/>
      <c r="H73" s="153"/>
      <c r="I73" s="153"/>
      <c r="J73" s="153"/>
      <c r="K73" s="153"/>
      <c r="L73" s="153"/>
      <c r="M73" s="150"/>
    </row>
    <row r="74" spans="1:13" ht="15">
      <c r="A74" s="153"/>
      <c r="B74" s="166"/>
      <c r="C74" s="166"/>
      <c r="D74" s="166"/>
      <c r="E74" s="166"/>
      <c r="F74" s="153"/>
      <c r="G74" s="153"/>
      <c r="H74" s="153"/>
      <c r="I74" s="153"/>
      <c r="J74" s="153"/>
      <c r="K74" s="153"/>
      <c r="L74" s="153"/>
      <c r="M74" s="150"/>
    </row>
    <row r="75" spans="1:13" ht="15">
      <c r="A75" s="153"/>
      <c r="B75" s="166"/>
      <c r="C75" s="166"/>
      <c r="D75" s="166"/>
      <c r="E75" s="166"/>
      <c r="F75" s="153"/>
      <c r="G75" s="153"/>
      <c r="H75" s="153"/>
      <c r="I75" s="153"/>
      <c r="J75" s="153"/>
      <c r="K75" s="153"/>
      <c r="L75" s="153"/>
      <c r="M75" s="150"/>
    </row>
    <row r="76" spans="1:13" ht="15">
      <c r="A76" s="153"/>
      <c r="B76" s="166"/>
      <c r="C76" s="166"/>
      <c r="D76" s="166"/>
      <c r="E76" s="166"/>
      <c r="F76" s="153"/>
      <c r="G76" s="153"/>
      <c r="H76" s="153"/>
      <c r="I76" s="153"/>
      <c r="J76" s="153"/>
      <c r="K76" s="153"/>
      <c r="L76" s="153"/>
      <c r="M76" s="150"/>
    </row>
    <row r="77" spans="1:13" ht="15">
      <c r="A77" s="153"/>
      <c r="B77" s="166"/>
      <c r="C77" s="166"/>
      <c r="D77" s="166"/>
      <c r="E77" s="166"/>
      <c r="F77" s="153"/>
      <c r="G77" s="153"/>
      <c r="H77" s="153"/>
      <c r="I77" s="153"/>
      <c r="J77" s="153"/>
      <c r="K77" s="153"/>
      <c r="L77" s="153"/>
      <c r="M77" s="150"/>
    </row>
    <row r="78" spans="1:13" ht="15">
      <c r="A78" s="153"/>
      <c r="B78" s="166"/>
      <c r="C78" s="166"/>
      <c r="D78" s="166"/>
      <c r="E78" s="166"/>
      <c r="F78" s="153"/>
      <c r="G78" s="153"/>
      <c r="H78" s="153"/>
      <c r="I78" s="153"/>
      <c r="J78" s="153"/>
      <c r="K78" s="153"/>
      <c r="L78" s="153"/>
      <c r="M78" s="150"/>
    </row>
    <row r="79" spans="1:13" ht="15">
      <c r="A79" s="153"/>
      <c r="B79" s="166"/>
      <c r="C79" s="166"/>
      <c r="D79" s="166"/>
      <c r="E79" s="166"/>
      <c r="F79" s="153"/>
      <c r="G79" s="153"/>
      <c r="H79" s="153"/>
      <c r="I79" s="153"/>
      <c r="J79" s="153"/>
      <c r="K79" s="153"/>
      <c r="L79" s="153"/>
      <c r="M79" s="150"/>
    </row>
    <row r="80" spans="1:13" ht="15">
      <c r="A80" s="153"/>
      <c r="B80" s="166"/>
      <c r="C80" s="166"/>
      <c r="D80" s="166"/>
      <c r="E80" s="166"/>
      <c r="F80" s="153"/>
      <c r="G80" s="153"/>
      <c r="H80" s="153"/>
      <c r="I80" s="153"/>
      <c r="J80" s="153"/>
      <c r="K80" s="153"/>
      <c r="L80" s="153"/>
      <c r="M80" s="150"/>
    </row>
    <row r="81" spans="1:13" ht="15">
      <c r="A81" s="153"/>
      <c r="B81" s="166"/>
      <c r="C81" s="166"/>
      <c r="D81" s="166"/>
      <c r="E81" s="166"/>
      <c r="F81" s="153"/>
      <c r="G81" s="153"/>
      <c r="H81" s="153"/>
      <c r="I81" s="153"/>
      <c r="J81" s="153"/>
      <c r="K81" s="153"/>
      <c r="L81" s="153"/>
      <c r="M81" s="150"/>
    </row>
    <row r="82" spans="1:13" ht="15">
      <c r="A82" s="153"/>
      <c r="B82" s="166"/>
      <c r="C82" s="166"/>
      <c r="D82" s="166"/>
      <c r="E82" s="166"/>
      <c r="F82" s="153"/>
      <c r="G82" s="153"/>
      <c r="H82" s="153"/>
      <c r="I82" s="153"/>
      <c r="J82" s="153"/>
      <c r="K82" s="153"/>
      <c r="L82" s="153"/>
      <c r="M82" s="150"/>
    </row>
    <row r="83" spans="1:12" ht="15">
      <c r="A83" s="47"/>
      <c r="B83" s="152"/>
      <c r="C83" s="152"/>
      <c r="D83" s="152"/>
      <c r="E83" s="152"/>
      <c r="F83" s="47"/>
      <c r="G83" s="47"/>
      <c r="H83" s="47"/>
      <c r="I83" s="47"/>
      <c r="J83" s="47"/>
      <c r="K83" s="47"/>
      <c r="L83" s="47"/>
    </row>
    <row r="84" spans="2:5" ht="15">
      <c r="B84" s="129"/>
      <c r="C84" s="129"/>
      <c r="D84" s="129"/>
      <c r="E84" s="129"/>
    </row>
    <row r="85" spans="2:5" ht="15">
      <c r="B85" s="129"/>
      <c r="C85" s="129"/>
      <c r="D85" s="129"/>
      <c r="E85" s="129"/>
    </row>
    <row r="86" spans="2:5" ht="15">
      <c r="B86" s="129"/>
      <c r="C86" s="129"/>
      <c r="D86" s="129"/>
      <c r="E86" s="129"/>
    </row>
    <row r="87" spans="2:5" ht="15">
      <c r="B87" s="129"/>
      <c r="C87" s="129"/>
      <c r="D87" s="129"/>
      <c r="E87" s="129"/>
    </row>
    <row r="88" spans="2:5" ht="15">
      <c r="B88" s="129"/>
      <c r="C88" s="129"/>
      <c r="D88" s="129"/>
      <c r="E88" s="129"/>
    </row>
    <row r="89" spans="2:5" ht="15">
      <c r="B89" s="129"/>
      <c r="C89" s="129"/>
      <c r="D89" s="129"/>
      <c r="E89" s="129"/>
    </row>
    <row r="90" spans="2:5" ht="15">
      <c r="B90" s="129"/>
      <c r="C90" s="129"/>
      <c r="D90" s="129"/>
      <c r="E90" s="129"/>
    </row>
    <row r="91" spans="2:5" ht="15">
      <c r="B91" s="129"/>
      <c r="C91" s="129"/>
      <c r="D91" s="129"/>
      <c r="E91" s="129"/>
    </row>
    <row r="92" spans="2:5" ht="15">
      <c r="B92" s="129"/>
      <c r="C92" s="129"/>
      <c r="D92" s="129"/>
      <c r="E92" s="129"/>
    </row>
    <row r="93" spans="2:5" ht="15">
      <c r="B93" s="129"/>
      <c r="C93" s="129"/>
      <c r="D93" s="129"/>
      <c r="E93" s="129"/>
    </row>
    <row r="94" spans="2:5" ht="15">
      <c r="B94" s="129"/>
      <c r="C94" s="129"/>
      <c r="D94" s="129"/>
      <c r="E94" s="129"/>
    </row>
    <row r="95" spans="2:5" ht="15">
      <c r="B95" s="129"/>
      <c r="C95" s="129"/>
      <c r="D95" s="129"/>
      <c r="E95" s="129"/>
    </row>
    <row r="96" spans="2:5" ht="15">
      <c r="B96" s="129"/>
      <c r="C96" s="129"/>
      <c r="D96" s="129"/>
      <c r="E96" s="129"/>
    </row>
    <row r="97" spans="2:5" ht="15">
      <c r="B97" s="129"/>
      <c r="C97" s="129"/>
      <c r="D97" s="129"/>
      <c r="E97" s="129"/>
    </row>
    <row r="98" spans="2:5" ht="15">
      <c r="B98" s="129"/>
      <c r="C98" s="129"/>
      <c r="D98" s="129"/>
      <c r="E98" s="129"/>
    </row>
    <row r="99" spans="2:5" ht="15">
      <c r="B99" s="129"/>
      <c r="C99" s="129"/>
      <c r="D99" s="129"/>
      <c r="E99" s="129"/>
    </row>
    <row r="100" spans="2:5" ht="15">
      <c r="B100" s="129"/>
      <c r="C100" s="129"/>
      <c r="D100" s="129"/>
      <c r="E100" s="129"/>
    </row>
    <row r="101" spans="2:5" ht="15">
      <c r="B101" s="129"/>
      <c r="C101" s="129"/>
      <c r="D101" s="129"/>
      <c r="E101" s="129"/>
    </row>
    <row r="102" spans="2:5" ht="15">
      <c r="B102" s="129"/>
      <c r="C102" s="129"/>
      <c r="D102" s="129"/>
      <c r="E102" s="129"/>
    </row>
    <row r="103" spans="2:5" ht="15">
      <c r="B103" s="129"/>
      <c r="C103" s="129"/>
      <c r="D103" s="129"/>
      <c r="E103" s="129"/>
    </row>
    <row r="104" spans="2:5" ht="15">
      <c r="B104" s="129"/>
      <c r="C104" s="129"/>
      <c r="D104" s="129"/>
      <c r="E104" s="129"/>
    </row>
    <row r="105" spans="2:5" ht="15">
      <c r="B105" s="129"/>
      <c r="C105" s="129"/>
      <c r="D105" s="129"/>
      <c r="E105" s="129"/>
    </row>
    <row r="106" spans="2:5" ht="15">
      <c r="B106" s="129"/>
      <c r="C106" s="129"/>
      <c r="D106" s="129"/>
      <c r="E106" s="129"/>
    </row>
    <row r="107" spans="2:5" ht="15">
      <c r="B107" s="129"/>
      <c r="C107" s="129"/>
      <c r="D107" s="129"/>
      <c r="E107" s="129"/>
    </row>
    <row r="108" spans="2:5" ht="15">
      <c r="B108" s="129"/>
      <c r="C108" s="129"/>
      <c r="D108" s="129"/>
      <c r="E108" s="129"/>
    </row>
    <row r="109" spans="2:5" ht="15">
      <c r="B109" s="129"/>
      <c r="C109" s="129"/>
      <c r="D109" s="129"/>
      <c r="E109" s="129"/>
    </row>
    <row r="110" spans="2:5" ht="15">
      <c r="B110" s="129"/>
      <c r="C110" s="129"/>
      <c r="D110" s="129"/>
      <c r="E110" s="129"/>
    </row>
    <row r="111" spans="2:5" ht="15">
      <c r="B111" s="129"/>
      <c r="C111" s="129"/>
      <c r="D111" s="129"/>
      <c r="E111" s="129"/>
    </row>
    <row r="112" spans="2:5" ht="15">
      <c r="B112" s="129"/>
      <c r="C112" s="129"/>
      <c r="D112" s="129"/>
      <c r="E112" s="129"/>
    </row>
    <row r="113" spans="2:5" ht="15">
      <c r="B113" s="129"/>
      <c r="C113" s="129"/>
      <c r="D113" s="129"/>
      <c r="E113" s="129"/>
    </row>
    <row r="114" spans="2:5" ht="15">
      <c r="B114" s="129"/>
      <c r="C114" s="129"/>
      <c r="D114" s="129"/>
      <c r="E114" s="129"/>
    </row>
    <row r="115" spans="2:5" ht="15">
      <c r="B115" s="129"/>
      <c r="C115" s="129"/>
      <c r="D115" s="129"/>
      <c r="E115" s="129"/>
    </row>
    <row r="116" spans="2:5" ht="15">
      <c r="B116" s="129"/>
      <c r="C116" s="129"/>
      <c r="D116" s="129"/>
      <c r="E116" s="129"/>
    </row>
    <row r="117" spans="2:5" ht="15">
      <c r="B117" s="129"/>
      <c r="C117" s="129"/>
      <c r="D117" s="129"/>
      <c r="E117" s="129"/>
    </row>
    <row r="118" spans="2:5" ht="15">
      <c r="B118" s="129"/>
      <c r="C118" s="129"/>
      <c r="D118" s="129"/>
      <c r="E118" s="129"/>
    </row>
    <row r="119" spans="2:5" ht="15">
      <c r="B119" s="129"/>
      <c r="C119" s="129"/>
      <c r="D119" s="129"/>
      <c r="E119" s="129"/>
    </row>
    <row r="120" spans="2:5" ht="15">
      <c r="B120" s="129"/>
      <c r="C120" s="129"/>
      <c r="D120" s="129"/>
      <c r="E120" s="129"/>
    </row>
    <row r="121" spans="2:5" ht="15">
      <c r="B121" s="129"/>
      <c r="C121" s="129"/>
      <c r="D121" s="129"/>
      <c r="E121" s="129"/>
    </row>
    <row r="122" spans="2:5" ht="15">
      <c r="B122" s="129"/>
      <c r="C122" s="129"/>
      <c r="D122" s="129"/>
      <c r="E122" s="129"/>
    </row>
    <row r="123" spans="2:5" ht="15">
      <c r="B123" s="129"/>
      <c r="C123" s="129"/>
      <c r="D123" s="129"/>
      <c r="E123" s="129"/>
    </row>
    <row r="124" spans="2:5" ht="15">
      <c r="B124" s="129"/>
      <c r="C124" s="129"/>
      <c r="D124" s="129"/>
      <c r="E124" s="129"/>
    </row>
    <row r="125" spans="2:5" ht="15">
      <c r="B125" s="129"/>
      <c r="C125" s="129"/>
      <c r="D125" s="129"/>
      <c r="E125" s="129"/>
    </row>
    <row r="126" spans="2:5" ht="15">
      <c r="B126" s="129"/>
      <c r="C126" s="129"/>
      <c r="D126" s="129"/>
      <c r="E126" s="129"/>
    </row>
    <row r="127" spans="2:5" ht="15">
      <c r="B127" s="129"/>
      <c r="C127" s="129"/>
      <c r="D127" s="129"/>
      <c r="E127" s="129"/>
    </row>
    <row r="128" spans="2:5" ht="15">
      <c r="B128" s="129"/>
      <c r="C128" s="129"/>
      <c r="D128" s="129"/>
      <c r="E128" s="129"/>
    </row>
    <row r="129" spans="2:5" ht="15">
      <c r="B129" s="129"/>
      <c r="C129" s="129"/>
      <c r="D129" s="129"/>
      <c r="E129" s="129"/>
    </row>
    <row r="130" spans="2:5" ht="15">
      <c r="B130" s="129"/>
      <c r="C130" s="129"/>
      <c r="D130" s="129"/>
      <c r="E130" s="129"/>
    </row>
    <row r="131" spans="2:5" ht="15">
      <c r="B131" s="129"/>
      <c r="C131" s="129"/>
      <c r="D131" s="129"/>
      <c r="E131" s="129"/>
    </row>
    <row r="132" spans="2:5" ht="15">
      <c r="B132" s="129"/>
      <c r="C132" s="129"/>
      <c r="D132" s="129"/>
      <c r="E132" s="129"/>
    </row>
    <row r="133" spans="2:5" ht="15">
      <c r="B133" s="129"/>
      <c r="C133" s="129"/>
      <c r="D133" s="129"/>
      <c r="E133" s="129"/>
    </row>
    <row r="134" spans="2:5" ht="15">
      <c r="B134" s="129"/>
      <c r="C134" s="129"/>
      <c r="D134" s="129"/>
      <c r="E134" s="129"/>
    </row>
    <row r="135" spans="2:5" ht="15">
      <c r="B135" s="129"/>
      <c r="C135" s="129"/>
      <c r="D135" s="129"/>
      <c r="E135" s="129"/>
    </row>
    <row r="136" spans="2:5" ht="15">
      <c r="B136" s="129"/>
      <c r="C136" s="129"/>
      <c r="D136" s="129"/>
      <c r="E136" s="129"/>
    </row>
    <row r="137" spans="2:5" ht="15">
      <c r="B137" s="129"/>
      <c r="C137" s="129"/>
      <c r="D137" s="129"/>
      <c r="E137" s="129"/>
    </row>
    <row r="138" spans="2:5" ht="15">
      <c r="B138" s="129"/>
      <c r="C138" s="129"/>
      <c r="D138" s="129"/>
      <c r="E138" s="129"/>
    </row>
    <row r="139" spans="2:5" ht="15">
      <c r="B139" s="129"/>
      <c r="C139" s="129"/>
      <c r="D139" s="129"/>
      <c r="E139" s="129"/>
    </row>
    <row r="140" spans="2:5" ht="15">
      <c r="B140" s="130"/>
      <c r="C140" s="130"/>
      <c r="D140" s="130"/>
      <c r="E140" s="130"/>
    </row>
    <row r="141" spans="2:5" ht="15">
      <c r="B141" s="130"/>
      <c r="C141" s="130"/>
      <c r="D141" s="130"/>
      <c r="E141" s="130"/>
    </row>
  </sheetData>
  <mergeCells count="4">
    <mergeCell ref="A5:F5"/>
    <mergeCell ref="A6:F6"/>
    <mergeCell ref="B49:L49"/>
    <mergeCell ref="I9:L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="87" zoomScaleNormal="87" workbookViewId="0" topLeftCell="A1">
      <selection activeCell="E2" sqref="E2"/>
    </sheetView>
  </sheetViews>
  <sheetFormatPr defaultColWidth="8.88671875" defaultRowHeight="15"/>
  <cols>
    <col min="3" max="3" width="11.88671875" style="0" bestFit="1" customWidth="1"/>
    <col min="5" max="5" width="11.88671875" style="0" bestFit="1" customWidth="1"/>
  </cols>
  <sheetData>
    <row r="1" ht="15.75">
      <c r="E1" s="46" t="s">
        <v>344</v>
      </c>
    </row>
    <row r="2" ht="15.75">
      <c r="E2" s="46" t="s">
        <v>309</v>
      </c>
    </row>
    <row r="4" spans="1:5" ht="15.75">
      <c r="A4" s="223" t="s">
        <v>287</v>
      </c>
      <c r="B4" s="224"/>
      <c r="C4" s="224"/>
      <c r="D4" s="224"/>
      <c r="E4" s="225"/>
    </row>
    <row r="5" spans="1:5" ht="15.75">
      <c r="A5" s="223" t="s">
        <v>290</v>
      </c>
      <c r="B5" s="224"/>
      <c r="C5" s="224"/>
      <c r="D5" s="224"/>
      <c r="E5" s="225"/>
    </row>
    <row r="9" ht="15">
      <c r="E9" t="s">
        <v>288</v>
      </c>
    </row>
    <row r="10" spans="1:5" ht="15">
      <c r="A10" s="45" t="s">
        <v>77</v>
      </c>
      <c r="C10" t="s">
        <v>288</v>
      </c>
      <c r="E10" s="45" t="s">
        <v>289</v>
      </c>
    </row>
    <row r="11" spans="1:5" ht="15">
      <c r="A11" s="118"/>
      <c r="B11" s="48"/>
      <c r="C11" s="48"/>
      <c r="D11" s="48"/>
      <c r="E11" s="48"/>
    </row>
    <row r="12" spans="1:5" ht="15">
      <c r="A12" s="128"/>
      <c r="B12" s="47"/>
      <c r="C12" s="47"/>
      <c r="D12" s="47"/>
      <c r="E12" s="47"/>
    </row>
    <row r="13" spans="1:3" ht="15">
      <c r="A13" s="45">
        <v>1954</v>
      </c>
      <c r="C13" s="129"/>
    </row>
    <row r="14" spans="1:3" ht="15">
      <c r="A14" s="45">
        <f aca="true" t="shared" si="0" ref="A14:A23">+A13+1</f>
        <v>1955</v>
      </c>
      <c r="C14" s="129">
        <v>0.121</v>
      </c>
    </row>
    <row r="15" spans="1:3" ht="15">
      <c r="A15" s="45">
        <f t="shared" si="0"/>
        <v>1956</v>
      </c>
      <c r="C15" s="129">
        <v>0.0996</v>
      </c>
    </row>
    <row r="16" spans="1:3" ht="15">
      <c r="A16" s="45">
        <f t="shared" si="0"/>
        <v>1957</v>
      </c>
      <c r="C16" s="129">
        <v>-0.1008</v>
      </c>
    </row>
    <row r="17" spans="1:3" ht="15">
      <c r="A17" s="45">
        <f t="shared" si="0"/>
        <v>1958</v>
      </c>
      <c r="C17" s="129">
        <v>0.6121</v>
      </c>
    </row>
    <row r="18" spans="1:5" ht="15">
      <c r="A18" s="45">
        <f t="shared" si="0"/>
        <v>1959</v>
      </c>
      <c r="C18" s="129">
        <v>0.1128</v>
      </c>
      <c r="E18" s="129">
        <f>AVERAGE(C13:C18)</f>
        <v>0.16894</v>
      </c>
    </row>
    <row r="19" spans="1:3" ht="15">
      <c r="A19" s="45">
        <f t="shared" si="0"/>
        <v>1960</v>
      </c>
      <c r="C19" s="129">
        <v>0.1263</v>
      </c>
    </row>
    <row r="20" spans="1:3" ht="15">
      <c r="A20" s="45">
        <f t="shared" si="0"/>
        <v>1961</v>
      </c>
      <c r="C20" s="129">
        <v>0.3969</v>
      </c>
    </row>
    <row r="21" spans="1:3" ht="15">
      <c r="A21" s="45">
        <f t="shared" si="0"/>
        <v>1962</v>
      </c>
      <c r="C21" s="129">
        <v>-0.1184</v>
      </c>
    </row>
    <row r="22" spans="1:3" ht="15">
      <c r="A22" s="45">
        <f t="shared" si="0"/>
        <v>1963</v>
      </c>
      <c r="C22" s="129">
        <v>0.1085</v>
      </c>
    </row>
    <row r="23" spans="1:3" ht="15">
      <c r="A23" s="45">
        <f t="shared" si="0"/>
        <v>1964</v>
      </c>
      <c r="C23" s="129">
        <v>0.058</v>
      </c>
    </row>
    <row r="24" spans="1:3" ht="15">
      <c r="A24" s="45">
        <f aca="true" t="shared" si="1" ref="A24:A60">+A23+1</f>
        <v>1965</v>
      </c>
      <c r="C24" s="129">
        <v>-0.0281</v>
      </c>
    </row>
    <row r="25" spans="1:3" ht="15">
      <c r="A25" s="45">
        <f t="shared" si="1"/>
        <v>1966</v>
      </c>
      <c r="C25" s="129">
        <v>-0.166</v>
      </c>
    </row>
    <row r="26" spans="1:3" ht="15">
      <c r="A26" s="45">
        <f t="shared" si="1"/>
        <v>1967</v>
      </c>
      <c r="C26" s="129">
        <v>0.0704</v>
      </c>
    </row>
    <row r="27" spans="1:3" ht="15">
      <c r="A27" s="45">
        <f t="shared" si="1"/>
        <v>1968</v>
      </c>
      <c r="C27" s="129">
        <v>0.1142</v>
      </c>
    </row>
    <row r="28" spans="1:5" ht="15">
      <c r="A28" s="45">
        <f t="shared" si="1"/>
        <v>1969</v>
      </c>
      <c r="C28" s="129">
        <v>-0.0937</v>
      </c>
      <c r="E28" s="129">
        <f>AVERAGE(C19:C28)</f>
        <v>0.04681</v>
      </c>
    </row>
    <row r="29" spans="1:3" ht="15">
      <c r="A29" s="45">
        <f t="shared" si="1"/>
        <v>1970</v>
      </c>
      <c r="C29" s="129">
        <v>0.1491</v>
      </c>
    </row>
    <row r="30" spans="1:3" ht="15">
      <c r="A30" s="45">
        <f t="shared" si="1"/>
        <v>1971</v>
      </c>
      <c r="C30" s="129">
        <v>-0.1506</v>
      </c>
    </row>
    <row r="31" spans="1:3" ht="15">
      <c r="A31" s="45">
        <f t="shared" si="1"/>
        <v>1972</v>
      </c>
      <c r="C31" s="129">
        <v>0.1264</v>
      </c>
    </row>
    <row r="32" spans="1:3" ht="15">
      <c r="A32" s="45">
        <f t="shared" si="1"/>
        <v>1973</v>
      </c>
      <c r="C32" s="129">
        <v>-0.0546</v>
      </c>
    </row>
    <row r="33" spans="1:3" ht="15">
      <c r="A33" s="45">
        <f t="shared" si="1"/>
        <v>1974</v>
      </c>
      <c r="C33" s="129">
        <v>-0.2769</v>
      </c>
    </row>
    <row r="34" spans="1:3" ht="15">
      <c r="A34" s="45">
        <f t="shared" si="1"/>
        <v>1975</v>
      </c>
      <c r="C34" s="129">
        <v>0.3743</v>
      </c>
    </row>
    <row r="35" spans="1:3" ht="15">
      <c r="A35" s="45">
        <f t="shared" si="1"/>
        <v>1976</v>
      </c>
      <c r="C35" s="129">
        <v>0.2807</v>
      </c>
    </row>
    <row r="36" spans="1:3" ht="15">
      <c r="A36" s="45">
        <f t="shared" si="1"/>
        <v>1977</v>
      </c>
      <c r="C36" s="129">
        <v>0.067</v>
      </c>
    </row>
    <row r="37" spans="1:3" ht="15">
      <c r="A37" s="45">
        <f t="shared" si="1"/>
        <v>1978</v>
      </c>
      <c r="C37" s="129">
        <v>-0.0071</v>
      </c>
    </row>
    <row r="38" spans="1:5" ht="15">
      <c r="A38" s="45">
        <f t="shared" si="1"/>
        <v>1979</v>
      </c>
      <c r="C38" s="129">
        <v>0.2676</v>
      </c>
      <c r="E38" s="129">
        <f>AVERAGE(C29:C38)</f>
        <v>0.07759</v>
      </c>
    </row>
    <row r="39" spans="1:3" ht="15">
      <c r="A39" s="45">
        <f t="shared" si="1"/>
        <v>1980</v>
      </c>
      <c r="C39" s="129">
        <v>0.1852</v>
      </c>
    </row>
    <row r="40" spans="1:3" ht="15">
      <c r="A40" s="45">
        <f t="shared" si="1"/>
        <v>1981</v>
      </c>
      <c r="C40" s="129">
        <v>0.0092</v>
      </c>
    </row>
    <row r="41" spans="1:3" ht="15">
      <c r="A41" s="45">
        <f t="shared" si="1"/>
        <v>1982</v>
      </c>
      <c r="C41" s="129">
        <v>-0.2789</v>
      </c>
    </row>
    <row r="42" spans="1:3" ht="15">
      <c r="A42" s="45">
        <f t="shared" si="1"/>
        <v>1983</v>
      </c>
      <c r="C42" s="129">
        <v>0.1791</v>
      </c>
    </row>
    <row r="43" spans="1:3" ht="15">
      <c r="A43" s="45">
        <f t="shared" si="1"/>
        <v>1984</v>
      </c>
      <c r="C43" s="129">
        <v>0.2143</v>
      </c>
    </row>
    <row r="44" spans="1:3" ht="15">
      <c r="A44" s="45">
        <f t="shared" si="1"/>
        <v>1985</v>
      </c>
      <c r="C44" s="129">
        <v>-0.1183</v>
      </c>
    </row>
    <row r="45" spans="1:3" ht="15">
      <c r="A45" s="45">
        <f t="shared" si="1"/>
        <v>1986</v>
      </c>
      <c r="C45" s="129">
        <v>-0.0008</v>
      </c>
    </row>
    <row r="46" spans="1:3" ht="15">
      <c r="A46" s="45">
        <f t="shared" si="1"/>
        <v>1987</v>
      </c>
      <c r="C46" s="129">
        <v>-0.0439</v>
      </c>
    </row>
    <row r="47" spans="1:3" ht="15">
      <c r="A47" s="45">
        <f t="shared" si="1"/>
        <v>1988</v>
      </c>
      <c r="C47" s="129">
        <v>0.1108</v>
      </c>
    </row>
    <row r="48" spans="1:5" ht="15">
      <c r="A48" s="45">
        <f t="shared" si="1"/>
        <v>1989</v>
      </c>
      <c r="C48" s="129">
        <v>0.2334</v>
      </c>
      <c r="E48" s="129">
        <f>AVERAGE(C39:C48)</f>
        <v>0.049010000000000005</v>
      </c>
    </row>
    <row r="49" spans="1:3" ht="15">
      <c r="A49" s="45">
        <f t="shared" si="1"/>
        <v>1990</v>
      </c>
      <c r="C49" s="129">
        <v>-0.0663</v>
      </c>
    </row>
    <row r="50" spans="1:3" ht="15">
      <c r="A50" s="45">
        <f t="shared" si="1"/>
        <v>1991</v>
      </c>
      <c r="C50" s="129">
        <v>0.0029</v>
      </c>
    </row>
    <row r="51" spans="1:3" ht="15">
      <c r="A51" s="45">
        <f t="shared" si="1"/>
        <v>1992</v>
      </c>
      <c r="C51" s="129">
        <v>0.0966</v>
      </c>
    </row>
    <row r="52" spans="1:3" ht="15">
      <c r="A52" s="45">
        <f t="shared" si="1"/>
        <v>1993</v>
      </c>
      <c r="C52" s="129">
        <v>0.0103</v>
      </c>
    </row>
    <row r="53" spans="1:3" ht="15">
      <c r="A53" s="45">
        <f t="shared" si="1"/>
        <v>1994</v>
      </c>
      <c r="C53" s="129">
        <v>-0.0494</v>
      </c>
    </row>
    <row r="54" spans="1:3" ht="15">
      <c r="A54" s="45">
        <f t="shared" si="1"/>
        <v>1995</v>
      </c>
      <c r="C54" s="129">
        <v>-0.0181</v>
      </c>
    </row>
    <row r="55" spans="1:3" ht="15">
      <c r="A55" s="45">
        <f t="shared" si="1"/>
        <v>1996</v>
      </c>
      <c r="C55" s="129">
        <v>0.1354</v>
      </c>
    </row>
    <row r="56" spans="1:3" ht="15">
      <c r="A56" s="45">
        <f t="shared" si="1"/>
        <v>1997</v>
      </c>
      <c r="C56" s="129">
        <v>0.0453</v>
      </c>
    </row>
    <row r="57" spans="1:3" ht="15">
      <c r="A57" s="45">
        <f t="shared" si="1"/>
        <v>1998</v>
      </c>
      <c r="C57" s="129">
        <v>-0.1626</v>
      </c>
    </row>
    <row r="58" spans="1:5" ht="15">
      <c r="A58" s="45">
        <f t="shared" si="1"/>
        <v>1999</v>
      </c>
      <c r="C58" s="129">
        <v>0.0851</v>
      </c>
      <c r="E58" s="129">
        <f>AVERAGE(C49:C58)</f>
        <v>0.00792</v>
      </c>
    </row>
    <row r="59" spans="1:3" ht="15">
      <c r="A59" s="45">
        <f t="shared" si="1"/>
        <v>2000</v>
      </c>
      <c r="C59" s="129">
        <v>0.0356</v>
      </c>
    </row>
    <row r="60" spans="1:3" ht="15">
      <c r="A60" s="45">
        <f t="shared" si="1"/>
        <v>2001</v>
      </c>
      <c r="C60" s="129">
        <v>-0.0329</v>
      </c>
    </row>
    <row r="61" ht="15">
      <c r="A61" s="45"/>
    </row>
    <row r="62" ht="15">
      <c r="A62" s="176" t="s">
        <v>291</v>
      </c>
    </row>
    <row r="63" ht="15">
      <c r="A63" s="176"/>
    </row>
    <row r="64" ht="15">
      <c r="A64" s="45"/>
    </row>
    <row r="65" ht="15">
      <c r="A65" s="45"/>
    </row>
    <row r="66" ht="15">
      <c r="A66" s="45"/>
    </row>
    <row r="67" ht="15">
      <c r="A67" s="45"/>
    </row>
    <row r="68" ht="15">
      <c r="A68" s="45"/>
    </row>
    <row r="69" ht="15">
      <c r="A69" s="45"/>
    </row>
    <row r="70" ht="15">
      <c r="A70" s="45"/>
    </row>
    <row r="71" ht="15">
      <c r="A71" s="45"/>
    </row>
    <row r="72" ht="15">
      <c r="A72" s="45"/>
    </row>
    <row r="73" ht="15">
      <c r="A73" s="45"/>
    </row>
    <row r="74" ht="15">
      <c r="A74" s="45"/>
    </row>
    <row r="75" ht="15">
      <c r="A75" s="45"/>
    </row>
    <row r="76" ht="15">
      <c r="A76" s="45"/>
    </row>
    <row r="77" ht="15">
      <c r="A77" s="45"/>
    </row>
    <row r="78" ht="15">
      <c r="A78" s="45"/>
    </row>
    <row r="79" ht="15">
      <c r="A79" s="45"/>
    </row>
    <row r="80" ht="15">
      <c r="A80" s="45"/>
    </row>
    <row r="81" ht="15">
      <c r="A81" s="45"/>
    </row>
    <row r="82" ht="15">
      <c r="A82" s="45"/>
    </row>
    <row r="83" ht="15">
      <c r="A83" s="45"/>
    </row>
    <row r="84" ht="15">
      <c r="A84" s="45"/>
    </row>
    <row r="85" ht="15">
      <c r="A85" s="45"/>
    </row>
    <row r="86" ht="15">
      <c r="A86" s="45"/>
    </row>
    <row r="87" ht="15">
      <c r="A87" s="45"/>
    </row>
    <row r="88" ht="15">
      <c r="A88" s="45"/>
    </row>
    <row r="89" ht="15">
      <c r="A89" s="45"/>
    </row>
    <row r="90" ht="15">
      <c r="A90" s="45"/>
    </row>
    <row r="91" ht="15">
      <c r="A91" s="45"/>
    </row>
  </sheetData>
  <mergeCells count="2">
    <mergeCell ref="A4:E4"/>
    <mergeCell ref="A5:E5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5.77734375" style="1" customWidth="1"/>
    <col min="2" max="6" width="11.77734375" style="1" customWidth="1"/>
    <col min="7" max="16384" width="9.77734375" style="1" customWidth="1"/>
  </cols>
  <sheetData>
    <row r="1" spans="1:6" ht="15.75">
      <c r="A1" s="41"/>
      <c r="F1" s="2" t="str">
        <f>+'Sch 2, p 2'!M1</f>
        <v>Exhibit No. ___(DCP-3)</v>
      </c>
    </row>
    <row r="2" ht="15.75">
      <c r="F2" s="2" t="str">
        <f>+'[1]Sch 2, p 2 '!M2</f>
        <v>Schedule 2</v>
      </c>
    </row>
    <row r="3" ht="15.75">
      <c r="F3" s="2" t="s">
        <v>73</v>
      </c>
    </row>
    <row r="4" spans="6:7" ht="15.75">
      <c r="F4" s="2"/>
      <c r="G4" s="2"/>
    </row>
    <row r="7" spans="2:7" ht="20.25">
      <c r="B7" s="3" t="s">
        <v>71</v>
      </c>
      <c r="C7" s="4"/>
      <c r="D7" s="4"/>
      <c r="E7" s="4"/>
      <c r="F7" s="4"/>
      <c r="G7" s="4"/>
    </row>
    <row r="10" spans="2:7" ht="15.75">
      <c r="B10" s="5"/>
      <c r="C10" s="5" t="s">
        <v>74</v>
      </c>
      <c r="D10" s="5" t="s">
        <v>197</v>
      </c>
      <c r="E10" s="5"/>
      <c r="F10" s="5" t="s">
        <v>74</v>
      </c>
      <c r="G10" s="5" t="s">
        <v>74</v>
      </c>
    </row>
    <row r="11" spans="2:7" ht="15.75">
      <c r="B11" s="6" t="s">
        <v>1</v>
      </c>
      <c r="C11" s="6" t="s">
        <v>148</v>
      </c>
      <c r="D11" s="6" t="s">
        <v>148</v>
      </c>
      <c r="E11" s="6" t="s">
        <v>72</v>
      </c>
      <c r="F11" s="6" t="s">
        <v>75</v>
      </c>
      <c r="G11" s="6" t="s">
        <v>76</v>
      </c>
    </row>
    <row r="12" spans="2:7" ht="15">
      <c r="B12" s="8"/>
      <c r="C12" s="8"/>
      <c r="D12" s="8"/>
      <c r="E12" s="8"/>
      <c r="F12" s="8"/>
      <c r="G12" s="8"/>
    </row>
    <row r="13" spans="2:7" ht="15.75">
      <c r="B13" s="9" t="s">
        <v>2</v>
      </c>
      <c r="C13" s="4"/>
      <c r="D13" s="4"/>
      <c r="E13" s="4"/>
      <c r="F13" s="4"/>
      <c r="G13" s="4"/>
    </row>
    <row r="15" spans="2:7" ht="15">
      <c r="B15" s="10" t="s">
        <v>3</v>
      </c>
      <c r="C15" s="10"/>
      <c r="D15" s="16"/>
      <c r="E15" s="17">
        <v>802.49</v>
      </c>
      <c r="F15" s="13">
        <v>0.0431</v>
      </c>
      <c r="G15" s="13">
        <v>0.0915</v>
      </c>
    </row>
    <row r="16" spans="2:7" ht="15">
      <c r="B16" s="10" t="s">
        <v>4</v>
      </c>
      <c r="C16" s="16"/>
      <c r="D16" s="16"/>
      <c r="E16" s="17">
        <v>974.92</v>
      </c>
      <c r="F16" s="13">
        <v>0.0377</v>
      </c>
      <c r="G16" s="13">
        <v>0.089</v>
      </c>
    </row>
    <row r="17" spans="2:7" ht="15">
      <c r="B17" s="10" t="s">
        <v>5</v>
      </c>
      <c r="C17" s="16"/>
      <c r="D17" s="16"/>
      <c r="E17" s="17">
        <v>894.63</v>
      </c>
      <c r="F17" s="13">
        <v>0.0462</v>
      </c>
      <c r="G17" s="13">
        <v>0.1079</v>
      </c>
    </row>
    <row r="18" spans="2:7" ht="15">
      <c r="B18" s="10" t="s">
        <v>6</v>
      </c>
      <c r="C18" s="16"/>
      <c r="D18" s="16"/>
      <c r="E18" s="17">
        <v>820.23</v>
      </c>
      <c r="F18" s="13">
        <v>0.0528</v>
      </c>
      <c r="G18" s="13">
        <v>0.1203</v>
      </c>
    </row>
    <row r="19" spans="2:7" ht="15">
      <c r="B19" s="10" t="s">
        <v>7</v>
      </c>
      <c r="C19" s="16"/>
      <c r="D19" s="16"/>
      <c r="E19" s="17">
        <v>844.4</v>
      </c>
      <c r="F19" s="13">
        <v>0.0547</v>
      </c>
      <c r="G19" s="13">
        <v>0.1346</v>
      </c>
    </row>
    <row r="20" spans="2:7" ht="15">
      <c r="B20" s="10" t="s">
        <v>8</v>
      </c>
      <c r="C20" s="16"/>
      <c r="D20" s="16"/>
      <c r="E20" s="17">
        <v>891.41</v>
      </c>
      <c r="F20" s="13">
        <v>0.0526</v>
      </c>
      <c r="G20" s="13">
        <v>0.1266</v>
      </c>
    </row>
    <row r="21" spans="2:7" ht="15">
      <c r="B21" s="10" t="s">
        <v>9</v>
      </c>
      <c r="C21" s="16"/>
      <c r="D21" s="16"/>
      <c r="E21" s="17">
        <v>932.92</v>
      </c>
      <c r="F21" s="13">
        <v>0.052</v>
      </c>
      <c r="G21" s="13">
        <v>0.1196</v>
      </c>
    </row>
    <row r="22" spans="2:7" ht="15">
      <c r="B22" s="10" t="s">
        <v>10</v>
      </c>
      <c r="C22" s="16"/>
      <c r="D22" s="16"/>
      <c r="E22" s="17">
        <v>884.36</v>
      </c>
      <c r="F22" s="13">
        <v>0.0581</v>
      </c>
      <c r="G22" s="13">
        <v>0.116</v>
      </c>
    </row>
    <row r="23" spans="3:7" ht="15">
      <c r="C23" s="16"/>
      <c r="D23" s="16"/>
      <c r="E23" s="17"/>
      <c r="F23" s="13"/>
      <c r="G23" s="13"/>
    </row>
    <row r="24" spans="2:7" ht="15.75">
      <c r="B24" s="14" t="s">
        <v>11</v>
      </c>
      <c r="C24" s="18"/>
      <c r="D24" s="4"/>
      <c r="E24" s="19"/>
      <c r="F24" s="15"/>
      <c r="G24" s="15"/>
    </row>
    <row r="25" spans="3:7" ht="15">
      <c r="C25" s="16"/>
      <c r="D25" s="16"/>
      <c r="E25" s="17"/>
      <c r="F25" s="13"/>
      <c r="G25" s="13"/>
    </row>
    <row r="26" spans="2:7" ht="15">
      <c r="B26" s="10" t="s">
        <v>12</v>
      </c>
      <c r="C26" s="16"/>
      <c r="D26" s="16"/>
      <c r="E26" s="17">
        <v>1190.34</v>
      </c>
      <c r="F26" s="13">
        <v>0.044</v>
      </c>
      <c r="G26" s="13">
        <v>0.0803</v>
      </c>
    </row>
    <row r="27" spans="2:7" ht="15">
      <c r="B27" s="10" t="s">
        <v>13</v>
      </c>
      <c r="C27" s="16"/>
      <c r="D27" s="16"/>
      <c r="E27" s="17">
        <v>1178.48</v>
      </c>
      <c r="F27" s="13">
        <v>0.0464</v>
      </c>
      <c r="G27" s="13">
        <v>0.1002</v>
      </c>
    </row>
    <row r="28" spans="2:7" ht="15">
      <c r="B28" s="10" t="s">
        <v>14</v>
      </c>
      <c r="C28" s="16"/>
      <c r="D28" s="16"/>
      <c r="E28" s="17">
        <v>1328.23</v>
      </c>
      <c r="F28" s="13">
        <v>0.0425</v>
      </c>
      <c r="G28" s="13">
        <v>0.0812</v>
      </c>
    </row>
    <row r="29" spans="2:7" ht="15">
      <c r="B29" s="10" t="s">
        <v>15</v>
      </c>
      <c r="C29" s="16"/>
      <c r="D29" s="16"/>
      <c r="E29" s="17">
        <v>1792.76</v>
      </c>
      <c r="F29" s="13">
        <v>0.0349</v>
      </c>
      <c r="G29" s="13">
        <v>0.0609</v>
      </c>
    </row>
    <row r="30" spans="2:7" ht="15">
      <c r="B30" s="10" t="s">
        <v>16</v>
      </c>
      <c r="C30" s="16"/>
      <c r="D30" s="16"/>
      <c r="E30" s="17">
        <v>2275.99</v>
      </c>
      <c r="F30" s="13">
        <v>0.0308</v>
      </c>
      <c r="G30" s="13">
        <v>0.0548</v>
      </c>
    </row>
    <row r="31" spans="2:7" ht="15">
      <c r="B31" s="10" t="s">
        <v>17</v>
      </c>
      <c r="C31" s="16"/>
      <c r="D31" s="16"/>
      <c r="E31" s="17">
        <v>2060.82</v>
      </c>
      <c r="F31" s="13">
        <v>0.0364</v>
      </c>
      <c r="G31" s="13">
        <v>0.0801</v>
      </c>
    </row>
    <row r="32" spans="2:7" ht="15">
      <c r="B32" s="10" t="s">
        <v>18</v>
      </c>
      <c r="C32" s="16">
        <v>322.84</v>
      </c>
      <c r="D32" s="16"/>
      <c r="E32" s="17">
        <v>2508.91</v>
      </c>
      <c r="F32" s="13">
        <v>0.0345</v>
      </c>
      <c r="G32" s="13">
        <v>0.0741</v>
      </c>
    </row>
    <row r="33" spans="2:7" ht="15">
      <c r="B33" s="10" t="s">
        <v>19</v>
      </c>
      <c r="C33" s="16">
        <v>334.59</v>
      </c>
      <c r="D33" s="16"/>
      <c r="E33" s="17">
        <v>2678.94</v>
      </c>
      <c r="F33" s="13">
        <v>0.0361</v>
      </c>
      <c r="G33" s="13">
        <v>0.0647</v>
      </c>
    </row>
    <row r="34" spans="2:7" ht="15">
      <c r="B34" s="10" t="s">
        <v>20</v>
      </c>
      <c r="C34" s="16">
        <v>376.18</v>
      </c>
      <c r="D34" s="16">
        <v>491.69</v>
      </c>
      <c r="E34" s="17">
        <v>2929.33</v>
      </c>
      <c r="F34" s="13">
        <v>0.0324</v>
      </c>
      <c r="G34" s="13">
        <v>0.0479</v>
      </c>
    </row>
    <row r="35" spans="3:7" ht="15">
      <c r="C35" s="10"/>
      <c r="D35" s="10"/>
      <c r="E35" s="17"/>
      <c r="F35" s="13"/>
      <c r="G35" s="13"/>
    </row>
    <row r="36" spans="2:7" ht="15.75">
      <c r="B36" s="9" t="s">
        <v>163</v>
      </c>
      <c r="C36" s="4"/>
      <c r="D36" s="4"/>
      <c r="E36" s="19"/>
      <c r="F36" s="15"/>
      <c r="G36" s="15"/>
    </row>
    <row r="37" spans="3:7" ht="15">
      <c r="C37" s="10"/>
      <c r="D37" s="10"/>
      <c r="E37" s="17"/>
      <c r="F37" s="13"/>
      <c r="G37" s="13"/>
    </row>
    <row r="38" spans="2:7" ht="15">
      <c r="B38" s="10" t="s">
        <v>21</v>
      </c>
      <c r="C38" s="10">
        <v>415.74</v>
      </c>
      <c r="D38" s="10">
        <v>599.26</v>
      </c>
      <c r="E38" s="17">
        <v>3284.29</v>
      </c>
      <c r="F38" s="13">
        <v>0.0299</v>
      </c>
      <c r="G38" s="13">
        <v>0.0422</v>
      </c>
    </row>
    <row r="39" spans="2:7" ht="15">
      <c r="B39" s="10" t="s">
        <v>22</v>
      </c>
      <c r="C39" s="10">
        <v>451.21</v>
      </c>
      <c r="D39" s="16">
        <v>715.16</v>
      </c>
      <c r="E39" s="17">
        <v>3522.06</v>
      </c>
      <c r="F39" s="13">
        <v>0.0278</v>
      </c>
      <c r="G39" s="13">
        <v>0.0446</v>
      </c>
    </row>
    <row r="40" spans="2:7" ht="15">
      <c r="B40" s="10" t="s">
        <v>23</v>
      </c>
      <c r="C40" s="10">
        <v>460.42</v>
      </c>
      <c r="D40" s="16">
        <v>751.65</v>
      </c>
      <c r="E40" s="17">
        <v>3793.77</v>
      </c>
      <c r="F40" s="13">
        <v>0.0282</v>
      </c>
      <c r="G40" s="13">
        <v>0.0583</v>
      </c>
    </row>
    <row r="41" spans="2:7" ht="15">
      <c r="B41" s="17" t="s">
        <v>24</v>
      </c>
      <c r="C41" s="17">
        <v>541.72</v>
      </c>
      <c r="D41" s="17">
        <v>925.19</v>
      </c>
      <c r="E41" s="17">
        <v>4493.76</v>
      </c>
      <c r="F41" s="13">
        <v>0.0256</v>
      </c>
      <c r="G41" s="13">
        <v>0.0609</v>
      </c>
    </row>
    <row r="42" spans="2:7" ht="15">
      <c r="B42" s="17" t="s">
        <v>25</v>
      </c>
      <c r="C42" s="17">
        <v>670.5</v>
      </c>
      <c r="D42" s="17">
        <v>1164.96</v>
      </c>
      <c r="E42" s="17">
        <v>5742.89</v>
      </c>
      <c r="F42" s="13">
        <v>0.0219</v>
      </c>
      <c r="G42" s="13">
        <v>0.0524</v>
      </c>
    </row>
    <row r="43" spans="2:7" ht="15">
      <c r="B43" s="17" t="s">
        <v>26</v>
      </c>
      <c r="C43" s="17">
        <v>873.43</v>
      </c>
      <c r="D43" s="17">
        <v>1469.49</v>
      </c>
      <c r="E43" s="17">
        <v>7441.15</v>
      </c>
      <c r="F43" s="13">
        <v>0.0177</v>
      </c>
      <c r="G43" s="13">
        <v>0.0457</v>
      </c>
    </row>
    <row r="44" spans="2:7" ht="15">
      <c r="B44" s="23">
        <v>1998</v>
      </c>
      <c r="C44" s="17">
        <v>1085.5</v>
      </c>
      <c r="D44" s="17">
        <v>1794.91</v>
      </c>
      <c r="E44" s="17">
        <v>8625.52</v>
      </c>
      <c r="F44" s="13">
        <v>0.0149</v>
      </c>
      <c r="G44" s="13">
        <v>0.0346</v>
      </c>
    </row>
    <row r="45" spans="2:7" ht="15">
      <c r="B45" s="23">
        <v>1999</v>
      </c>
      <c r="C45" s="17">
        <v>1327.33</v>
      </c>
      <c r="D45" s="17">
        <v>2728.15</v>
      </c>
      <c r="E45" s="17">
        <v>10464.88</v>
      </c>
      <c r="F45" s="13">
        <v>0.0125</v>
      </c>
      <c r="G45" s="13">
        <v>0.0317</v>
      </c>
    </row>
    <row r="46" spans="2:7" ht="15">
      <c r="B46" s="23">
        <v>2000</v>
      </c>
      <c r="C46" s="17">
        <v>1427.22</v>
      </c>
      <c r="D46" s="17">
        <v>3783.67</v>
      </c>
      <c r="E46" s="17">
        <v>10734.9</v>
      </c>
      <c r="F46" s="13">
        <v>0.0115</v>
      </c>
      <c r="G46" s="13">
        <v>0.0363</v>
      </c>
    </row>
    <row r="47" spans="2:7" ht="15">
      <c r="B47" s="23">
        <v>2001</v>
      </c>
      <c r="C47" s="17">
        <v>1194.18</v>
      </c>
      <c r="D47" s="17">
        <v>2035</v>
      </c>
      <c r="E47" s="17">
        <v>10189.13</v>
      </c>
      <c r="F47" s="13">
        <v>0.0132</v>
      </c>
      <c r="G47" s="13">
        <v>0.0295</v>
      </c>
    </row>
    <row r="48" spans="2:7" ht="15">
      <c r="B48" s="131"/>
      <c r="C48" s="17"/>
      <c r="D48" s="17"/>
      <c r="E48" s="17"/>
      <c r="F48" s="17"/>
      <c r="G48" s="17"/>
    </row>
    <row r="49" spans="2:7" ht="15.75">
      <c r="B49" s="216" t="s">
        <v>190</v>
      </c>
      <c r="C49" s="216"/>
      <c r="D49" s="216"/>
      <c r="E49" s="216"/>
      <c r="F49" s="216"/>
      <c r="G49" s="216"/>
    </row>
    <row r="50" spans="2:7" ht="15">
      <c r="B50" s="131"/>
      <c r="C50" s="17"/>
      <c r="D50" s="17"/>
      <c r="E50" s="17"/>
      <c r="F50" s="17"/>
      <c r="G50" s="17"/>
    </row>
    <row r="51" spans="2:7" ht="15">
      <c r="B51" s="132">
        <v>2002</v>
      </c>
      <c r="C51" s="17">
        <v>993.94</v>
      </c>
      <c r="D51" s="17">
        <v>1539.73</v>
      </c>
      <c r="E51" s="17">
        <v>9226.43</v>
      </c>
      <c r="F51" s="13">
        <v>0.0161</v>
      </c>
      <c r="G51" s="13">
        <v>0.0292</v>
      </c>
    </row>
    <row r="52" spans="2:7" ht="15">
      <c r="B52" s="132">
        <v>2003</v>
      </c>
      <c r="C52" s="17">
        <v>965.23</v>
      </c>
      <c r="D52" s="17">
        <v>1647.17</v>
      </c>
      <c r="E52" s="17">
        <v>8993.59</v>
      </c>
      <c r="F52" s="13">
        <v>0.0177</v>
      </c>
      <c r="G52" s="13">
        <v>0.0384</v>
      </c>
    </row>
    <row r="53" spans="2:7" ht="15">
      <c r="B53" s="132">
        <v>2004</v>
      </c>
      <c r="C53" s="17">
        <v>1130.65</v>
      </c>
      <c r="D53" s="17">
        <v>1986.53</v>
      </c>
      <c r="E53" s="17">
        <v>10317.39</v>
      </c>
      <c r="F53" s="13">
        <v>0.0172</v>
      </c>
      <c r="G53" s="13">
        <v>0.0489</v>
      </c>
    </row>
    <row r="54" spans="2:7" ht="15">
      <c r="B54" s="132">
        <v>2005</v>
      </c>
      <c r="C54" s="17">
        <v>1207.23</v>
      </c>
      <c r="D54" s="17">
        <v>2099.32</v>
      </c>
      <c r="E54" s="17">
        <v>10547.67</v>
      </c>
      <c r="F54" s="13">
        <v>0.0183</v>
      </c>
      <c r="G54" s="13">
        <v>0.054</v>
      </c>
    </row>
    <row r="55" spans="2:7" ht="15">
      <c r="B55" s="10"/>
      <c r="C55" s="16"/>
      <c r="D55" s="16"/>
      <c r="E55" s="17"/>
      <c r="F55" s="13"/>
      <c r="G55" s="13"/>
    </row>
    <row r="56" spans="2:7" ht="15">
      <c r="B56" s="10">
        <v>2002</v>
      </c>
      <c r="C56" s="17"/>
      <c r="D56" s="17"/>
      <c r="E56" s="17"/>
      <c r="F56" s="13"/>
      <c r="G56" s="13"/>
    </row>
    <row r="57" spans="2:7" ht="15">
      <c r="B57" s="10" t="s">
        <v>27</v>
      </c>
      <c r="C57" s="17">
        <v>1131.56</v>
      </c>
      <c r="D57" s="17">
        <v>1879.85</v>
      </c>
      <c r="E57" s="17">
        <v>10105.27</v>
      </c>
      <c r="F57" s="13">
        <v>0.0139</v>
      </c>
      <c r="G57" s="13">
        <v>0.0215</v>
      </c>
    </row>
    <row r="58" spans="2:7" ht="15">
      <c r="B58" s="10" t="s">
        <v>28</v>
      </c>
      <c r="C58" s="17">
        <v>1068.45</v>
      </c>
      <c r="D58" s="17">
        <v>1641.53</v>
      </c>
      <c r="E58" s="17">
        <v>9912.7</v>
      </c>
      <c r="F58" s="13">
        <v>0.0149</v>
      </c>
      <c r="G58" s="13">
        <v>0.027</v>
      </c>
    </row>
    <row r="59" spans="2:7" ht="15">
      <c r="B59" s="10" t="s">
        <v>29</v>
      </c>
      <c r="C59" s="17">
        <v>894.65</v>
      </c>
      <c r="D59" s="17">
        <v>1308.17</v>
      </c>
      <c r="E59" s="17">
        <v>8487.59</v>
      </c>
      <c r="F59" s="13">
        <v>0.0176</v>
      </c>
      <c r="G59" s="13">
        <v>0.0368</v>
      </c>
    </row>
    <row r="60" spans="2:7" ht="15">
      <c r="B60" s="10" t="s">
        <v>30</v>
      </c>
      <c r="C60" s="17">
        <v>887.91</v>
      </c>
      <c r="D60" s="17">
        <v>1346.07</v>
      </c>
      <c r="E60" s="17">
        <v>8400.17</v>
      </c>
      <c r="F60" s="13">
        <v>0.0179</v>
      </c>
      <c r="G60" s="13">
        <v>0.0314</v>
      </c>
    </row>
    <row r="61" spans="2:7" ht="15">
      <c r="B61" s="10"/>
      <c r="C61" s="17"/>
      <c r="D61" s="17"/>
      <c r="E61" s="17"/>
      <c r="F61" s="13"/>
      <c r="G61" s="13"/>
    </row>
    <row r="62" spans="2:7" ht="15">
      <c r="B62" s="10">
        <v>2003</v>
      </c>
      <c r="C62" s="17"/>
      <c r="D62" s="17"/>
      <c r="E62" s="17"/>
      <c r="F62" s="13"/>
      <c r="G62" s="13"/>
    </row>
    <row r="63" spans="2:7" ht="15">
      <c r="B63" s="10" t="s">
        <v>27</v>
      </c>
      <c r="C63" s="17">
        <v>860.03</v>
      </c>
      <c r="D63" s="17">
        <v>1350.44</v>
      </c>
      <c r="E63" s="17">
        <v>8122.83</v>
      </c>
      <c r="F63" s="13">
        <v>0.0189</v>
      </c>
      <c r="G63" s="13">
        <v>0.0357</v>
      </c>
    </row>
    <row r="64" spans="2:7" ht="15">
      <c r="B64" s="10" t="s">
        <v>28</v>
      </c>
      <c r="C64" s="17">
        <v>938</v>
      </c>
      <c r="D64" s="17">
        <v>1521.92</v>
      </c>
      <c r="E64" s="17">
        <v>8684.52</v>
      </c>
      <c r="F64" s="13">
        <v>0.0175</v>
      </c>
      <c r="G64" s="13">
        <v>0.0355</v>
      </c>
    </row>
    <row r="65" spans="2:7" ht="15">
      <c r="B65" s="10" t="s">
        <v>29</v>
      </c>
      <c r="C65" s="17">
        <v>1000.5</v>
      </c>
      <c r="D65" s="17">
        <v>1765.96</v>
      </c>
      <c r="E65" s="17">
        <v>9310.57</v>
      </c>
      <c r="F65" s="13">
        <v>0.0174</v>
      </c>
      <c r="G65" s="13">
        <v>0.0387</v>
      </c>
    </row>
    <row r="66" spans="2:7" ht="15">
      <c r="B66" s="10" t="s">
        <v>30</v>
      </c>
      <c r="C66" s="17">
        <v>1056.42</v>
      </c>
      <c r="D66" s="17">
        <v>1934.71</v>
      </c>
      <c r="E66" s="17">
        <v>9856.44</v>
      </c>
      <c r="F66" s="13">
        <v>0.0169</v>
      </c>
      <c r="G66" s="13">
        <v>0.0438</v>
      </c>
    </row>
    <row r="67" spans="2:7" ht="15">
      <c r="B67" s="10"/>
      <c r="C67" s="17"/>
      <c r="D67" s="17"/>
      <c r="E67" s="17"/>
      <c r="F67" s="13"/>
      <c r="G67" s="13"/>
    </row>
    <row r="68" spans="2:7" ht="15">
      <c r="B68" s="10">
        <v>2004</v>
      </c>
      <c r="C68" s="17"/>
      <c r="D68" s="17"/>
      <c r="E68" s="17"/>
      <c r="F68" s="13"/>
      <c r="G68" s="13"/>
    </row>
    <row r="69" spans="2:7" ht="15">
      <c r="B69" s="10" t="s">
        <v>27</v>
      </c>
      <c r="C69" s="17">
        <v>1133.29</v>
      </c>
      <c r="D69" s="17">
        <v>2041.95</v>
      </c>
      <c r="E69" s="17">
        <v>10488.43</v>
      </c>
      <c r="F69" s="13">
        <v>0.0164</v>
      </c>
      <c r="G69" s="13">
        <v>0.0462</v>
      </c>
    </row>
    <row r="70" spans="2:7" ht="15">
      <c r="B70" s="10" t="s">
        <v>28</v>
      </c>
      <c r="C70" s="17">
        <v>1122.87</v>
      </c>
      <c r="D70" s="17">
        <v>1984.13</v>
      </c>
      <c r="E70" s="17">
        <v>10289.04</v>
      </c>
      <c r="F70" s="13">
        <v>0.0171</v>
      </c>
      <c r="G70" s="13">
        <v>0.0492</v>
      </c>
    </row>
    <row r="71" spans="2:7" ht="15">
      <c r="B71" s="10" t="s">
        <v>29</v>
      </c>
      <c r="C71" s="17">
        <v>1104.15</v>
      </c>
      <c r="D71" s="17">
        <v>1872.9</v>
      </c>
      <c r="E71" s="17">
        <v>10129.85</v>
      </c>
      <c r="F71" s="13">
        <v>0.0179</v>
      </c>
      <c r="G71" s="13">
        <v>0.0518</v>
      </c>
    </row>
    <row r="72" spans="2:7" ht="15">
      <c r="B72" s="10" t="s">
        <v>30</v>
      </c>
      <c r="C72" s="17">
        <v>1162.07</v>
      </c>
      <c r="D72" s="17">
        <v>2050.22</v>
      </c>
      <c r="E72" s="17">
        <v>10362.25</v>
      </c>
      <c r="F72" s="13">
        <v>0.0175</v>
      </c>
      <c r="G72" s="13">
        <v>0.0483</v>
      </c>
    </row>
    <row r="73" spans="2:7" ht="15">
      <c r="B73" s="10"/>
      <c r="C73" s="17"/>
      <c r="D73" s="17"/>
      <c r="E73" s="17"/>
      <c r="F73" s="13"/>
      <c r="G73" s="13"/>
    </row>
    <row r="74" spans="2:7" ht="15">
      <c r="B74" s="10">
        <v>2005</v>
      </c>
      <c r="C74" s="17"/>
      <c r="D74" s="17"/>
      <c r="E74" s="17"/>
      <c r="F74" s="13"/>
      <c r="G74" s="13"/>
    </row>
    <row r="75" spans="2:7" ht="15">
      <c r="B75" s="10" t="s">
        <v>27</v>
      </c>
      <c r="C75" s="17">
        <v>1191.98</v>
      </c>
      <c r="D75" s="17">
        <v>2056.01</v>
      </c>
      <c r="E75" s="17">
        <v>10648.48</v>
      </c>
      <c r="F75" s="13">
        <v>0.0177</v>
      </c>
      <c r="G75" s="13">
        <v>0.0511</v>
      </c>
    </row>
    <row r="76" spans="2:7" ht="15">
      <c r="B76" s="10" t="s">
        <v>28</v>
      </c>
      <c r="C76" s="17">
        <v>1181.65</v>
      </c>
      <c r="D76" s="17">
        <v>2012.24</v>
      </c>
      <c r="E76" s="17">
        <v>10382.35</v>
      </c>
      <c r="F76" s="13">
        <v>0.0185</v>
      </c>
      <c r="G76" s="13">
        <v>0.0532</v>
      </c>
    </row>
    <row r="77" spans="2:7" ht="15">
      <c r="B77" s="10" t="s">
        <v>29</v>
      </c>
      <c r="C77" s="17">
        <v>1224.14</v>
      </c>
      <c r="D77" s="17">
        <v>2149.2</v>
      </c>
      <c r="E77" s="17">
        <v>10544.06</v>
      </c>
      <c r="F77" s="13">
        <v>0.0183</v>
      </c>
      <c r="G77" s="13">
        <v>0.0542</v>
      </c>
    </row>
    <row r="78" spans="2:7" ht="15">
      <c r="B78" s="10" t="s">
        <v>30</v>
      </c>
      <c r="C78" s="17">
        <v>1230.47</v>
      </c>
      <c r="D78" s="17">
        <v>2178.67</v>
      </c>
      <c r="E78" s="17">
        <v>10615.78</v>
      </c>
      <c r="F78" s="13">
        <v>0.0186</v>
      </c>
      <c r="G78" s="13">
        <v>0.056</v>
      </c>
    </row>
    <row r="79" spans="2:7" ht="15">
      <c r="B79" s="10"/>
      <c r="C79" s="17"/>
      <c r="D79" s="17"/>
      <c r="E79" s="17"/>
      <c r="F79" s="13"/>
      <c r="G79" s="13"/>
    </row>
    <row r="80" spans="2:7" ht="15">
      <c r="B80" s="10">
        <v>2006</v>
      </c>
      <c r="C80" s="17"/>
      <c r="D80" s="17"/>
      <c r="E80" s="17"/>
      <c r="F80" s="13"/>
      <c r="G80" s="13"/>
    </row>
    <row r="81" spans="2:7" ht="15">
      <c r="B81" s="10" t="s">
        <v>27</v>
      </c>
      <c r="C81" s="17">
        <v>1283.04</v>
      </c>
      <c r="D81" s="17">
        <v>2287.97</v>
      </c>
      <c r="E81" s="17">
        <v>10996.04</v>
      </c>
      <c r="F81" s="13">
        <v>0.0185</v>
      </c>
      <c r="G81" s="13">
        <v>0.0561</v>
      </c>
    </row>
    <row r="82" spans="2:7" ht="15">
      <c r="B82" s="10" t="s">
        <v>28</v>
      </c>
      <c r="C82" s="17">
        <v>1281.77</v>
      </c>
      <c r="D82" s="17">
        <v>2240.46</v>
      </c>
      <c r="E82" s="17">
        <v>11188.84</v>
      </c>
      <c r="F82" s="13">
        <v>0.019</v>
      </c>
      <c r="G82" s="13"/>
    </row>
    <row r="83" spans="2:7" ht="15">
      <c r="B83" s="7"/>
      <c r="C83" s="10"/>
      <c r="D83" s="10"/>
      <c r="E83" s="17"/>
      <c r="F83" s="13"/>
      <c r="G83" s="13"/>
    </row>
    <row r="84" spans="2:7" ht="15">
      <c r="B84" s="8"/>
      <c r="C84" s="20"/>
      <c r="D84" s="20"/>
      <c r="E84" s="21"/>
      <c r="F84" s="22"/>
      <c r="G84" s="22"/>
    </row>
    <row r="85" spans="2:7" ht="15">
      <c r="B85" s="7" t="s">
        <v>31</v>
      </c>
      <c r="C85" s="16"/>
      <c r="D85" s="16"/>
      <c r="E85" s="17"/>
      <c r="F85" s="13"/>
      <c r="G85" s="13"/>
    </row>
    <row r="86" spans="3:7" ht="15">
      <c r="C86" s="16"/>
      <c r="D86" s="16"/>
      <c r="E86" s="17"/>
      <c r="F86" s="16"/>
      <c r="G86" s="16"/>
    </row>
    <row r="87" spans="3:7" ht="15">
      <c r="C87" s="10"/>
      <c r="D87" s="10"/>
      <c r="E87" s="17"/>
      <c r="F87" s="10"/>
      <c r="G87" s="10"/>
    </row>
    <row r="88" spans="3:7" ht="15">
      <c r="C88" s="10"/>
      <c r="D88" s="10"/>
      <c r="E88" s="17"/>
      <c r="F88" s="10"/>
      <c r="G88" s="10"/>
    </row>
    <row r="89" spans="3:7" ht="15">
      <c r="C89" s="10"/>
      <c r="D89" s="10"/>
      <c r="E89" s="17"/>
      <c r="F89" s="10"/>
      <c r="G89" s="10"/>
    </row>
    <row r="90" spans="3:7" ht="15">
      <c r="C90" s="10"/>
      <c r="D90" s="10"/>
      <c r="E90" s="10"/>
      <c r="F90" s="10"/>
      <c r="G90" s="10"/>
    </row>
    <row r="91" spans="3:7" ht="15">
      <c r="C91" s="10"/>
      <c r="D91" s="10"/>
      <c r="E91" s="10"/>
      <c r="F91" s="10"/>
      <c r="G91" s="10"/>
    </row>
  </sheetData>
  <mergeCells count="1">
    <mergeCell ref="B49:G49"/>
  </mergeCells>
  <printOptions horizontalCentered="1"/>
  <pageMargins left="0.5" right="0.5" top="0.5" bottom="0.55" header="0" footer="0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F2" sqref="F2"/>
    </sheetView>
  </sheetViews>
  <sheetFormatPr defaultColWidth="8.88671875" defaultRowHeight="15"/>
  <cols>
    <col min="1" max="1" width="11.99609375" style="0" bestFit="1" customWidth="1"/>
    <col min="2" max="2" width="2.77734375" style="0" customWidth="1"/>
    <col min="3" max="3" width="14.99609375" style="0" bestFit="1" customWidth="1"/>
    <col min="4" max="4" width="1.77734375" style="0" customWidth="1"/>
    <col min="5" max="5" width="10.99609375" style="0" customWidth="1"/>
    <col min="6" max="6" width="9.77734375" style="0" customWidth="1"/>
    <col min="7" max="7" width="1.77734375" style="0" customWidth="1"/>
  </cols>
  <sheetData>
    <row r="1" ht="15.75">
      <c r="F1" s="46" t="s">
        <v>332</v>
      </c>
    </row>
    <row r="2" ht="15.75">
      <c r="F2" s="46" t="s">
        <v>263</v>
      </c>
    </row>
    <row r="4" spans="1:7" ht="20.25">
      <c r="A4" s="217" t="s">
        <v>249</v>
      </c>
      <c r="B4" s="218"/>
      <c r="C4" s="218"/>
      <c r="D4" s="218"/>
      <c r="E4" s="218"/>
      <c r="F4" s="218"/>
      <c r="G4" s="219"/>
    </row>
    <row r="5" spans="1:7" ht="20.25">
      <c r="A5" s="217" t="s">
        <v>188</v>
      </c>
      <c r="B5" s="218"/>
      <c r="C5" s="218"/>
      <c r="D5" s="218"/>
      <c r="E5" s="218"/>
      <c r="F5" s="218"/>
      <c r="G5" s="218"/>
    </row>
    <row r="9" spans="3:6" ht="15">
      <c r="C9" s="143" t="s">
        <v>186</v>
      </c>
      <c r="E9" s="220" t="s">
        <v>250</v>
      </c>
      <c r="F9" s="221"/>
    </row>
    <row r="10" spans="3:6" ht="15">
      <c r="C10" s="47"/>
      <c r="E10" s="47"/>
      <c r="F10" s="47"/>
    </row>
    <row r="11" spans="1:6" ht="15">
      <c r="A11" s="45" t="s">
        <v>187</v>
      </c>
      <c r="C11" s="45" t="s">
        <v>256</v>
      </c>
      <c r="E11" s="45" t="s">
        <v>251</v>
      </c>
      <c r="F11" s="45" t="s">
        <v>252</v>
      </c>
    </row>
    <row r="12" spans="1:7" ht="15">
      <c r="A12" s="48"/>
      <c r="B12" s="48"/>
      <c r="C12" s="118"/>
      <c r="D12" s="48"/>
      <c r="E12" s="48"/>
      <c r="F12" s="48"/>
      <c r="G12" s="48"/>
    </row>
    <row r="13" spans="1:7" ht="15">
      <c r="A13" s="47"/>
      <c r="B13" s="47"/>
      <c r="C13" s="47"/>
      <c r="D13" s="47"/>
      <c r="E13" s="47"/>
      <c r="F13" s="47"/>
      <c r="G13" s="47"/>
    </row>
    <row r="14" spans="1:6" ht="15">
      <c r="A14" s="45">
        <v>1997</v>
      </c>
      <c r="C14" s="45" t="s">
        <v>170</v>
      </c>
      <c r="E14" s="45" t="s">
        <v>184</v>
      </c>
      <c r="F14" s="45" t="s">
        <v>255</v>
      </c>
    </row>
    <row r="15" ht="15">
      <c r="A15" s="45"/>
    </row>
    <row r="16" spans="1:6" ht="15">
      <c r="A16" s="45">
        <v>1998</v>
      </c>
      <c r="C16" s="45" t="s">
        <v>170</v>
      </c>
      <c r="E16" s="45" t="s">
        <v>184</v>
      </c>
      <c r="F16" s="45" t="s">
        <v>255</v>
      </c>
    </row>
    <row r="17" ht="15">
      <c r="A17" s="45"/>
    </row>
    <row r="18" spans="1:6" ht="15">
      <c r="A18" s="45">
        <v>1999</v>
      </c>
      <c r="C18" s="45" t="s">
        <v>170</v>
      </c>
      <c r="E18" s="45" t="s">
        <v>184</v>
      </c>
      <c r="F18" s="45" t="s">
        <v>255</v>
      </c>
    </row>
    <row r="19" ht="15">
      <c r="A19" s="45"/>
    </row>
    <row r="20" spans="1:6" ht="15">
      <c r="A20" s="45">
        <v>2000</v>
      </c>
      <c r="C20" s="45" t="s">
        <v>170</v>
      </c>
      <c r="E20" s="45" t="s">
        <v>184</v>
      </c>
      <c r="F20" s="45" t="s">
        <v>253</v>
      </c>
    </row>
    <row r="21" spans="1:3" ht="15">
      <c r="A21" s="45"/>
      <c r="C21" s="45"/>
    </row>
    <row r="22" spans="1:6" ht="15">
      <c r="A22" s="45">
        <v>2001</v>
      </c>
      <c r="C22" s="45" t="s">
        <v>170</v>
      </c>
      <c r="E22" s="45" t="s">
        <v>184</v>
      </c>
      <c r="F22" s="45" t="s">
        <v>254</v>
      </c>
    </row>
    <row r="23" ht="15">
      <c r="A23" s="45"/>
    </row>
    <row r="24" spans="1:6" ht="15">
      <c r="A24" s="45">
        <v>2002</v>
      </c>
      <c r="C24" s="45" t="s">
        <v>170</v>
      </c>
      <c r="E24" s="45" t="s">
        <v>184</v>
      </c>
      <c r="F24" s="45" t="s">
        <v>255</v>
      </c>
    </row>
    <row r="25" spans="1:6" ht="15">
      <c r="A25" s="45"/>
      <c r="F25" s="45"/>
    </row>
    <row r="26" spans="1:6" ht="15">
      <c r="A26" s="45">
        <v>2003</v>
      </c>
      <c r="C26" s="45" t="s">
        <v>170</v>
      </c>
      <c r="E26" s="45" t="s">
        <v>184</v>
      </c>
      <c r="F26" s="45" t="s">
        <v>255</v>
      </c>
    </row>
    <row r="27" spans="1:6" ht="15">
      <c r="A27" s="45"/>
      <c r="E27" s="45"/>
      <c r="F27" s="45"/>
    </row>
    <row r="28" spans="1:6" ht="15">
      <c r="A28" s="45">
        <v>2004</v>
      </c>
      <c r="C28" s="45" t="s">
        <v>170</v>
      </c>
      <c r="E28" s="45" t="s">
        <v>184</v>
      </c>
      <c r="F28" s="45" t="s">
        <v>253</v>
      </c>
    </row>
    <row r="29" spans="1:6" ht="15">
      <c r="A29" s="45"/>
      <c r="C29" s="45"/>
      <c r="F29" s="45"/>
    </row>
    <row r="30" spans="1:6" ht="15">
      <c r="A30" s="45">
        <v>2005</v>
      </c>
      <c r="C30" s="45" t="s">
        <v>170</v>
      </c>
      <c r="E30" s="45" t="s">
        <v>184</v>
      </c>
      <c r="F30" s="45" t="s">
        <v>255</v>
      </c>
    </row>
    <row r="31" ht="15">
      <c r="C31" s="45"/>
    </row>
    <row r="32" ht="15">
      <c r="C32" s="45"/>
    </row>
    <row r="33" spans="1:3" ht="15">
      <c r="A33" s="41" t="s">
        <v>257</v>
      </c>
      <c r="C33" s="45"/>
    </row>
  </sheetData>
  <mergeCells count="3">
    <mergeCell ref="A4:G4"/>
    <mergeCell ref="A5:G5"/>
    <mergeCell ref="E9:F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H2" sqref="H2"/>
    </sheetView>
  </sheetViews>
  <sheetFormatPr defaultColWidth="8.88671875" defaultRowHeight="15"/>
  <cols>
    <col min="2" max="2" width="2.77734375" style="0" customWidth="1"/>
    <col min="6" max="6" width="2.77734375" style="0" customWidth="1"/>
  </cols>
  <sheetData>
    <row r="1" ht="15.75">
      <c r="H1" s="46" t="s">
        <v>333</v>
      </c>
    </row>
    <row r="2" ht="15.75">
      <c r="H2" s="46" t="s">
        <v>79</v>
      </c>
    </row>
    <row r="3" ht="15.75">
      <c r="H3" s="46"/>
    </row>
    <row r="4" spans="1:9" ht="15.75">
      <c r="A4" s="223" t="s">
        <v>269</v>
      </c>
      <c r="B4" s="224"/>
      <c r="C4" s="224"/>
      <c r="D4" s="224"/>
      <c r="E4" s="224"/>
      <c r="F4" s="224"/>
      <c r="G4" s="224"/>
      <c r="H4" s="224"/>
      <c r="I4" s="225"/>
    </row>
    <row r="6" spans="3:9" ht="15">
      <c r="C6" s="220" t="s">
        <v>267</v>
      </c>
      <c r="D6" s="222"/>
      <c r="E6" s="221"/>
      <c r="G6" s="220" t="s">
        <v>268</v>
      </c>
      <c r="H6" s="222"/>
      <c r="I6" s="221"/>
    </row>
    <row r="7" spans="3:9" ht="15">
      <c r="C7" s="128" t="s">
        <v>264</v>
      </c>
      <c r="D7" s="128" t="s">
        <v>143</v>
      </c>
      <c r="E7" s="47" t="s">
        <v>265</v>
      </c>
      <c r="G7" s="128" t="s">
        <v>264</v>
      </c>
      <c r="H7" s="128" t="s">
        <v>143</v>
      </c>
      <c r="I7" s="47" t="s">
        <v>265</v>
      </c>
    </row>
    <row r="8" spans="1:9" ht="15">
      <c r="A8" s="48"/>
      <c r="B8" s="48"/>
      <c r="C8" s="118"/>
      <c r="D8" s="118"/>
      <c r="E8" s="48"/>
      <c r="F8" s="48"/>
      <c r="G8" s="118"/>
      <c r="H8" s="118"/>
      <c r="I8" s="48"/>
    </row>
    <row r="9" spans="1:9" ht="15">
      <c r="A9" s="47"/>
      <c r="B9" s="47"/>
      <c r="C9" s="128"/>
      <c r="D9" s="128"/>
      <c r="E9" s="47"/>
      <c r="F9" s="47"/>
      <c r="G9" s="128"/>
      <c r="H9" s="128"/>
      <c r="I9" s="47"/>
    </row>
    <row r="10" ht="15">
      <c r="A10" s="176">
        <v>2001</v>
      </c>
    </row>
    <row r="11" spans="1:9" ht="15">
      <c r="A11" s="45" t="s">
        <v>44</v>
      </c>
      <c r="C11" s="129">
        <v>0.0799</v>
      </c>
      <c r="D11" s="129">
        <v>0.078</v>
      </c>
      <c r="E11" s="129">
        <f>+C11-D11</f>
        <v>0.001899999999999999</v>
      </c>
      <c r="F11" s="129"/>
      <c r="G11" s="129">
        <v>0.0753</v>
      </c>
      <c r="H11" s="129">
        <v>0.0742</v>
      </c>
      <c r="I11" s="129">
        <f>+G11-H11</f>
        <v>0.0011000000000000038</v>
      </c>
    </row>
    <row r="12" spans="1:9" ht="15">
      <c r="A12" s="45" t="s">
        <v>45</v>
      </c>
      <c r="C12" s="129">
        <v>0.0794</v>
      </c>
      <c r="D12" s="129">
        <v>0.0774</v>
      </c>
      <c r="E12" s="129">
        <f aca="true" t="shared" si="0" ref="E12:E22">+C12-D12</f>
        <v>0.0020000000000000018</v>
      </c>
      <c r="F12" s="129"/>
      <c r="G12" s="129">
        <v>0.0748</v>
      </c>
      <c r="H12" s="129">
        <v>0.0738</v>
      </c>
      <c r="I12" s="129">
        <f aca="true" t="shared" si="1" ref="I12:I22">+G12-H12</f>
        <v>0.0010000000000000009</v>
      </c>
    </row>
    <row r="13" spans="1:9" ht="15">
      <c r="A13" s="45" t="s">
        <v>46</v>
      </c>
      <c r="C13" s="129">
        <v>0.0785</v>
      </c>
      <c r="D13" s="129">
        <v>0.0768</v>
      </c>
      <c r="E13" s="129">
        <f t="shared" si="0"/>
        <v>0.001700000000000007</v>
      </c>
      <c r="F13" s="129"/>
      <c r="G13" s="129">
        <v>0.0748</v>
      </c>
      <c r="H13" s="129">
        <v>0.0735</v>
      </c>
      <c r="I13" s="129">
        <f t="shared" si="1"/>
        <v>0.0013000000000000095</v>
      </c>
    </row>
    <row r="14" spans="1:9" ht="15">
      <c r="A14" s="45" t="s">
        <v>47</v>
      </c>
      <c r="C14" s="129">
        <v>0.0806</v>
      </c>
      <c r="D14" s="129">
        <v>0.0794</v>
      </c>
      <c r="E14" s="129">
        <f t="shared" si="0"/>
        <v>0.0012000000000000066</v>
      </c>
      <c r="F14" s="129"/>
      <c r="G14" s="129">
        <v>0.0759</v>
      </c>
      <c r="H14" s="129">
        <v>0.0747</v>
      </c>
      <c r="I14" s="129">
        <f t="shared" si="1"/>
        <v>0.0011999999999999927</v>
      </c>
    </row>
    <row r="15" spans="1:9" ht="15">
      <c r="A15" s="45" t="s">
        <v>48</v>
      </c>
      <c r="C15" s="129">
        <v>0.0811</v>
      </c>
      <c r="D15" s="129">
        <v>0.0799</v>
      </c>
      <c r="E15" s="129">
        <f t="shared" si="0"/>
        <v>0.0012000000000000066</v>
      </c>
      <c r="F15" s="129"/>
      <c r="G15" s="129">
        <v>0.0757</v>
      </c>
      <c r="H15" s="129">
        <v>0.0748</v>
      </c>
      <c r="I15" s="129">
        <f t="shared" si="1"/>
        <v>0.000899999999999998</v>
      </c>
    </row>
    <row r="16" spans="1:9" ht="15">
      <c r="A16" s="45" t="s">
        <v>49</v>
      </c>
      <c r="C16" s="129">
        <v>0.0802</v>
      </c>
      <c r="D16" s="129">
        <v>0.0785</v>
      </c>
      <c r="E16" s="129">
        <f t="shared" si="0"/>
        <v>0.0016999999999999932</v>
      </c>
      <c r="F16" s="129"/>
      <c r="G16" s="129">
        <v>0.076</v>
      </c>
      <c r="H16" s="129">
        <v>0.0736</v>
      </c>
      <c r="I16" s="129">
        <f t="shared" si="1"/>
        <v>0.0023999999999999994</v>
      </c>
    </row>
    <row r="17" spans="1:9" ht="15">
      <c r="A17" s="45" t="s">
        <v>50</v>
      </c>
      <c r="C17" s="129">
        <v>0.0805</v>
      </c>
      <c r="D17" s="129">
        <v>0.0778</v>
      </c>
      <c r="E17" s="129">
        <f t="shared" si="0"/>
        <v>0.002700000000000008</v>
      </c>
      <c r="F17" s="129"/>
      <c r="G17" s="129">
        <v>0.0742</v>
      </c>
      <c r="H17" s="129">
        <v>0.0725</v>
      </c>
      <c r="I17" s="129">
        <f t="shared" si="1"/>
        <v>0.001700000000000007</v>
      </c>
    </row>
    <row r="18" spans="1:9" ht="15">
      <c r="A18" s="45" t="s">
        <v>51</v>
      </c>
      <c r="C18" s="129">
        <v>0.0795</v>
      </c>
      <c r="D18" s="129">
        <v>0.0759</v>
      </c>
      <c r="E18" s="129">
        <f t="shared" si="0"/>
        <v>0.003600000000000006</v>
      </c>
      <c r="F18" s="129"/>
      <c r="G18" s="129">
        <v>0.074</v>
      </c>
      <c r="H18" s="129">
        <v>0.0707</v>
      </c>
      <c r="I18" s="129">
        <f t="shared" si="1"/>
        <v>0.0032999999999999974</v>
      </c>
    </row>
    <row r="19" spans="1:9" ht="15">
      <c r="A19" s="45" t="s">
        <v>52</v>
      </c>
      <c r="C19" s="129">
        <v>0.0812</v>
      </c>
      <c r="D19" s="129">
        <v>0.0775</v>
      </c>
      <c r="E19" s="129">
        <f t="shared" si="0"/>
        <v>0.003699999999999995</v>
      </c>
      <c r="F19" s="129"/>
      <c r="G19" s="129">
        <v>0.0741</v>
      </c>
      <c r="H19" s="129">
        <v>0.0717</v>
      </c>
      <c r="I19" s="129">
        <f t="shared" si="1"/>
        <v>0.0023999999999999994</v>
      </c>
    </row>
    <row r="20" spans="1:9" ht="15">
      <c r="A20" s="45" t="s">
        <v>53</v>
      </c>
      <c r="C20" s="129">
        <v>0.0802</v>
      </c>
      <c r="D20" s="129">
        <v>0.0763</v>
      </c>
      <c r="E20" s="129">
        <f t="shared" si="0"/>
        <v>0.003899999999999987</v>
      </c>
      <c r="F20" s="129"/>
      <c r="G20" s="129">
        <v>0.074</v>
      </c>
      <c r="H20" s="129">
        <v>0.0706</v>
      </c>
      <c r="I20" s="129">
        <f t="shared" si="1"/>
        <v>0.0034000000000000002</v>
      </c>
    </row>
    <row r="21" spans="1:9" ht="15">
      <c r="A21" s="45" t="s">
        <v>54</v>
      </c>
      <c r="C21" s="129">
        <v>0.0796</v>
      </c>
      <c r="D21" s="129">
        <v>0.0757</v>
      </c>
      <c r="E21" s="129">
        <f t="shared" si="0"/>
        <v>0.0039000000000000007</v>
      </c>
      <c r="F21" s="129"/>
      <c r="G21" s="129">
        <v>0.0753</v>
      </c>
      <c r="H21" s="129">
        <v>0.0717</v>
      </c>
      <c r="I21" s="129">
        <f t="shared" si="1"/>
        <v>0.003600000000000006</v>
      </c>
    </row>
    <row r="22" spans="1:9" ht="15">
      <c r="A22" s="45" t="s">
        <v>55</v>
      </c>
      <c r="C22" s="129">
        <v>0.0827</v>
      </c>
      <c r="D22" s="129">
        <v>0.0783</v>
      </c>
      <c r="E22" s="129">
        <f t="shared" si="0"/>
        <v>0.004400000000000001</v>
      </c>
      <c r="F22" s="129"/>
      <c r="G22" s="129">
        <v>0.0766</v>
      </c>
      <c r="H22" s="129">
        <v>0.073</v>
      </c>
      <c r="I22" s="129">
        <f t="shared" si="1"/>
        <v>0.003600000000000006</v>
      </c>
    </row>
    <row r="23" spans="1:9" ht="15">
      <c r="A23" s="176">
        <v>2002</v>
      </c>
      <c r="C23" s="129"/>
      <c r="D23" s="129"/>
      <c r="E23" s="129"/>
      <c r="F23" s="129"/>
      <c r="G23" s="129"/>
      <c r="H23" s="129"/>
      <c r="I23" s="129"/>
    </row>
    <row r="24" spans="1:9" ht="15">
      <c r="A24" s="45" t="s">
        <v>44</v>
      </c>
      <c r="C24" s="129">
        <v>0.0813</v>
      </c>
      <c r="D24" s="129">
        <v>0.0766</v>
      </c>
      <c r="E24" s="129">
        <f>+C24-D24</f>
        <v>0.004699999999999996</v>
      </c>
      <c r="F24" s="129"/>
      <c r="G24" s="129">
        <v>0.0762</v>
      </c>
      <c r="H24" s="129">
        <v>0.073</v>
      </c>
      <c r="I24" s="129">
        <f>+G24-H24</f>
        <v>0.0032000000000000084</v>
      </c>
    </row>
    <row r="25" spans="1:9" ht="15">
      <c r="A25" s="45" t="s">
        <v>45</v>
      </c>
      <c r="C25" s="129">
        <v>0.0818</v>
      </c>
      <c r="D25" s="129">
        <v>0.0754</v>
      </c>
      <c r="E25" s="129">
        <f aca="true" t="shared" si="2" ref="E25:E35">+C25-D25</f>
        <v>0.006400000000000003</v>
      </c>
      <c r="F25" s="129"/>
      <c r="G25" s="129">
        <v>0.0751</v>
      </c>
      <c r="H25" s="129">
        <v>0.0722</v>
      </c>
      <c r="I25" s="129">
        <f aca="true" t="shared" si="3" ref="I25:I35">+G25-H25</f>
        <v>0.0029</v>
      </c>
    </row>
    <row r="26" spans="1:9" ht="15">
      <c r="A26" s="45" t="s">
        <v>46</v>
      </c>
      <c r="C26" s="129">
        <v>0.0832</v>
      </c>
      <c r="D26" s="129">
        <v>0.0776</v>
      </c>
      <c r="E26" s="129">
        <f t="shared" si="2"/>
        <v>0.005599999999999994</v>
      </c>
      <c r="F26" s="129"/>
      <c r="G26" s="129">
        <v>0.0783</v>
      </c>
      <c r="H26" s="129">
        <v>0.0736</v>
      </c>
      <c r="I26" s="129">
        <f t="shared" si="3"/>
        <v>0.004699999999999996</v>
      </c>
    </row>
    <row r="27" spans="1:9" ht="15">
      <c r="A27" s="45" t="s">
        <v>47</v>
      </c>
      <c r="C27" s="129">
        <v>0.0826</v>
      </c>
      <c r="D27" s="129">
        <v>0.0757</v>
      </c>
      <c r="E27" s="129">
        <f t="shared" si="2"/>
        <v>0.006900000000000003</v>
      </c>
      <c r="F27" s="129"/>
      <c r="G27" s="129">
        <v>0.0762</v>
      </c>
      <c r="H27" s="129">
        <v>0.0727</v>
      </c>
      <c r="I27" s="129">
        <f t="shared" si="3"/>
        <v>0.003500000000000003</v>
      </c>
    </row>
    <row r="28" spans="1:9" ht="15">
      <c r="A28" s="45" t="s">
        <v>48</v>
      </c>
      <c r="C28" s="129">
        <v>0.0833</v>
      </c>
      <c r="D28" s="129">
        <v>0.0752</v>
      </c>
      <c r="E28" s="129">
        <f t="shared" si="2"/>
        <v>0.008099999999999996</v>
      </c>
      <c r="F28" s="129"/>
      <c r="G28" s="129">
        <v>0.0762</v>
      </c>
      <c r="H28" s="129">
        <v>0.0729</v>
      </c>
      <c r="I28" s="129">
        <f t="shared" si="3"/>
        <v>0.0032999999999999974</v>
      </c>
    </row>
    <row r="29" spans="1:9" ht="15">
      <c r="A29" s="45" t="s">
        <v>49</v>
      </c>
      <c r="C29" s="129">
        <v>0.0826</v>
      </c>
      <c r="D29" s="129">
        <v>0.0742</v>
      </c>
      <c r="E29" s="129">
        <f t="shared" si="2"/>
        <v>0.008400000000000005</v>
      </c>
      <c r="F29" s="129"/>
      <c r="G29" s="129">
        <v>0.0774</v>
      </c>
      <c r="H29" s="129">
        <v>0.074</v>
      </c>
      <c r="I29" s="129">
        <f t="shared" si="3"/>
        <v>0.0034000000000000002</v>
      </c>
    </row>
    <row r="30" spans="1:9" ht="15">
      <c r="A30" s="45" t="s">
        <v>50</v>
      </c>
      <c r="C30" s="129">
        <v>0.0807</v>
      </c>
      <c r="D30" s="129">
        <v>0.0731</v>
      </c>
      <c r="E30" s="129">
        <f t="shared" si="2"/>
        <v>0.007599999999999996</v>
      </c>
      <c r="F30" s="129"/>
      <c r="G30" s="129">
        <v>0.0764</v>
      </c>
      <c r="H30" s="129">
        <v>0.0733</v>
      </c>
      <c r="I30" s="129">
        <f t="shared" si="3"/>
        <v>0.0030999999999999917</v>
      </c>
    </row>
    <row r="31" spans="1:9" ht="15">
      <c r="A31" s="45" t="s">
        <v>51</v>
      </c>
      <c r="C31" s="129">
        <v>0.0774</v>
      </c>
      <c r="D31" s="129">
        <v>0.0717</v>
      </c>
      <c r="E31" s="129">
        <f t="shared" si="2"/>
        <v>0.005699999999999997</v>
      </c>
      <c r="F31" s="129"/>
      <c r="G31" s="129">
        <v>0.0742</v>
      </c>
      <c r="H31" s="129">
        <v>0.072</v>
      </c>
      <c r="I31" s="129">
        <f t="shared" si="3"/>
        <v>0.0022000000000000075</v>
      </c>
    </row>
    <row r="32" spans="1:9" ht="15">
      <c r="A32" s="45" t="s">
        <v>52</v>
      </c>
      <c r="C32" s="129">
        <v>0.0762</v>
      </c>
      <c r="D32" s="129">
        <v>0.0708</v>
      </c>
      <c r="E32" s="129">
        <f t="shared" si="2"/>
        <v>0.005400000000000002</v>
      </c>
      <c r="F32" s="129"/>
      <c r="G32" s="129">
        <v>0.0748</v>
      </c>
      <c r="H32" s="129">
        <v>0.0718</v>
      </c>
      <c r="I32" s="129">
        <f t="shared" si="3"/>
        <v>0.0030000000000000027</v>
      </c>
    </row>
    <row r="33" spans="1:9" ht="15">
      <c r="A33" s="45" t="s">
        <v>53</v>
      </c>
      <c r="C33" s="129">
        <v>0.08</v>
      </c>
      <c r="D33" s="129">
        <v>0.0723</v>
      </c>
      <c r="E33" s="129">
        <f t="shared" si="2"/>
        <v>0.0076999999999999985</v>
      </c>
      <c r="F33" s="129"/>
      <c r="G33" s="129">
        <v>0.0759</v>
      </c>
      <c r="H33" s="129">
        <v>0.0737</v>
      </c>
      <c r="I33" s="129">
        <f t="shared" si="3"/>
        <v>0.0021999999999999936</v>
      </c>
    </row>
    <row r="34" spans="1:9" ht="15">
      <c r="A34" s="45" t="s">
        <v>54</v>
      </c>
      <c r="C34" s="129">
        <v>0.0776</v>
      </c>
      <c r="D34" s="129">
        <v>0.0714</v>
      </c>
      <c r="E34" s="129">
        <f t="shared" si="2"/>
        <v>0.006199999999999997</v>
      </c>
      <c r="F34" s="129"/>
      <c r="G34" s="129">
        <v>0.0756</v>
      </c>
      <c r="H34" s="129">
        <v>0.0738</v>
      </c>
      <c r="I34" s="129">
        <f t="shared" si="3"/>
        <v>0.001799999999999996</v>
      </c>
    </row>
    <row r="35" spans="1:9" ht="15">
      <c r="A35" s="45" t="s">
        <v>55</v>
      </c>
      <c r="C35" s="129">
        <v>0.0761</v>
      </c>
      <c r="D35" s="129">
        <v>0.0707</v>
      </c>
      <c r="E35" s="129">
        <f t="shared" si="2"/>
        <v>0.005400000000000002</v>
      </c>
      <c r="F35" s="129"/>
      <c r="G35" s="129">
        <v>0.0757</v>
      </c>
      <c r="H35" s="129">
        <v>0.0706</v>
      </c>
      <c r="I35" s="129">
        <f t="shared" si="3"/>
        <v>0.005100000000000007</v>
      </c>
    </row>
    <row r="36" spans="1:9" ht="15">
      <c r="A36" s="176">
        <v>2003</v>
      </c>
      <c r="C36" s="129"/>
      <c r="D36" s="129"/>
      <c r="E36" s="129"/>
      <c r="F36" s="129"/>
      <c r="G36" s="129"/>
      <c r="H36" s="129"/>
      <c r="I36" s="129"/>
    </row>
    <row r="37" spans="1:9" ht="15">
      <c r="A37" s="45" t="s">
        <v>44</v>
      </c>
      <c r="C37" s="129">
        <v>0.0747</v>
      </c>
      <c r="D37" s="129">
        <v>0.0706</v>
      </c>
      <c r="E37" s="129">
        <f>+C37-D37</f>
        <v>0.004100000000000006</v>
      </c>
      <c r="F37" s="129"/>
      <c r="G37" s="129">
        <v>0.0761</v>
      </c>
      <c r="H37" s="129">
        <v>0.0713</v>
      </c>
      <c r="I37" s="129">
        <f>+G37-H37</f>
        <v>0.004799999999999999</v>
      </c>
    </row>
    <row r="38" spans="1:9" ht="15">
      <c r="A38" s="45" t="s">
        <v>45</v>
      </c>
      <c r="C38" s="129">
        <v>0.0717</v>
      </c>
      <c r="D38" s="129">
        <v>0.0693</v>
      </c>
      <c r="E38" s="129">
        <f aca="true" t="shared" si="4" ref="E38:E48">+C38-D38</f>
        <v>0.0023999999999999994</v>
      </c>
      <c r="F38" s="129"/>
      <c r="G38" s="129">
        <v>0.0762</v>
      </c>
      <c r="H38" s="129">
        <v>0.0701</v>
      </c>
      <c r="I38" s="129">
        <f aca="true" t="shared" si="5" ref="I38:I48">+G38-H38</f>
        <v>0.006100000000000008</v>
      </c>
    </row>
    <row r="39" spans="1:9" ht="15">
      <c r="A39" s="45" t="s">
        <v>46</v>
      </c>
      <c r="C39" s="129">
        <v>0.0705</v>
      </c>
      <c r="D39" s="129">
        <v>0.0679</v>
      </c>
      <c r="E39" s="129">
        <f t="shared" si="4"/>
        <v>0.002599999999999991</v>
      </c>
      <c r="F39" s="129"/>
      <c r="G39" s="129">
        <v>0.0766</v>
      </c>
      <c r="H39" s="129">
        <v>0.0705</v>
      </c>
      <c r="I39" s="129">
        <f t="shared" si="5"/>
        <v>0.006100000000000008</v>
      </c>
    </row>
    <row r="40" spans="1:9" ht="15">
      <c r="A40" s="45" t="s">
        <v>47</v>
      </c>
      <c r="C40" s="129">
        <v>0.0694</v>
      </c>
      <c r="D40" s="129">
        <v>0.0664</v>
      </c>
      <c r="E40" s="129">
        <f t="shared" si="4"/>
        <v>0.0030000000000000027</v>
      </c>
      <c r="F40" s="129"/>
      <c r="G40" s="129">
        <v>0.0751</v>
      </c>
      <c r="H40" s="129">
        <v>0.0697</v>
      </c>
      <c r="I40" s="129">
        <f t="shared" si="5"/>
        <v>0.005400000000000002</v>
      </c>
    </row>
    <row r="41" spans="1:9" ht="15">
      <c r="A41" s="45" t="s">
        <v>48</v>
      </c>
      <c r="C41" s="129">
        <v>0.0647</v>
      </c>
      <c r="D41" s="129">
        <v>0.0636</v>
      </c>
      <c r="E41" s="129">
        <f t="shared" si="4"/>
        <v>0.0010999999999999899</v>
      </c>
      <c r="F41" s="129"/>
      <c r="G41" s="129">
        <v>0.0742</v>
      </c>
      <c r="H41" s="129">
        <v>0.0683</v>
      </c>
      <c r="I41" s="129">
        <f t="shared" si="5"/>
        <v>0.0059000000000000025</v>
      </c>
    </row>
    <row r="42" spans="1:9" ht="15">
      <c r="A42" s="45" t="s">
        <v>49</v>
      </c>
      <c r="C42" s="129">
        <v>0.063</v>
      </c>
      <c r="D42" s="129">
        <v>0.0621</v>
      </c>
      <c r="E42" s="129">
        <f t="shared" si="4"/>
        <v>0.000899999999999998</v>
      </c>
      <c r="F42" s="129"/>
      <c r="G42" s="129">
        <v>0.0741</v>
      </c>
      <c r="H42" s="129">
        <v>0.0681</v>
      </c>
      <c r="I42" s="129">
        <f t="shared" si="5"/>
        <v>0.006000000000000005</v>
      </c>
    </row>
    <row r="43" spans="1:9" ht="15">
      <c r="A43" s="45" t="s">
        <v>50</v>
      </c>
      <c r="C43" s="129">
        <v>0.0667</v>
      </c>
      <c r="D43" s="129">
        <v>0.0657</v>
      </c>
      <c r="E43" s="129">
        <f t="shared" si="4"/>
        <v>0.0010000000000000009</v>
      </c>
      <c r="F43" s="129"/>
      <c r="G43" s="129">
        <v>0.0724</v>
      </c>
      <c r="H43" s="129">
        <v>0.0684</v>
      </c>
      <c r="I43" s="129">
        <f t="shared" si="5"/>
        <v>0.0040000000000000036</v>
      </c>
    </row>
    <row r="44" spans="1:9" ht="15">
      <c r="A44" s="45" t="s">
        <v>51</v>
      </c>
      <c r="C44" s="129">
        <v>0.0708</v>
      </c>
      <c r="D44" s="129">
        <v>0.0678</v>
      </c>
      <c r="E44" s="129">
        <f t="shared" si="4"/>
        <v>0.0030000000000000027</v>
      </c>
      <c r="F44" s="129"/>
      <c r="G44" s="129">
        <v>0.0729</v>
      </c>
      <c r="H44" s="129">
        <v>0.0677</v>
      </c>
      <c r="I44" s="129">
        <f t="shared" si="5"/>
        <v>0.00520000000000001</v>
      </c>
    </row>
    <row r="45" spans="1:9" ht="15">
      <c r="A45" s="45" t="s">
        <v>52</v>
      </c>
      <c r="C45" s="129">
        <v>0.0687</v>
      </c>
      <c r="D45" s="129">
        <v>0.0656</v>
      </c>
      <c r="E45" s="129">
        <f t="shared" si="4"/>
        <v>0.0030999999999999917</v>
      </c>
      <c r="F45" s="129"/>
      <c r="G45" s="129">
        <v>0.0728</v>
      </c>
      <c r="H45" s="129">
        <v>0.0673</v>
      </c>
      <c r="I45" s="129">
        <f t="shared" si="5"/>
        <v>0.005500000000000005</v>
      </c>
    </row>
    <row r="46" spans="1:9" ht="15">
      <c r="A46" s="45" t="s">
        <v>53</v>
      </c>
      <c r="C46" s="129">
        <v>0.0679</v>
      </c>
      <c r="D46" s="129">
        <v>0.0643</v>
      </c>
      <c r="E46" s="129">
        <f t="shared" si="4"/>
        <v>0.003600000000000006</v>
      </c>
      <c r="F46" s="129"/>
      <c r="G46" s="129">
        <v>0.0726</v>
      </c>
      <c r="H46" s="129">
        <v>0.0687</v>
      </c>
      <c r="I46" s="129">
        <f t="shared" si="5"/>
        <v>0.0039000000000000007</v>
      </c>
    </row>
    <row r="47" spans="1:9" ht="15">
      <c r="A47" s="45" t="s">
        <v>54</v>
      </c>
      <c r="C47" s="129">
        <v>0.0669</v>
      </c>
      <c r="D47" s="129">
        <v>0.0637</v>
      </c>
      <c r="E47" s="129">
        <f t="shared" si="4"/>
        <v>0.0031999999999999945</v>
      </c>
      <c r="F47" s="129"/>
      <c r="G47" s="129">
        <v>0.0729</v>
      </c>
      <c r="H47" s="129">
        <v>0.0684</v>
      </c>
      <c r="I47" s="129">
        <f t="shared" si="5"/>
        <v>0.004500000000000004</v>
      </c>
    </row>
    <row r="48" spans="1:9" ht="15">
      <c r="A48" s="45" t="s">
        <v>55</v>
      </c>
      <c r="C48" s="129">
        <v>0.0661</v>
      </c>
      <c r="D48" s="129">
        <v>0.0627</v>
      </c>
      <c r="E48" s="129">
        <f t="shared" si="4"/>
        <v>0.0034000000000000002</v>
      </c>
      <c r="F48" s="129"/>
      <c r="G48" s="129">
        <v>0.0728</v>
      </c>
      <c r="H48" s="129">
        <v>0.067</v>
      </c>
      <c r="I48" s="129">
        <f t="shared" si="5"/>
        <v>0.0058</v>
      </c>
    </row>
    <row r="49" spans="1:9" ht="15">
      <c r="A49" s="176">
        <v>2004</v>
      </c>
      <c r="C49" s="129"/>
      <c r="D49" s="129"/>
      <c r="E49" s="129"/>
      <c r="F49" s="129"/>
      <c r="G49" s="129"/>
      <c r="H49" s="129"/>
      <c r="I49" s="129"/>
    </row>
    <row r="50" spans="1:9" ht="15">
      <c r="A50" s="45" t="s">
        <v>44</v>
      </c>
      <c r="C50" s="129">
        <v>0.0647</v>
      </c>
      <c r="D50" s="129">
        <v>0.0615</v>
      </c>
      <c r="E50" s="129">
        <f>+C50-D50</f>
        <v>0.0031999999999999945</v>
      </c>
      <c r="F50" s="129"/>
      <c r="G50" s="129">
        <v>0.072</v>
      </c>
      <c r="H50" s="129">
        <v>0.0665</v>
      </c>
      <c r="I50" s="129">
        <f>+G50-H50</f>
        <v>0.005499999999999991</v>
      </c>
    </row>
    <row r="51" spans="1:9" ht="15">
      <c r="A51" s="45" t="s">
        <v>45</v>
      </c>
      <c r="C51" s="129">
        <v>0.0628</v>
      </c>
      <c r="D51" s="129">
        <v>0.0615</v>
      </c>
      <c r="E51" s="129">
        <f aca="true" t="shared" si="6" ref="E51:E61">+C51-D51</f>
        <v>0.0012999999999999956</v>
      </c>
      <c r="F51" s="129"/>
      <c r="G51" s="129">
        <v>0.072</v>
      </c>
      <c r="H51" s="129">
        <v>0.0671</v>
      </c>
      <c r="I51" s="129">
        <f aca="true" t="shared" si="7" ref="I51:I61">+G51-H51</f>
        <v>0.004899999999999988</v>
      </c>
    </row>
    <row r="52" spans="1:9" ht="15">
      <c r="A52" s="45" t="s">
        <v>46</v>
      </c>
      <c r="C52" s="129">
        <v>0.0612</v>
      </c>
      <c r="D52" s="129">
        <v>0.0597</v>
      </c>
      <c r="E52" s="129">
        <f t="shared" si="6"/>
        <v>0.0014999999999999944</v>
      </c>
      <c r="F52" s="129"/>
      <c r="G52" s="129">
        <v>0.072</v>
      </c>
      <c r="H52" s="129">
        <v>0.067</v>
      </c>
      <c r="I52" s="129">
        <f t="shared" si="7"/>
        <v>0.0049999999999999906</v>
      </c>
    </row>
    <row r="53" spans="1:9" ht="15">
      <c r="A53" s="45" t="s">
        <v>47</v>
      </c>
      <c r="C53" s="129">
        <v>0.0646</v>
      </c>
      <c r="D53" s="129">
        <v>0.0635</v>
      </c>
      <c r="E53" s="129">
        <f t="shared" si="6"/>
        <v>0.0011000000000000038</v>
      </c>
      <c r="F53" s="129"/>
      <c r="G53" s="129">
        <v>0.0727</v>
      </c>
      <c r="H53" s="129">
        <v>0.071</v>
      </c>
      <c r="I53" s="129">
        <f t="shared" si="7"/>
        <v>0.001700000000000007</v>
      </c>
    </row>
    <row r="54" spans="1:9" ht="15">
      <c r="A54" s="45" t="s">
        <v>48</v>
      </c>
      <c r="C54" s="129">
        <v>0.0675</v>
      </c>
      <c r="D54" s="129">
        <v>0.0662</v>
      </c>
      <c r="E54" s="129">
        <f t="shared" si="6"/>
        <v>0.0013000000000000095</v>
      </c>
      <c r="F54" s="129"/>
      <c r="G54" s="129">
        <v>0.0764</v>
      </c>
      <c r="H54" s="129">
        <v>0.0742</v>
      </c>
      <c r="I54" s="129">
        <f t="shared" si="7"/>
        <v>0.0021999999999999936</v>
      </c>
    </row>
    <row r="55" spans="1:9" ht="15">
      <c r="A55" s="45" t="s">
        <v>49</v>
      </c>
      <c r="C55" s="129">
        <v>0.0684</v>
      </c>
      <c r="D55" s="129">
        <v>0.0646</v>
      </c>
      <c r="E55" s="129">
        <f t="shared" si="6"/>
        <v>0.003799999999999998</v>
      </c>
      <c r="F55" s="129"/>
      <c r="G55" s="129">
        <v>0.0717</v>
      </c>
      <c r="H55" s="129">
        <v>0.07</v>
      </c>
      <c r="I55" s="129">
        <f t="shared" si="7"/>
        <v>0.0016999999999999932</v>
      </c>
    </row>
    <row r="56" spans="1:9" ht="15">
      <c r="A56" s="45" t="s">
        <v>50</v>
      </c>
      <c r="C56" s="129">
        <v>0.0667</v>
      </c>
      <c r="D56" s="129">
        <v>0.0627</v>
      </c>
      <c r="E56" s="129">
        <f t="shared" si="6"/>
        <v>0.00399999999999999</v>
      </c>
      <c r="F56" s="129"/>
      <c r="G56" s="129">
        <v>0.0689</v>
      </c>
      <c r="H56" s="129">
        <v>0.0664</v>
      </c>
      <c r="I56" s="129">
        <f t="shared" si="7"/>
        <v>0.0025000000000000022</v>
      </c>
    </row>
    <row r="57" spans="1:9" ht="15">
      <c r="A57" s="45" t="s">
        <v>51</v>
      </c>
      <c r="C57" s="129">
        <v>0.0645</v>
      </c>
      <c r="D57" s="129">
        <v>0.0614</v>
      </c>
      <c r="E57" s="129">
        <f t="shared" si="6"/>
        <v>0.0030999999999999986</v>
      </c>
      <c r="F57" s="129"/>
      <c r="G57" s="129">
        <v>0.0674</v>
      </c>
      <c r="H57" s="129">
        <v>0.0638</v>
      </c>
      <c r="I57" s="129">
        <f t="shared" si="7"/>
        <v>0.003600000000000006</v>
      </c>
    </row>
    <row r="58" spans="1:9" ht="15">
      <c r="A58" s="45" t="s">
        <v>52</v>
      </c>
      <c r="C58" s="129">
        <v>0.0627</v>
      </c>
      <c r="D58" s="129">
        <v>0.0598</v>
      </c>
      <c r="E58" s="129">
        <f t="shared" si="6"/>
        <v>0.0029000000000000067</v>
      </c>
      <c r="F58" s="129"/>
      <c r="G58" s="129">
        <v>0.0661</v>
      </c>
      <c r="H58" s="129">
        <v>0.0624</v>
      </c>
      <c r="I58" s="129">
        <f t="shared" si="7"/>
        <v>0.003700000000000009</v>
      </c>
    </row>
    <row r="59" spans="1:9" ht="15">
      <c r="A59" s="45" t="s">
        <v>53</v>
      </c>
      <c r="C59" s="129">
        <v>0.0617</v>
      </c>
      <c r="D59" s="129">
        <v>0.0594</v>
      </c>
      <c r="E59" s="129">
        <f t="shared" si="6"/>
        <v>0.0022999999999999965</v>
      </c>
      <c r="F59" s="129"/>
      <c r="G59" s="129">
        <v>0.0653</v>
      </c>
      <c r="H59" s="129">
        <v>0.0626</v>
      </c>
      <c r="I59" s="129">
        <f t="shared" si="7"/>
        <v>0.002699999999999994</v>
      </c>
    </row>
    <row r="60" spans="1:9" ht="15">
      <c r="A60" s="45" t="s">
        <v>54</v>
      </c>
      <c r="C60" s="129">
        <v>0.0616</v>
      </c>
      <c r="D60" s="129">
        <v>0.0597</v>
      </c>
      <c r="E60" s="129">
        <f t="shared" si="6"/>
        <v>0.001899999999999999</v>
      </c>
      <c r="F60" s="129"/>
      <c r="G60" s="129">
        <v>0.0623</v>
      </c>
      <c r="H60" s="129">
        <v>0.0619</v>
      </c>
      <c r="I60" s="129">
        <f t="shared" si="7"/>
        <v>0.0004000000000000045</v>
      </c>
    </row>
    <row r="61" spans="1:9" ht="15">
      <c r="A61" s="45" t="s">
        <v>55</v>
      </c>
      <c r="C61" s="129">
        <v>0.061</v>
      </c>
      <c r="D61" s="129">
        <v>0.0592</v>
      </c>
      <c r="E61" s="129">
        <f t="shared" si="6"/>
        <v>0.001799999999999996</v>
      </c>
      <c r="F61" s="129"/>
      <c r="G61" s="129">
        <v>0.0642</v>
      </c>
      <c r="H61" s="129">
        <v>0.0616</v>
      </c>
      <c r="I61" s="129">
        <f t="shared" si="7"/>
        <v>0.002599999999999991</v>
      </c>
    </row>
    <row r="62" spans="1:9" ht="15">
      <c r="A62" s="176">
        <v>2005</v>
      </c>
      <c r="C62" s="129"/>
      <c r="D62" s="129"/>
      <c r="E62" s="129"/>
      <c r="F62" s="129"/>
      <c r="G62" s="129"/>
      <c r="H62" s="129"/>
      <c r="I62" s="129"/>
    </row>
    <row r="63" spans="1:9" ht="15">
      <c r="A63" s="45" t="s">
        <v>44</v>
      </c>
      <c r="C63" s="129">
        <v>0.0595</v>
      </c>
      <c r="D63" s="129">
        <v>0.0578</v>
      </c>
      <c r="E63" s="129">
        <f>+C63-D63</f>
        <v>0.0017000000000000001</v>
      </c>
      <c r="F63" s="129"/>
      <c r="G63" s="129">
        <v>0.0635</v>
      </c>
      <c r="H63" s="129">
        <v>0.0615</v>
      </c>
      <c r="I63" s="129">
        <f>+G63-H63</f>
        <v>0.0020000000000000018</v>
      </c>
    </row>
    <row r="64" spans="1:9" ht="15">
      <c r="A64" s="45" t="s">
        <v>45</v>
      </c>
      <c r="C64" s="129">
        <v>0.0576</v>
      </c>
      <c r="D64" s="129">
        <v>0.0561</v>
      </c>
      <c r="E64" s="129">
        <f aca="true" t="shared" si="8" ref="E64:E80">+C64-D64</f>
        <v>0.0015000000000000013</v>
      </c>
      <c r="F64" s="129"/>
      <c r="G64" s="129">
        <v>0.0636</v>
      </c>
      <c r="H64" s="129">
        <v>0.0629</v>
      </c>
      <c r="I64" s="129">
        <f aca="true" t="shared" si="9" ref="I64:I80">+G64-H64</f>
        <v>0.0007000000000000062</v>
      </c>
    </row>
    <row r="65" spans="1:9" ht="15">
      <c r="A65" s="45" t="s">
        <v>46</v>
      </c>
      <c r="C65" s="129">
        <v>0.0601</v>
      </c>
      <c r="D65" s="129">
        <v>0.0583</v>
      </c>
      <c r="E65" s="129">
        <f t="shared" si="8"/>
        <v>0.001800000000000003</v>
      </c>
      <c r="F65" s="129"/>
      <c r="G65" s="129">
        <v>0.0642</v>
      </c>
      <c r="H65" s="129">
        <v>0.0641</v>
      </c>
      <c r="I65" s="129">
        <f t="shared" si="9"/>
        <v>9.999999999998899E-05</v>
      </c>
    </row>
    <row r="66" spans="1:9" ht="15">
      <c r="A66" s="45" t="s">
        <v>47</v>
      </c>
      <c r="C66" s="129">
        <v>0.0595</v>
      </c>
      <c r="D66" s="129">
        <v>0.0564</v>
      </c>
      <c r="E66" s="129">
        <f t="shared" si="8"/>
        <v>0.0030999999999999986</v>
      </c>
      <c r="F66" s="129"/>
      <c r="G66" s="129">
        <v>0.0641</v>
      </c>
      <c r="H66" s="129">
        <v>0.0617</v>
      </c>
      <c r="I66" s="129">
        <f t="shared" si="9"/>
        <v>0.0024000000000000063</v>
      </c>
    </row>
    <row r="67" spans="1:9" ht="15">
      <c r="A67" s="45" t="s">
        <v>48</v>
      </c>
      <c r="C67" s="129">
        <v>0.0588</v>
      </c>
      <c r="D67" s="129">
        <v>0.0553</v>
      </c>
      <c r="E67" s="129">
        <f t="shared" si="8"/>
        <v>0.003499999999999996</v>
      </c>
      <c r="F67" s="129"/>
      <c r="G67" s="129">
        <v>0.0639</v>
      </c>
      <c r="H67" s="129">
        <v>0.0624</v>
      </c>
      <c r="I67" s="129">
        <f t="shared" si="9"/>
        <v>0.0015000000000000013</v>
      </c>
    </row>
    <row r="68" spans="1:9" ht="15">
      <c r="A68" s="45" t="s">
        <v>49</v>
      </c>
      <c r="C68" s="129">
        <v>0.057</v>
      </c>
      <c r="D68" s="129">
        <v>0.054</v>
      </c>
      <c r="E68" s="129">
        <f t="shared" si="8"/>
        <v>0.0030000000000000027</v>
      </c>
      <c r="F68" s="129"/>
      <c r="G68" s="129">
        <v>0.0637</v>
      </c>
      <c r="H68" s="129">
        <v>0.062</v>
      </c>
      <c r="I68" s="129">
        <f t="shared" si="9"/>
        <v>0.001700000000000007</v>
      </c>
    </row>
    <row r="69" spans="1:9" ht="15">
      <c r="A69" s="45" t="s">
        <v>50</v>
      </c>
      <c r="C69" s="129">
        <v>0.0581</v>
      </c>
      <c r="D69" s="129">
        <v>0.0551</v>
      </c>
      <c r="E69" s="129">
        <f t="shared" si="8"/>
        <v>0.0029999999999999957</v>
      </c>
      <c r="F69" s="129"/>
      <c r="G69" s="129">
        <v>0.0635</v>
      </c>
      <c r="H69" s="129">
        <v>0.0622</v>
      </c>
      <c r="I69" s="129">
        <f t="shared" si="9"/>
        <v>0.0013000000000000025</v>
      </c>
    </row>
    <row r="70" spans="1:9" ht="15">
      <c r="A70" s="45" t="s">
        <v>51</v>
      </c>
      <c r="C70" s="129">
        <v>0.058</v>
      </c>
      <c r="D70" s="129">
        <v>0.055</v>
      </c>
      <c r="E70" s="129">
        <f t="shared" si="8"/>
        <v>0.0030000000000000027</v>
      </c>
      <c r="F70" s="129"/>
      <c r="G70" s="129">
        <v>0.0636</v>
      </c>
      <c r="H70" s="129">
        <v>0.0621</v>
      </c>
      <c r="I70" s="129">
        <f t="shared" si="9"/>
        <v>0.0015000000000000013</v>
      </c>
    </row>
    <row r="71" spans="1:9" ht="15">
      <c r="A71" s="45" t="s">
        <v>52</v>
      </c>
      <c r="C71" s="129">
        <v>0.0583</v>
      </c>
      <c r="D71" s="129">
        <v>0.0552</v>
      </c>
      <c r="E71" s="129">
        <f t="shared" si="8"/>
        <v>0.0030999999999999986</v>
      </c>
      <c r="F71" s="129"/>
      <c r="G71" s="129">
        <v>0.0638</v>
      </c>
      <c r="H71" s="129">
        <v>0.0627</v>
      </c>
      <c r="I71" s="129">
        <f t="shared" si="9"/>
        <v>0.0010999999999999899</v>
      </c>
    </row>
    <row r="72" spans="1:9" ht="15">
      <c r="A72" s="45" t="s">
        <v>53</v>
      </c>
      <c r="C72" s="129">
        <v>0.0608</v>
      </c>
      <c r="D72" s="129">
        <v>0.0579</v>
      </c>
      <c r="E72" s="129">
        <f t="shared" si="8"/>
        <v>0.0029</v>
      </c>
      <c r="F72" s="129"/>
      <c r="G72" s="129">
        <v>0.064</v>
      </c>
      <c r="H72" s="129">
        <v>0.0641</v>
      </c>
      <c r="I72" s="129">
        <f t="shared" si="9"/>
        <v>-0.00010000000000000286</v>
      </c>
    </row>
    <row r="73" spans="1:9" ht="15">
      <c r="A73" s="45" t="s">
        <v>54</v>
      </c>
      <c r="C73" s="129">
        <v>0.0619</v>
      </c>
      <c r="D73" s="129">
        <v>0.0588</v>
      </c>
      <c r="E73" s="129">
        <f t="shared" si="8"/>
        <v>0.0030999999999999986</v>
      </c>
      <c r="F73" s="129"/>
      <c r="G73" s="129">
        <v>0.0645</v>
      </c>
      <c r="H73" s="129">
        <v>0.0631</v>
      </c>
      <c r="I73" s="129">
        <f t="shared" si="9"/>
        <v>0.0013999999999999985</v>
      </c>
    </row>
    <row r="74" spans="1:9" ht="15">
      <c r="A74" s="45" t="s">
        <v>55</v>
      </c>
      <c r="C74" s="129">
        <v>0.0614</v>
      </c>
      <c r="D74" s="129">
        <v>0.058</v>
      </c>
      <c r="E74" s="129">
        <f t="shared" si="8"/>
        <v>0.0034000000000000002</v>
      </c>
      <c r="F74" s="129"/>
      <c r="G74" s="129">
        <v>0.0642</v>
      </c>
      <c r="H74" s="129">
        <v>0.0619</v>
      </c>
      <c r="I74" s="129">
        <f t="shared" si="9"/>
        <v>0.0022999999999999965</v>
      </c>
    </row>
    <row r="75" spans="1:9" ht="15">
      <c r="A75" s="176">
        <v>2006</v>
      </c>
      <c r="C75" s="129"/>
      <c r="D75" s="129"/>
      <c r="E75" s="129"/>
      <c r="F75" s="129"/>
      <c r="G75" s="129"/>
      <c r="H75" s="129"/>
      <c r="I75" s="129"/>
    </row>
    <row r="76" spans="1:9" ht="15">
      <c r="A76" s="45" t="s">
        <v>44</v>
      </c>
      <c r="C76" s="129">
        <v>0.0606</v>
      </c>
      <c r="D76" s="129">
        <v>0.0575</v>
      </c>
      <c r="E76" s="129">
        <f t="shared" si="8"/>
        <v>0.0030999999999999986</v>
      </c>
      <c r="F76" s="129"/>
      <c r="G76" s="129">
        <v>0.0641</v>
      </c>
      <c r="H76" s="129">
        <v>0.0614</v>
      </c>
      <c r="I76" s="129">
        <f t="shared" si="9"/>
        <v>0.002700000000000001</v>
      </c>
    </row>
    <row r="77" spans="1:9" ht="15">
      <c r="A77" s="45" t="s">
        <v>45</v>
      </c>
      <c r="C77" s="129">
        <v>0.0611</v>
      </c>
      <c r="D77" s="129">
        <v>0.0582</v>
      </c>
      <c r="E77" s="129">
        <f t="shared" si="8"/>
        <v>0.0029</v>
      </c>
      <c r="F77" s="129"/>
      <c r="G77" s="129">
        <v>0.0638</v>
      </c>
      <c r="H77" s="129">
        <v>0.061</v>
      </c>
      <c r="I77" s="129">
        <f t="shared" si="9"/>
        <v>0.002799999999999997</v>
      </c>
    </row>
    <row r="78" spans="1:9" ht="15">
      <c r="A78" s="45" t="s">
        <v>46</v>
      </c>
      <c r="C78" s="129">
        <v>0.0626</v>
      </c>
      <c r="D78" s="129">
        <v>0.0598</v>
      </c>
      <c r="E78" s="129">
        <f t="shared" si="8"/>
        <v>0.002800000000000004</v>
      </c>
      <c r="F78" s="129"/>
      <c r="G78" s="129">
        <v>0.0656</v>
      </c>
      <c r="H78" s="129">
        <v>0.0622</v>
      </c>
      <c r="I78" s="129">
        <f t="shared" si="9"/>
        <v>0.003400000000000007</v>
      </c>
    </row>
    <row r="79" spans="1:9" ht="15">
      <c r="A79" s="45" t="s">
        <v>47</v>
      </c>
      <c r="C79" s="129">
        <v>0.0654</v>
      </c>
      <c r="D79" s="129">
        <v>0.0629</v>
      </c>
      <c r="E79" s="129">
        <f t="shared" si="8"/>
        <v>0.0025000000000000022</v>
      </c>
      <c r="F79" s="129"/>
      <c r="G79" s="129">
        <v>0.0664</v>
      </c>
      <c r="H79" s="129">
        <v>0.0631</v>
      </c>
      <c r="I79" s="129">
        <f t="shared" si="9"/>
        <v>0.0032999999999999974</v>
      </c>
    </row>
    <row r="80" spans="1:9" ht="15">
      <c r="A80" s="45" t="s">
        <v>48</v>
      </c>
      <c r="C80" s="129">
        <v>0.0659</v>
      </c>
      <c r="D80" s="129">
        <v>0.0642</v>
      </c>
      <c r="E80" s="129">
        <f t="shared" si="8"/>
        <v>0.001700000000000007</v>
      </c>
      <c r="F80" s="129"/>
      <c r="G80" s="129">
        <v>0.0657</v>
      </c>
      <c r="H80" s="129">
        <v>0.0632</v>
      </c>
      <c r="I80" s="129">
        <f t="shared" si="9"/>
        <v>0.0024999999999999883</v>
      </c>
    </row>
    <row r="81" spans="1:9" ht="15">
      <c r="A81" s="45" t="s">
        <v>49</v>
      </c>
      <c r="C81" s="129"/>
      <c r="D81" s="129"/>
      <c r="E81" s="129"/>
      <c r="F81" s="129"/>
      <c r="G81" s="129"/>
      <c r="H81" s="129"/>
      <c r="I81" s="129"/>
    </row>
    <row r="82" spans="3:9" ht="15">
      <c r="C82" s="129"/>
      <c r="D82" s="129"/>
      <c r="E82" s="129"/>
      <c r="F82" s="129"/>
      <c r="G82" s="129"/>
      <c r="H82" s="129"/>
      <c r="I82" s="129"/>
    </row>
    <row r="83" spans="1:9" ht="15.75">
      <c r="A83" t="s">
        <v>108</v>
      </c>
      <c r="E83" s="212">
        <f>AVERAGE(E11:E81)</f>
        <v>0.0033184615384615375</v>
      </c>
      <c r="I83" s="212">
        <f>AVERAGE(I11:I81)</f>
        <v>0.0029938461538461547</v>
      </c>
    </row>
    <row r="85" ht="15">
      <c r="A85" t="s">
        <v>320</v>
      </c>
    </row>
  </sheetData>
  <mergeCells count="3">
    <mergeCell ref="C6:E6"/>
    <mergeCell ref="G6:I6"/>
    <mergeCell ref="A4:I4"/>
  </mergeCells>
  <printOptions horizontalCentered="1"/>
  <pageMargins left="0.75" right="0.75" top="1" bottom="1" header="0.5" footer="0.5"/>
  <pageSetup fitToHeight="1" fitToWidth="1" horizontalDpi="600" verticalDpi="600" orientation="portrait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showOutlineSymbols="0" zoomScale="87" zoomScaleNormal="87" workbookViewId="0" topLeftCell="A1">
      <selection activeCell="E2" sqref="E2"/>
    </sheetView>
  </sheetViews>
  <sheetFormatPr defaultColWidth="8.88671875" defaultRowHeight="15"/>
  <cols>
    <col min="1" max="1" width="6.77734375" style="41" customWidth="1"/>
    <col min="2" max="2" width="15.21484375" style="41" customWidth="1"/>
    <col min="3" max="3" width="15.77734375" style="41" customWidth="1"/>
    <col min="4" max="4" width="13.77734375" style="41" customWidth="1"/>
    <col min="5" max="5" width="15.77734375" style="41" customWidth="1"/>
    <col min="6" max="6" width="4.77734375" style="41" customWidth="1"/>
    <col min="7" max="16384" width="9.77734375" style="41" customWidth="1"/>
  </cols>
  <sheetData>
    <row r="1" ht="15.75">
      <c r="E1" s="40" t="s">
        <v>334</v>
      </c>
    </row>
    <row r="2" ht="15.75">
      <c r="E2" s="40" t="s">
        <v>174</v>
      </c>
    </row>
    <row r="3" ht="15.75">
      <c r="E3" s="40"/>
    </row>
    <row r="5" spans="2:5" ht="20.25">
      <c r="B5" s="93" t="s">
        <v>247</v>
      </c>
      <c r="C5" s="93"/>
      <c r="D5" s="93"/>
      <c r="E5" s="93"/>
    </row>
    <row r="6" spans="2:5" ht="20.25">
      <c r="B6" s="93" t="s">
        <v>80</v>
      </c>
      <c r="C6" s="94"/>
      <c r="D6" s="94"/>
      <c r="E6" s="94"/>
    </row>
    <row r="7" spans="2:5" ht="20.25">
      <c r="B7" s="93" t="s">
        <v>258</v>
      </c>
      <c r="C7" s="94"/>
      <c r="D7" s="94"/>
      <c r="E7" s="94"/>
    </row>
    <row r="8" spans="2:5" ht="20.25">
      <c r="B8" s="95" t="s">
        <v>167</v>
      </c>
      <c r="C8" s="94"/>
      <c r="D8" s="94"/>
      <c r="E8" s="94"/>
    </row>
    <row r="12" spans="2:5" ht="15">
      <c r="B12" s="96"/>
      <c r="C12" s="97" t="s">
        <v>82</v>
      </c>
      <c r="D12" s="97" t="s">
        <v>85</v>
      </c>
      <c r="E12" s="97" t="s">
        <v>87</v>
      </c>
    </row>
    <row r="13" spans="2:5" ht="15">
      <c r="B13" s="98" t="s">
        <v>1</v>
      </c>
      <c r="C13" s="98" t="s">
        <v>83</v>
      </c>
      <c r="D13" s="98" t="s">
        <v>86</v>
      </c>
      <c r="E13" s="98" t="s">
        <v>88</v>
      </c>
    </row>
    <row r="14" spans="2:5" ht="15">
      <c r="B14" s="127"/>
      <c r="C14" s="127"/>
      <c r="D14" s="127"/>
      <c r="E14" s="127"/>
    </row>
    <row r="15" spans="2:5" ht="15">
      <c r="B15" s="102"/>
      <c r="C15" s="102"/>
      <c r="D15" s="102"/>
      <c r="E15" s="102"/>
    </row>
    <row r="16" spans="2:5" ht="15">
      <c r="B16" s="226" t="s">
        <v>206</v>
      </c>
      <c r="C16" s="226"/>
      <c r="D16" s="226"/>
      <c r="E16" s="226"/>
    </row>
    <row r="17" spans="2:5" ht="15">
      <c r="B17" s="102"/>
      <c r="C17" s="102"/>
      <c r="D17" s="102"/>
      <c r="E17" s="102"/>
    </row>
    <row r="18" spans="2:5" ht="15">
      <c r="B18" s="125">
        <v>2001</v>
      </c>
      <c r="C18" s="126">
        <v>121391</v>
      </c>
      <c r="D18" s="126">
        <v>125000</v>
      </c>
      <c r="E18" s="126">
        <v>40000</v>
      </c>
    </row>
    <row r="19" spans="2:5" ht="15">
      <c r="B19" s="102"/>
      <c r="C19" s="84">
        <f>C18/(SUM($C18:$E18))</f>
        <v>0.4238645767499677</v>
      </c>
      <c r="D19" s="84">
        <f>D18/(SUM($C18:$E18))</f>
        <v>0.436466229734873</v>
      </c>
      <c r="E19" s="84">
        <f>E18/(SUM($C18:$E18))</f>
        <v>0.13966919351515936</v>
      </c>
    </row>
    <row r="20" spans="2:5" ht="15">
      <c r="B20" s="102"/>
      <c r="C20" s="84">
        <f>C18/SUM($C18:$D18)</f>
        <v>0.4926762747015922</v>
      </c>
      <c r="D20" s="84">
        <f>D18/SUM($C18:$D18)</f>
        <v>0.5073237252984079</v>
      </c>
      <c r="E20" s="100"/>
    </row>
    <row r="21" spans="3:6" ht="15">
      <c r="C21" s="100"/>
      <c r="D21" s="100"/>
      <c r="E21" s="100"/>
      <c r="F21" s="42"/>
    </row>
    <row r="22" spans="2:5" ht="15">
      <c r="B22" s="98">
        <v>2002</v>
      </c>
      <c r="C22" s="100">
        <v>113635</v>
      </c>
      <c r="D22" s="100">
        <v>164930</v>
      </c>
      <c r="E22" s="100">
        <v>0</v>
      </c>
    </row>
    <row r="23" spans="3:5" ht="15">
      <c r="C23" s="84">
        <f>C22/(SUM($C22:$E22))</f>
        <v>0.40792992658804944</v>
      </c>
      <c r="D23" s="84">
        <f>D22/(SUM($C22:$E22))</f>
        <v>0.5920700734119505</v>
      </c>
      <c r="E23" s="84">
        <f>E22/(SUM($C22:$E22))</f>
        <v>0</v>
      </c>
    </row>
    <row r="24" spans="3:5" ht="15">
      <c r="C24" s="84">
        <f>C22/SUM($C22:$D22)</f>
        <v>0.40792992658804944</v>
      </c>
      <c r="D24" s="84">
        <f>D22/SUM($C22:$D22)</f>
        <v>0.5920700734119505</v>
      </c>
      <c r="E24" s="100"/>
    </row>
    <row r="25" spans="3:5" ht="15">
      <c r="C25" s="84"/>
      <c r="D25" s="84"/>
      <c r="E25" s="100"/>
    </row>
    <row r="26" spans="2:5" ht="15">
      <c r="B26" s="98">
        <v>2003</v>
      </c>
      <c r="C26" s="100">
        <v>111630</v>
      </c>
      <c r="D26" s="100">
        <f>142930+22000</f>
        <v>164930</v>
      </c>
      <c r="E26" s="100">
        <v>3800</v>
      </c>
    </row>
    <row r="27" spans="3:5" ht="15">
      <c r="C27" s="84">
        <f>C26/(SUM($C26:$E26))</f>
        <v>0.3981666428877158</v>
      </c>
      <c r="D27" s="84">
        <f>D26/(SUM($C26:$E26))</f>
        <v>0.5882793551148523</v>
      </c>
      <c r="E27" s="84">
        <f>E26/(SUM($C26:$E26))</f>
        <v>0.013554001997431873</v>
      </c>
    </row>
    <row r="28" spans="3:5" ht="15">
      <c r="C28" s="84">
        <f>C26/SUM($C26:$D26)</f>
        <v>0.4036375470060746</v>
      </c>
      <c r="D28" s="84">
        <f>D26/SUM($C26:$D26)</f>
        <v>0.5963624529939253</v>
      </c>
      <c r="E28" s="100"/>
    </row>
    <row r="29" spans="3:5" ht="15">
      <c r="C29" s="84"/>
      <c r="D29" s="84"/>
      <c r="E29" s="100"/>
    </row>
    <row r="30" spans="2:5" ht="15">
      <c r="B30" s="98">
        <f>+B26+1</f>
        <v>2004</v>
      </c>
      <c r="C30" s="100">
        <v>117584</v>
      </c>
      <c r="D30" s="100">
        <f>128900+14000</f>
        <v>142900</v>
      </c>
      <c r="E30" s="100">
        <v>33500</v>
      </c>
    </row>
    <row r="31" spans="3:5" ht="15">
      <c r="C31" s="84">
        <f>C30/(SUM($C30:$E30))</f>
        <v>0.39996734516164145</v>
      </c>
      <c r="D31" s="84">
        <f>D30/(SUM($C30:$E30))</f>
        <v>0.486080875149668</v>
      </c>
      <c r="E31" s="84">
        <f>E30/(SUM($C30:$E30))</f>
        <v>0.11395177968869054</v>
      </c>
    </row>
    <row r="32" spans="3:5" ht="15">
      <c r="C32" s="84">
        <f>C30/SUM($C30:$D30)</f>
        <v>0.45140584450484483</v>
      </c>
      <c r="D32" s="84">
        <f>D30/SUM($C30:$D30)</f>
        <v>0.5485941554951552</v>
      </c>
      <c r="E32" s="100"/>
    </row>
    <row r="33" spans="3:5" ht="15">
      <c r="C33" s="84"/>
      <c r="D33" s="84"/>
      <c r="E33" s="100"/>
    </row>
    <row r="34" spans="2:5" ht="15">
      <c r="B34" s="98">
        <f>+B30+1</f>
        <v>2005</v>
      </c>
      <c r="C34" s="100">
        <v>118615</v>
      </c>
      <c r="D34" s="100">
        <v>173840</v>
      </c>
      <c r="E34" s="100">
        <v>12500</v>
      </c>
    </row>
    <row r="35" spans="3:5" ht="15">
      <c r="C35" s="84">
        <f>C34/(SUM($C34:$E34))</f>
        <v>0.3889590267416504</v>
      </c>
      <c r="D35" s="84">
        <f>D34/(SUM($C34:$E34))</f>
        <v>0.5700513190470725</v>
      </c>
      <c r="E35" s="84">
        <f>E34/(SUM($C34:$E34))</f>
        <v>0.04098965421127707</v>
      </c>
    </row>
    <row r="36" spans="3:5" ht="15">
      <c r="C36" s="84">
        <f>C34/SUM($C34:$D34)</f>
        <v>0.4055837650236789</v>
      </c>
      <c r="D36" s="84">
        <f>D34/SUM($C34:$D34)</f>
        <v>0.5944162349763211</v>
      </c>
      <c r="E36" s="100"/>
    </row>
    <row r="37" spans="3:5" ht="15">
      <c r="C37" s="84"/>
      <c r="D37" s="84"/>
      <c r="E37" s="100"/>
    </row>
    <row r="38" spans="3:5" ht="15">
      <c r="C38" s="84"/>
      <c r="D38" s="84"/>
      <c r="E38" s="100"/>
    </row>
    <row r="40" spans="2:5" ht="15">
      <c r="B40" s="99"/>
      <c r="C40" s="99"/>
      <c r="D40" s="99"/>
      <c r="E40" s="99"/>
    </row>
    <row r="41" ht="15">
      <c r="B41" s="41" t="s">
        <v>81</v>
      </c>
    </row>
    <row r="43" ht="15">
      <c r="B43" s="41" t="s">
        <v>298</v>
      </c>
    </row>
    <row r="45" ht="15">
      <c r="B45" s="41" t="s">
        <v>248</v>
      </c>
    </row>
  </sheetData>
  <mergeCells count="1">
    <mergeCell ref="B16:E16"/>
  </mergeCells>
  <printOptions horizontalCentered="1"/>
  <pageMargins left="0.5" right="0.5" top="0.5" bottom="0.55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H2" sqref="H2"/>
    </sheetView>
  </sheetViews>
  <sheetFormatPr defaultColWidth="8.88671875" defaultRowHeight="15"/>
  <cols>
    <col min="1" max="1" width="18.99609375" style="0" bestFit="1" customWidth="1"/>
    <col min="9" max="9" width="9.5546875" style="0" bestFit="1" customWidth="1"/>
  </cols>
  <sheetData>
    <row r="1" ht="15.75">
      <c r="H1" s="46" t="s">
        <v>335</v>
      </c>
    </row>
    <row r="2" ht="15.75">
      <c r="H2" s="46" t="s">
        <v>266</v>
      </c>
    </row>
    <row r="3" ht="15.75">
      <c r="H3" s="46" t="s">
        <v>130</v>
      </c>
    </row>
    <row r="5" spans="1:9" ht="15.75">
      <c r="A5" s="223" t="s">
        <v>259</v>
      </c>
      <c r="B5" s="224"/>
      <c r="C5" s="224"/>
      <c r="D5" s="224"/>
      <c r="E5" s="224"/>
      <c r="F5" s="224"/>
      <c r="G5" s="224"/>
      <c r="H5" s="224"/>
      <c r="I5" s="225"/>
    </row>
    <row r="6" spans="1:9" ht="15.75">
      <c r="A6" s="223" t="s">
        <v>260</v>
      </c>
      <c r="B6" s="224"/>
      <c r="C6" s="224"/>
      <c r="D6" s="224"/>
      <c r="E6" s="224"/>
      <c r="F6" s="224"/>
      <c r="G6" s="224"/>
      <c r="H6" s="224"/>
      <c r="I6" s="225"/>
    </row>
    <row r="8" spans="1:9" ht="15.75" thickBo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.75" thickTop="1">
      <c r="A9" s="47"/>
      <c r="B9" s="47"/>
      <c r="C9" s="47"/>
      <c r="D9" s="47"/>
      <c r="E9" s="47"/>
      <c r="F9" s="47"/>
      <c r="G9" s="47"/>
      <c r="H9" s="47"/>
      <c r="I9" s="47"/>
    </row>
    <row r="10" spans="1:9" ht="15">
      <c r="A10" t="s">
        <v>93</v>
      </c>
      <c r="B10" s="45">
        <v>2000</v>
      </c>
      <c r="C10" s="45">
        <v>2001</v>
      </c>
      <c r="D10" s="45">
        <v>2002</v>
      </c>
      <c r="E10" s="45">
        <v>2003</v>
      </c>
      <c r="F10" s="45">
        <v>2004</v>
      </c>
      <c r="G10" s="45">
        <v>2005</v>
      </c>
      <c r="H10" s="45" t="s">
        <v>108</v>
      </c>
      <c r="I10" t="s">
        <v>244</v>
      </c>
    </row>
    <row r="11" spans="1:9" ht="15">
      <c r="A11" s="48"/>
      <c r="B11" s="48"/>
      <c r="C11" s="48"/>
      <c r="D11" s="48"/>
      <c r="E11" s="48"/>
      <c r="F11" s="48"/>
      <c r="G11" s="48"/>
      <c r="H11" s="48"/>
      <c r="I11" s="149"/>
    </row>
    <row r="12" spans="1:9" ht="15">
      <c r="A12" s="47"/>
      <c r="B12" s="47"/>
      <c r="C12" s="47"/>
      <c r="D12" s="47"/>
      <c r="E12" s="47"/>
      <c r="F12" s="47"/>
      <c r="G12" s="47"/>
      <c r="H12" s="47"/>
      <c r="I12" s="148"/>
    </row>
    <row r="13" spans="1:9" ht="15">
      <c r="A13" t="str">
        <f>+'Sch 7, p1'!A19</f>
        <v>AGL Resources</v>
      </c>
      <c r="B13" s="145">
        <v>0.483</v>
      </c>
      <c r="C13" s="145">
        <v>0.387</v>
      </c>
      <c r="D13" s="145">
        <v>0.417</v>
      </c>
      <c r="E13" s="145">
        <v>0.497</v>
      </c>
      <c r="F13" s="145">
        <v>0.46</v>
      </c>
      <c r="G13" s="145">
        <v>0.481</v>
      </c>
      <c r="H13" s="145">
        <f>AVERAGE(B13:G13)</f>
        <v>0.4541666666666666</v>
      </c>
      <c r="I13" s="145">
        <v>0.52</v>
      </c>
    </row>
    <row r="14" spans="1:9" ht="15">
      <c r="A14" t="str">
        <f>+'Sch 7, p1'!A20</f>
        <v>Atmos Energy</v>
      </c>
      <c r="B14" s="145">
        <v>0.519</v>
      </c>
      <c r="C14" s="145">
        <v>0.457</v>
      </c>
      <c r="D14" s="145">
        <v>0.461</v>
      </c>
      <c r="E14" s="145">
        <v>0.498</v>
      </c>
      <c r="F14" s="145">
        <v>0.568</v>
      </c>
      <c r="G14" s="145">
        <v>0.423</v>
      </c>
      <c r="H14" s="145">
        <f aca="true" t="shared" si="0" ref="H14:H27">AVERAGE(B14:G14)</f>
        <v>0.4876666666666667</v>
      </c>
      <c r="I14" s="145">
        <v>0.45</v>
      </c>
    </row>
    <row r="15" spans="1:9" ht="15">
      <c r="A15" t="str">
        <f>+'Sch 7, p1'!A21</f>
        <v>Cascade Natural Gas</v>
      </c>
      <c r="B15" s="145">
        <v>0.488</v>
      </c>
      <c r="C15" s="145">
        <v>0.493</v>
      </c>
      <c r="D15" s="145">
        <v>0.409</v>
      </c>
      <c r="E15" s="145">
        <v>0.441</v>
      </c>
      <c r="F15" s="145">
        <v>0.479</v>
      </c>
      <c r="G15" s="145">
        <v>0.406</v>
      </c>
      <c r="H15" s="145">
        <f t="shared" si="0"/>
        <v>0.4526666666666667</v>
      </c>
      <c r="I15" s="145">
        <v>0.48</v>
      </c>
    </row>
    <row r="16" spans="1:9" ht="15">
      <c r="A16" t="str">
        <f>+'Sch 7, p1'!A22</f>
        <v>Energen</v>
      </c>
      <c r="B16" s="145">
        <v>0.531</v>
      </c>
      <c r="C16" s="145">
        <v>0.469</v>
      </c>
      <c r="D16" s="145">
        <v>0.532</v>
      </c>
      <c r="E16" s="145">
        <v>0.558</v>
      </c>
      <c r="F16" s="145">
        <v>0.567</v>
      </c>
      <c r="G16" s="145">
        <v>0.566</v>
      </c>
      <c r="H16" s="145">
        <f t="shared" si="0"/>
        <v>0.5371666666666667</v>
      </c>
      <c r="I16" s="145">
        <v>0.56</v>
      </c>
    </row>
    <row r="17" spans="1:9" ht="15">
      <c r="A17" t="str">
        <f>+'Sch 7, p1'!A23</f>
        <v>Keyspan </v>
      </c>
      <c r="B17" s="145">
        <v>0.392</v>
      </c>
      <c r="C17" s="145">
        <v>0.377</v>
      </c>
      <c r="D17" s="145">
        <v>0.357</v>
      </c>
      <c r="E17" s="145">
        <v>0.391</v>
      </c>
      <c r="F17" s="145">
        <v>0.467</v>
      </c>
      <c r="G17" s="145">
        <v>0.532</v>
      </c>
      <c r="H17" s="145">
        <f t="shared" si="0"/>
        <v>0.41933333333333334</v>
      </c>
      <c r="I17" s="145">
        <v>0.53</v>
      </c>
    </row>
    <row r="18" spans="1:9" ht="15">
      <c r="A18" t="str">
        <f>+'Sch 7, p1'!A24</f>
        <v>Laclede Group</v>
      </c>
      <c r="B18" s="145">
        <v>0.545</v>
      </c>
      <c r="C18" s="145">
        <v>0.502</v>
      </c>
      <c r="D18" s="145">
        <v>0.523</v>
      </c>
      <c r="E18" s="145">
        <v>0.494</v>
      </c>
      <c r="F18" s="145">
        <v>0.483</v>
      </c>
      <c r="G18" s="145">
        <v>0.518</v>
      </c>
      <c r="H18" s="145">
        <f t="shared" si="0"/>
        <v>0.5108333333333334</v>
      </c>
      <c r="I18" s="145">
        <v>0.52</v>
      </c>
    </row>
    <row r="19" spans="1:9" ht="15">
      <c r="A19" t="str">
        <f>+'Sch 7, p1'!A25</f>
        <v>New Jersey Resources</v>
      </c>
      <c r="B19" s="145">
        <v>0.529</v>
      </c>
      <c r="C19" s="145">
        <v>0.499</v>
      </c>
      <c r="D19" s="145">
        <v>0.494</v>
      </c>
      <c r="E19" s="145">
        <v>0.619</v>
      </c>
      <c r="F19" s="145">
        <v>0.597</v>
      </c>
      <c r="G19" s="145">
        <v>0.58</v>
      </c>
      <c r="H19" s="145">
        <f t="shared" si="0"/>
        <v>0.553</v>
      </c>
      <c r="I19" s="145">
        <v>0.63</v>
      </c>
    </row>
    <row r="20" spans="1:9" ht="15">
      <c r="A20" t="str">
        <f>+'Sch 7, p1'!A26</f>
        <v>NICOR</v>
      </c>
      <c r="B20" s="145">
        <v>0.667</v>
      </c>
      <c r="C20" s="145">
        <v>0.617</v>
      </c>
      <c r="D20" s="145">
        <v>0.645</v>
      </c>
      <c r="E20" s="145">
        <v>0.603</v>
      </c>
      <c r="F20" s="145">
        <v>0.601</v>
      </c>
      <c r="G20" s="145">
        <v>0.625</v>
      </c>
      <c r="H20" s="145">
        <f t="shared" si="0"/>
        <v>0.6263333333333333</v>
      </c>
      <c r="I20" s="145">
        <v>0.655</v>
      </c>
    </row>
    <row r="21" spans="1:9" ht="15">
      <c r="A21" t="str">
        <f>+'Sch 7, p1'!A27</f>
        <v>Northwest Natural Gas</v>
      </c>
      <c r="B21" s="145">
        <v>0.509</v>
      </c>
      <c r="C21" s="145">
        <v>0.532</v>
      </c>
      <c r="D21" s="145">
        <v>0.515</v>
      </c>
      <c r="E21" s="145">
        <v>0.503</v>
      </c>
      <c r="F21" s="145">
        <v>0.54</v>
      </c>
      <c r="G21" s="145">
        <v>0.53</v>
      </c>
      <c r="H21" s="145">
        <f t="shared" si="0"/>
        <v>0.5215000000000001</v>
      </c>
      <c r="I21" s="145">
        <v>0.53</v>
      </c>
    </row>
    <row r="22" spans="1:9" ht="15">
      <c r="A22" t="str">
        <f>+'Sch 7, p1'!A28</f>
        <v>Peoples Energy</v>
      </c>
      <c r="B22" s="145">
        <v>0.649</v>
      </c>
      <c r="C22" s="145">
        <v>0.556</v>
      </c>
      <c r="D22" s="145">
        <v>0.593</v>
      </c>
      <c r="E22" s="145">
        <v>0.533</v>
      </c>
      <c r="F22" s="145">
        <v>0.492</v>
      </c>
      <c r="G22" s="145">
        <v>0.472</v>
      </c>
      <c r="H22" s="145">
        <f t="shared" si="0"/>
        <v>0.5491666666666667</v>
      </c>
      <c r="I22" s="145">
        <v>0.474</v>
      </c>
    </row>
    <row r="23" spans="1:9" ht="15">
      <c r="A23" t="str">
        <f>+'Sch 7, p1'!A29</f>
        <v>Piedmont Natural Gas</v>
      </c>
      <c r="B23" s="145">
        <v>0.539</v>
      </c>
      <c r="C23" s="145">
        <v>0.524</v>
      </c>
      <c r="D23" s="145">
        <v>0.561</v>
      </c>
      <c r="E23" s="145">
        <v>0.578</v>
      </c>
      <c r="F23" s="145">
        <v>0.564</v>
      </c>
      <c r="G23" s="145">
        <v>0.586</v>
      </c>
      <c r="H23" s="145">
        <f t="shared" si="0"/>
        <v>0.5586666666666666</v>
      </c>
      <c r="I23" s="145">
        <v>0.6</v>
      </c>
    </row>
    <row r="24" spans="1:9" ht="15">
      <c r="A24" t="str">
        <f>+'Sch 7, p1'!A30</f>
        <v>South Jersey Industries</v>
      </c>
      <c r="B24" s="145">
        <v>0.376</v>
      </c>
      <c r="C24" s="145">
        <v>0.359</v>
      </c>
      <c r="D24" s="145">
        <v>0.461</v>
      </c>
      <c r="E24" s="145">
        <v>0.49</v>
      </c>
      <c r="F24" s="145">
        <v>0.51</v>
      </c>
      <c r="G24" s="145">
        <v>0.551</v>
      </c>
      <c r="H24" s="145">
        <f t="shared" si="0"/>
        <v>0.4578333333333333</v>
      </c>
      <c r="I24" s="145">
        <v>0.6</v>
      </c>
    </row>
    <row r="25" spans="1:9" ht="15">
      <c r="A25" t="str">
        <f>+'Sch 7, p1'!A31</f>
        <v>Southwest Gas</v>
      </c>
      <c r="B25" s="145">
        <v>0.358</v>
      </c>
      <c r="C25" s="145">
        <v>0.396</v>
      </c>
      <c r="D25" s="145">
        <v>0.341</v>
      </c>
      <c r="E25" s="145">
        <v>0.34</v>
      </c>
      <c r="F25" s="145">
        <v>0.358</v>
      </c>
      <c r="G25" s="145">
        <v>0.362</v>
      </c>
      <c r="H25" s="145">
        <f t="shared" si="0"/>
        <v>0.3591666666666667</v>
      </c>
      <c r="I25" s="145">
        <v>0.411</v>
      </c>
    </row>
    <row r="26" spans="1:9" ht="15">
      <c r="A26" t="str">
        <f>+'Sch 7, p1'!A32</f>
        <v>UGI </v>
      </c>
      <c r="B26" s="145">
        <v>0.191</v>
      </c>
      <c r="C26" s="145">
        <v>0.174</v>
      </c>
      <c r="D26" s="145">
        <v>0.217</v>
      </c>
      <c r="E26" s="145">
        <v>0.33</v>
      </c>
      <c r="F26" s="145">
        <v>0.35</v>
      </c>
      <c r="G26" s="145">
        <v>0.417</v>
      </c>
      <c r="H26" s="145">
        <f t="shared" si="0"/>
        <v>0.2798333333333333</v>
      </c>
      <c r="I26" s="145">
        <v>0.49</v>
      </c>
    </row>
    <row r="27" spans="1:9" ht="15">
      <c r="A27" t="str">
        <f>+'Sch 7, p1'!A33</f>
        <v>WGL Holdings</v>
      </c>
      <c r="B27" s="145">
        <v>0.548</v>
      </c>
      <c r="C27" s="145">
        <v>0.563</v>
      </c>
      <c r="D27" s="145">
        <v>0.524</v>
      </c>
      <c r="E27" s="145">
        <v>0.543</v>
      </c>
      <c r="F27" s="145">
        <v>0.572</v>
      </c>
      <c r="G27" s="145">
        <v>0.586</v>
      </c>
      <c r="H27" s="145">
        <f t="shared" si="0"/>
        <v>0.5559999999999999</v>
      </c>
      <c r="I27" s="145">
        <v>0.59</v>
      </c>
    </row>
    <row r="28" spans="2:9" ht="15">
      <c r="B28" s="145"/>
      <c r="C28" s="145"/>
      <c r="D28" s="145"/>
      <c r="E28" s="145"/>
      <c r="F28" s="145"/>
      <c r="G28" s="145"/>
      <c r="H28" s="145"/>
      <c r="I28" s="145"/>
    </row>
    <row r="29" spans="2:9" ht="15">
      <c r="B29" s="145"/>
      <c r="C29" s="145"/>
      <c r="D29" s="145"/>
      <c r="E29" s="145"/>
      <c r="F29" s="145"/>
      <c r="G29" s="145"/>
      <c r="H29" s="145"/>
      <c r="I29" s="145"/>
    </row>
    <row r="30" spans="1:9" ht="15">
      <c r="A30" t="str">
        <f>+'Sch 7, p1'!A36</f>
        <v>Average</v>
      </c>
      <c r="B30" s="145">
        <f>AVERAGE(B13:B27)</f>
        <v>0.4882666666666667</v>
      </c>
      <c r="C30" s="145">
        <f aca="true" t="shared" si="1" ref="C30:I30">AVERAGE(C13:C27)</f>
        <v>0.46033333333333337</v>
      </c>
      <c r="D30" s="145">
        <f t="shared" si="1"/>
        <v>0.47000000000000003</v>
      </c>
      <c r="E30" s="145">
        <f t="shared" si="1"/>
        <v>0.4945333333333333</v>
      </c>
      <c r="F30" s="145">
        <f t="shared" si="1"/>
        <v>0.5071999999999999</v>
      </c>
      <c r="G30" s="145">
        <f t="shared" si="1"/>
        <v>0.5090000000000001</v>
      </c>
      <c r="H30" s="145">
        <f t="shared" si="1"/>
        <v>0.4882222222222222</v>
      </c>
      <c r="I30" s="145">
        <f t="shared" si="1"/>
        <v>0.5359999999999999</v>
      </c>
    </row>
    <row r="31" ht="15">
      <c r="I31" s="145"/>
    </row>
    <row r="32" spans="1:9" ht="15">
      <c r="A32" t="s">
        <v>300</v>
      </c>
      <c r="I32" s="145"/>
    </row>
    <row r="33" spans="1:9" ht="15">
      <c r="A33" t="s">
        <v>148</v>
      </c>
      <c r="B33" s="145">
        <v>0.452</v>
      </c>
      <c r="C33" s="145">
        <v>0.42</v>
      </c>
      <c r="D33" s="145">
        <v>0.414</v>
      </c>
      <c r="E33" s="145">
        <v>0.437</v>
      </c>
      <c r="F33" s="145">
        <v>0.457</v>
      </c>
      <c r="G33" s="145">
        <v>0.483</v>
      </c>
      <c r="H33" s="145">
        <f>AVERAGE(B33:G33)</f>
        <v>0.44383333333333336</v>
      </c>
      <c r="I33" s="145">
        <v>0.46</v>
      </c>
    </row>
    <row r="34" spans="1:9" ht="15.75" thickBot="1">
      <c r="A34" s="146"/>
      <c r="B34" s="146"/>
      <c r="C34" s="146"/>
      <c r="D34" s="146"/>
      <c r="E34" s="146"/>
      <c r="F34" s="146"/>
      <c r="G34" s="146"/>
      <c r="H34" s="146"/>
      <c r="I34" s="147"/>
    </row>
    <row r="35" spans="1:9" ht="15.75" thickTop="1">
      <c r="A35" s="47"/>
      <c r="B35" s="47"/>
      <c r="C35" s="47"/>
      <c r="D35" s="47"/>
      <c r="E35" s="47"/>
      <c r="F35" s="47"/>
      <c r="G35" s="47"/>
      <c r="H35" s="47"/>
      <c r="I35" s="47"/>
    </row>
    <row r="36" ht="15">
      <c r="A36" t="s">
        <v>107</v>
      </c>
    </row>
  </sheetData>
  <mergeCells count="2">
    <mergeCell ref="A5:I5"/>
    <mergeCell ref="A6:I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  <col min="2" max="2" width="1.77734375" style="0" customWidth="1"/>
    <col min="4" max="4" width="9.6640625" style="0" customWidth="1"/>
    <col min="8" max="8" width="1.77734375" style="0" customWidth="1"/>
    <col min="9" max="9" width="9.4453125" style="0" customWidth="1"/>
    <col min="10" max="10" width="9.6640625" style="0" customWidth="1"/>
  </cols>
  <sheetData>
    <row r="1" ht="15.75">
      <c r="F1" s="46" t="str">
        <f>+'Sch 6, p 1'!H1</f>
        <v>Exhibit No. ___ (DCP-7)</v>
      </c>
    </row>
    <row r="2" ht="15.75">
      <c r="F2" s="46" t="str">
        <f>+'Sch 6, p 1'!H2</f>
        <v>Schedule 6</v>
      </c>
    </row>
    <row r="3" ht="15.75">
      <c r="F3" s="46" t="s">
        <v>128</v>
      </c>
    </row>
    <row r="4" ht="15.75">
      <c r="F4" s="46"/>
    </row>
    <row r="5" spans="1:7" ht="18">
      <c r="A5" s="227" t="s">
        <v>92</v>
      </c>
      <c r="B5" s="228"/>
      <c r="C5" s="228"/>
      <c r="D5" s="228"/>
      <c r="E5" s="228"/>
      <c r="F5" s="228"/>
      <c r="G5" s="229"/>
    </row>
    <row r="6" spans="1:7" ht="18">
      <c r="A6" s="227" t="s">
        <v>80</v>
      </c>
      <c r="B6" s="228"/>
      <c r="C6" s="228"/>
      <c r="D6" s="228"/>
      <c r="E6" s="228"/>
      <c r="F6" s="228"/>
      <c r="G6" s="229"/>
    </row>
    <row r="7" spans="1:7" ht="18">
      <c r="A7" s="227" t="s">
        <v>301</v>
      </c>
      <c r="B7" s="228"/>
      <c r="C7" s="228"/>
      <c r="D7" s="228"/>
      <c r="E7" s="228"/>
      <c r="F7" s="228"/>
      <c r="G7" s="229"/>
    </row>
    <row r="11" spans="1:16" ht="15">
      <c r="A11" s="45" t="s">
        <v>302</v>
      </c>
      <c r="C11" s="45">
        <v>2001</v>
      </c>
      <c r="D11" s="45">
        <v>2002</v>
      </c>
      <c r="E11" s="45">
        <v>2003</v>
      </c>
      <c r="F11" s="45">
        <v>2004</v>
      </c>
      <c r="G11" s="45">
        <v>2005</v>
      </c>
      <c r="H11" s="45"/>
      <c r="I11" s="45"/>
      <c r="J11" s="45"/>
      <c r="K11" s="45"/>
      <c r="L11" s="45"/>
      <c r="P11" s="45"/>
    </row>
    <row r="12" spans="1:12" ht="15">
      <c r="A12" s="48"/>
      <c r="B12" s="48"/>
      <c r="C12" s="118"/>
      <c r="D12" s="118"/>
      <c r="E12" s="118"/>
      <c r="F12" s="118"/>
      <c r="G12" s="118"/>
      <c r="H12" s="45"/>
      <c r="I12" s="45"/>
      <c r="J12" s="45"/>
      <c r="K12" s="45"/>
      <c r="L12" s="45"/>
    </row>
    <row r="13" spans="1:16" ht="15">
      <c r="A13" s="47"/>
      <c r="B13" s="47"/>
      <c r="C13" s="47"/>
      <c r="D13" s="47"/>
      <c r="E13" s="47"/>
      <c r="F13" s="47"/>
      <c r="G13" s="47"/>
      <c r="I13" s="45"/>
      <c r="J13" s="45"/>
      <c r="K13" s="45"/>
      <c r="L13" s="45"/>
      <c r="P13" s="188"/>
    </row>
    <row r="14" spans="1:16" ht="15">
      <c r="A14" t="str">
        <f>+'[2]Sch 4, p 1'!A13</f>
        <v>AGL Resources</v>
      </c>
      <c r="C14" s="189">
        <v>0.32</v>
      </c>
      <c r="D14" s="189">
        <v>0.33</v>
      </c>
      <c r="E14" s="189">
        <v>0.41</v>
      </c>
      <c r="F14" s="189">
        <v>0.41</v>
      </c>
      <c r="G14" s="189">
        <v>0.41</v>
      </c>
      <c r="I14" s="145"/>
      <c r="J14" s="145"/>
      <c r="K14" s="145"/>
      <c r="L14" s="145"/>
      <c r="M14" s="188"/>
      <c r="P14" s="145"/>
    </row>
    <row r="15" spans="1:16" ht="15">
      <c r="A15" t="str">
        <f>+'[2]Sch 4, p 1'!A14</f>
        <v>Atmos Energy</v>
      </c>
      <c r="C15" s="189">
        <v>0.4</v>
      </c>
      <c r="D15" s="189">
        <v>0.39</v>
      </c>
      <c r="E15" s="189">
        <v>0.45</v>
      </c>
      <c r="F15" s="189">
        <v>0.41</v>
      </c>
      <c r="G15" s="189">
        <v>0.38</v>
      </c>
      <c r="I15" s="145"/>
      <c r="J15" s="145"/>
      <c r="K15" s="145"/>
      <c r="L15" s="145"/>
      <c r="M15" s="188"/>
      <c r="P15" s="145"/>
    </row>
    <row r="16" spans="1:16" ht="15">
      <c r="A16" t="str">
        <f>+'[2]Sch 4, p 1'!A15</f>
        <v>Cascade Natural Gas</v>
      </c>
      <c r="C16" s="189">
        <v>0.42</v>
      </c>
      <c r="D16" s="189">
        <v>0.42</v>
      </c>
      <c r="E16" s="189">
        <v>0.41</v>
      </c>
      <c r="F16" s="189">
        <v>0.4</v>
      </c>
      <c r="G16" s="189">
        <v>0.39</v>
      </c>
      <c r="I16" s="145"/>
      <c r="J16" s="145"/>
      <c r="K16" s="145"/>
      <c r="L16" s="145"/>
      <c r="M16" s="188"/>
      <c r="P16" s="145"/>
    </row>
    <row r="17" spans="1:16" ht="15">
      <c r="A17" t="str">
        <f>+'[2]Sch 4, p 1'!A16</f>
        <v>Energen</v>
      </c>
      <c r="C17" s="189">
        <v>0.45</v>
      </c>
      <c r="D17" s="189">
        <v>0.47</v>
      </c>
      <c r="E17" s="189">
        <v>0.55</v>
      </c>
      <c r="F17" s="189">
        <v>0.51</v>
      </c>
      <c r="G17" s="189">
        <v>0.56</v>
      </c>
      <c r="I17" s="145"/>
      <c r="J17" s="145"/>
      <c r="K17" s="145"/>
      <c r="L17" s="145"/>
      <c r="M17" s="188"/>
      <c r="P17" s="145"/>
    </row>
    <row r="18" spans="1:16" ht="15">
      <c r="A18" t="str">
        <f>+'[2]Sch 4, p 1'!A17</f>
        <v>Keyspan </v>
      </c>
      <c r="C18" s="189">
        <v>0.33</v>
      </c>
      <c r="D18" s="189">
        <v>0.32</v>
      </c>
      <c r="E18" s="189">
        <v>0.35</v>
      </c>
      <c r="F18" s="189">
        <v>0.42</v>
      </c>
      <c r="G18" s="189">
        <v>0.47</v>
      </c>
      <c r="I18" s="145"/>
      <c r="J18" s="145"/>
      <c r="K18" s="145"/>
      <c r="L18" s="145"/>
      <c r="M18" s="188"/>
      <c r="P18" s="145"/>
    </row>
    <row r="19" spans="1:16" ht="15">
      <c r="A19" t="str">
        <f>+'[2]Sch 4, p 1'!A18</f>
        <v>Laclede Group</v>
      </c>
      <c r="C19" s="189">
        <v>0.41</v>
      </c>
      <c r="D19" s="189">
        <v>0.37</v>
      </c>
      <c r="E19" s="189">
        <v>0.37</v>
      </c>
      <c r="F19" s="189">
        <v>0.4</v>
      </c>
      <c r="G19" s="189">
        <v>0.38</v>
      </c>
      <c r="I19" s="145"/>
      <c r="J19" s="145"/>
      <c r="K19" s="145"/>
      <c r="L19" s="145"/>
      <c r="M19" s="188"/>
      <c r="P19" s="145"/>
    </row>
    <row r="20" spans="1:16" ht="15">
      <c r="A20" t="str">
        <f>+'[2]Sch 4, p 1'!A19</f>
        <v>New Jersey Resources</v>
      </c>
      <c r="C20" s="189">
        <v>0.43</v>
      </c>
      <c r="D20" s="189">
        <v>0.44</v>
      </c>
      <c r="E20" s="189">
        <v>0.44</v>
      </c>
      <c r="F20" s="189">
        <v>0.45</v>
      </c>
      <c r="G20" s="189">
        <v>0.43</v>
      </c>
      <c r="I20" s="145"/>
      <c r="J20" s="145"/>
      <c r="K20" s="145"/>
      <c r="L20" s="145"/>
      <c r="M20" s="188"/>
      <c r="P20" s="145"/>
    </row>
    <row r="21" spans="1:16" ht="15">
      <c r="A21" t="str">
        <f>+'[2]Sch 4, p 1'!A20</f>
        <v>NICOR</v>
      </c>
      <c r="C21" s="189">
        <v>0.5</v>
      </c>
      <c r="D21" s="189">
        <v>0.51</v>
      </c>
      <c r="E21" s="189">
        <v>0.41</v>
      </c>
      <c r="F21" s="189">
        <v>0.43</v>
      </c>
      <c r="G21" s="189">
        <v>0.42</v>
      </c>
      <c r="I21" s="145"/>
      <c r="J21" s="145"/>
      <c r="K21" s="145"/>
      <c r="L21" s="145"/>
      <c r="M21" s="188"/>
      <c r="P21" s="145"/>
    </row>
    <row r="22" spans="1:16" ht="15">
      <c r="A22" t="str">
        <f>+'[2]Sch 4, p 1'!A21</f>
        <v>Northwest Natural Gas</v>
      </c>
      <c r="C22" s="189">
        <v>0.46</v>
      </c>
      <c r="D22" s="189">
        <v>0.48</v>
      </c>
      <c r="E22" s="189">
        <v>0.5</v>
      </c>
      <c r="F22" s="189">
        <v>0.49</v>
      </c>
      <c r="G22" s="189">
        <v>0.47</v>
      </c>
      <c r="I22" s="145"/>
      <c r="J22" s="145"/>
      <c r="K22" s="145"/>
      <c r="L22" s="145"/>
      <c r="M22" s="188"/>
      <c r="P22" s="145"/>
    </row>
    <row r="23" spans="1:16" ht="15">
      <c r="A23" t="str">
        <f>+'[2]Sch 4, p 1'!A22</f>
        <v>Peoples Energy</v>
      </c>
      <c r="C23" s="189">
        <v>0.44</v>
      </c>
      <c r="D23" s="189">
        <v>0.44</v>
      </c>
      <c r="E23" s="189">
        <v>0.44</v>
      </c>
      <c r="F23" s="189">
        <v>0.45</v>
      </c>
      <c r="G23" s="189">
        <v>0.43</v>
      </c>
      <c r="I23" s="145"/>
      <c r="J23" s="145"/>
      <c r="K23" s="145"/>
      <c r="L23" s="145"/>
      <c r="M23" s="188"/>
      <c r="P23" s="145"/>
    </row>
    <row r="24" spans="1:16" ht="15">
      <c r="A24" t="str">
        <f>+'[2]Sch 4, p 1'!A23</f>
        <v>Piedmont Natural Gas</v>
      </c>
      <c r="C24" s="189">
        <v>0.51</v>
      </c>
      <c r="D24" s="189">
        <v>0.54</v>
      </c>
      <c r="E24" s="189">
        <v>0.53</v>
      </c>
      <c r="F24" s="189">
        <v>0.53</v>
      </c>
      <c r="G24" s="189">
        <v>0.48</v>
      </c>
      <c r="I24" s="145"/>
      <c r="J24" s="145"/>
      <c r="K24" s="145"/>
      <c r="L24" s="145"/>
      <c r="M24" s="188"/>
      <c r="P24" s="145"/>
    </row>
    <row r="25" spans="1:16" ht="15">
      <c r="A25" t="str">
        <f>+'[2]Sch 4, p 1'!A24</f>
        <v>South Jersey Industries</v>
      </c>
      <c r="C25" s="189">
        <v>0.32</v>
      </c>
      <c r="D25" s="189">
        <v>0.34</v>
      </c>
      <c r="E25" s="189">
        <v>0.41</v>
      </c>
      <c r="F25" s="189">
        <v>0.31</v>
      </c>
      <c r="G25" s="189">
        <v>0.45</v>
      </c>
      <c r="I25" s="145"/>
      <c r="J25" s="145"/>
      <c r="K25" s="145"/>
      <c r="L25" s="145"/>
      <c r="M25" s="188"/>
      <c r="P25" s="145"/>
    </row>
    <row r="26" spans="1:16" ht="15">
      <c r="A26" t="str">
        <f>+'[2]Sch 4, p 1'!A25</f>
        <v>Southwest Gas</v>
      </c>
      <c r="C26" s="189">
        <v>0.31</v>
      </c>
      <c r="D26" s="189">
        <v>0.33</v>
      </c>
      <c r="E26" s="189">
        <v>0.33</v>
      </c>
      <c r="F26" s="189">
        <v>0.34</v>
      </c>
      <c r="G26" s="189">
        <v>0.36</v>
      </c>
      <c r="I26" s="145"/>
      <c r="J26" s="145"/>
      <c r="K26" s="145"/>
      <c r="L26" s="145"/>
      <c r="M26" s="188"/>
      <c r="P26" s="145"/>
    </row>
    <row r="27" spans="1:16" ht="15">
      <c r="A27" t="str">
        <f>+'[2]Sch 4, p 1'!A26</f>
        <v>UGI </v>
      </c>
      <c r="C27" s="189">
        <v>0.14</v>
      </c>
      <c r="D27" s="189">
        <v>0.24</v>
      </c>
      <c r="E27" s="189">
        <v>0.29</v>
      </c>
      <c r="F27" s="189">
        <v>0.31</v>
      </c>
      <c r="G27" s="189">
        <v>0.33</v>
      </c>
      <c r="I27" s="145"/>
      <c r="J27" s="145"/>
      <c r="K27" s="145"/>
      <c r="L27" s="145"/>
      <c r="M27" s="188"/>
      <c r="P27" s="145"/>
    </row>
    <row r="28" spans="1:16" ht="15">
      <c r="A28" t="str">
        <f>+'[2]Sch 4, p 1'!A27</f>
        <v>WGL Holdings</v>
      </c>
      <c r="C28" s="189">
        <v>0.48</v>
      </c>
      <c r="D28" s="189">
        <v>0.48</v>
      </c>
      <c r="E28" s="189">
        <v>0.49</v>
      </c>
      <c r="F28" s="189">
        <v>0.52</v>
      </c>
      <c r="G28" s="189">
        <v>0.58</v>
      </c>
      <c r="I28" s="145"/>
      <c r="J28" s="145"/>
      <c r="K28" s="145"/>
      <c r="L28" s="145"/>
      <c r="M28" s="188"/>
      <c r="P28" s="145"/>
    </row>
    <row r="29" spans="1:16" ht="15">
      <c r="A29" s="48"/>
      <c r="B29" s="48"/>
      <c r="C29" s="190"/>
      <c r="D29" s="190"/>
      <c r="E29" s="190"/>
      <c r="F29" s="190"/>
      <c r="G29" s="190"/>
      <c r="P29" s="145"/>
    </row>
    <row r="30" spans="1:16" ht="15">
      <c r="A30" s="47"/>
      <c r="B30" s="47"/>
      <c r="C30" s="191"/>
      <c r="D30" s="191"/>
      <c r="E30" s="191"/>
      <c r="F30" s="191"/>
      <c r="G30" s="191"/>
      <c r="P30" s="145"/>
    </row>
    <row r="31" spans="1:16" ht="15.75">
      <c r="A31" t="str">
        <f>+'[2]Sch 4, p 1'!A30</f>
        <v>Average</v>
      </c>
      <c r="C31" s="192">
        <f>AVERAGE(C14:C28)</f>
        <v>0.39466666666666667</v>
      </c>
      <c r="D31" s="192">
        <f>AVERAGE(D14:D28)</f>
        <v>0.4066666666666666</v>
      </c>
      <c r="E31" s="192">
        <f>AVERAGE(E14:E28)</f>
        <v>0.4253333333333334</v>
      </c>
      <c r="F31" s="192">
        <f>AVERAGE(F14:F28)</f>
        <v>0.4253333333333333</v>
      </c>
      <c r="G31" s="192">
        <f>AVERAGE(G14:G28)</f>
        <v>0.43600000000000005</v>
      </c>
      <c r="I31" s="145"/>
      <c r="J31" s="145"/>
      <c r="K31" s="145"/>
      <c r="L31" s="145"/>
      <c r="M31" s="145"/>
      <c r="P31" s="145"/>
    </row>
    <row r="32" spans="1:7" ht="15">
      <c r="A32" s="48"/>
      <c r="B32" s="48"/>
      <c r="C32" s="190"/>
      <c r="D32" s="190"/>
      <c r="E32" s="190"/>
      <c r="F32" s="190"/>
      <c r="G32" s="190"/>
    </row>
    <row r="33" spans="1:7" ht="15">
      <c r="A33" s="47"/>
      <c r="B33" s="47"/>
      <c r="C33" s="47"/>
      <c r="D33" s="47"/>
      <c r="E33" s="47"/>
      <c r="F33" s="47"/>
      <c r="G33" s="47"/>
    </row>
    <row r="34" ht="15">
      <c r="A34" t="s">
        <v>303</v>
      </c>
    </row>
  </sheetData>
  <mergeCells count="3">
    <mergeCell ref="A5:G5"/>
    <mergeCell ref="A6:G6"/>
    <mergeCell ref="A7:G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showOutlineSymbols="0" zoomScale="87" zoomScaleNormal="87" workbookViewId="0" topLeftCell="A1">
      <selection activeCell="F2" sqref="F2"/>
    </sheetView>
  </sheetViews>
  <sheetFormatPr defaultColWidth="8.88671875" defaultRowHeight="15"/>
  <cols>
    <col min="1" max="1" width="23.77734375" style="27" customWidth="1"/>
    <col min="2" max="2" width="2.77734375" style="27" customWidth="1"/>
    <col min="3" max="6" width="9.77734375" style="27" customWidth="1"/>
    <col min="7" max="7" width="2.77734375" style="27" customWidth="1"/>
    <col min="8" max="16384" width="9.77734375" style="27" customWidth="1"/>
  </cols>
  <sheetData>
    <row r="1" ht="15.75">
      <c r="F1" s="2" t="s">
        <v>336</v>
      </c>
    </row>
    <row r="2" ht="15.75">
      <c r="F2" s="2" t="s">
        <v>90</v>
      </c>
    </row>
    <row r="3" ht="15.75">
      <c r="F3" s="2" t="s">
        <v>164</v>
      </c>
    </row>
    <row r="4" ht="15.75">
      <c r="H4" s="2"/>
    </row>
    <row r="5" ht="15.75">
      <c r="H5" s="2"/>
    </row>
    <row r="6" spans="1:8" ht="20.25">
      <c r="A6" s="3" t="s">
        <v>92</v>
      </c>
      <c r="B6" s="3"/>
      <c r="C6" s="3"/>
      <c r="D6" s="3"/>
      <c r="E6" s="3"/>
      <c r="F6" s="3"/>
      <c r="G6" s="3"/>
      <c r="H6" s="3"/>
    </row>
    <row r="7" spans="1:8" ht="20.25">
      <c r="A7" s="3" t="s">
        <v>99</v>
      </c>
      <c r="B7" s="3"/>
      <c r="C7" s="3"/>
      <c r="D7" s="3"/>
      <c r="E7" s="3"/>
      <c r="F7" s="3"/>
      <c r="G7" s="3"/>
      <c r="H7" s="3"/>
    </row>
    <row r="10" spans="1:8" ht="15.75" thickTop="1">
      <c r="A10" s="28"/>
      <c r="B10" s="28"/>
      <c r="C10" s="28"/>
      <c r="D10" s="28"/>
      <c r="E10" s="28"/>
      <c r="F10" s="28"/>
      <c r="G10" s="28"/>
      <c r="H10" s="28"/>
    </row>
    <row r="11" spans="4:6" ht="15">
      <c r="D11" s="230" t="s">
        <v>261</v>
      </c>
      <c r="E11" s="230"/>
      <c r="F11" s="230"/>
    </row>
    <row r="12" spans="1:8" ht="15">
      <c r="A12" s="10" t="s">
        <v>93</v>
      </c>
      <c r="C12" s="10" t="s">
        <v>101</v>
      </c>
      <c r="D12" s="51" t="s">
        <v>102</v>
      </c>
      <c r="E12" s="51" t="s">
        <v>103</v>
      </c>
      <c r="F12" s="51" t="s">
        <v>100</v>
      </c>
      <c r="G12" s="10"/>
      <c r="H12" s="10" t="s">
        <v>105</v>
      </c>
    </row>
    <row r="14" spans="1:8" ht="15">
      <c r="A14" s="28"/>
      <c r="B14" s="28"/>
      <c r="C14" s="28"/>
      <c r="D14" s="28"/>
      <c r="E14" s="28"/>
      <c r="F14" s="28"/>
      <c r="G14" s="28"/>
      <c r="H14" s="28"/>
    </row>
    <row r="16" ht="15.75">
      <c r="A16" s="40" t="s">
        <v>234</v>
      </c>
    </row>
    <row r="17" ht="15.75">
      <c r="A17" s="40" t="s">
        <v>230</v>
      </c>
    </row>
    <row r="19" spans="1:8" ht="15">
      <c r="A19" s="27" t="s">
        <v>215</v>
      </c>
      <c r="C19" s="26">
        <f>0.37*4</f>
        <v>1.48</v>
      </c>
      <c r="D19" s="26">
        <v>38.13</v>
      </c>
      <c r="E19" s="26">
        <v>34.43</v>
      </c>
      <c r="F19" s="26">
        <f>AVERAGE(D19:E19)</f>
        <v>36.28</v>
      </c>
      <c r="H19" s="11">
        <f>C19/F19</f>
        <v>0.040793825799338476</v>
      </c>
    </row>
    <row r="20" spans="1:8" ht="15">
      <c r="A20" s="27" t="s">
        <v>216</v>
      </c>
      <c r="C20" s="26">
        <f>0.315*4</f>
        <v>1.26</v>
      </c>
      <c r="D20" s="26">
        <v>28.03</v>
      </c>
      <c r="E20" s="26">
        <v>25.55</v>
      </c>
      <c r="F20" s="26">
        <f aca="true" t="shared" si="0" ref="F20:F33">AVERAGE(D20:E20)</f>
        <v>26.79</v>
      </c>
      <c r="H20" s="11">
        <f aca="true" t="shared" si="1" ref="H20:H33">C20/F20</f>
        <v>0.04703247480403136</v>
      </c>
    </row>
    <row r="21" spans="1:8" ht="15">
      <c r="A21" s="27" t="s">
        <v>235</v>
      </c>
      <c r="C21" s="26">
        <f>0.24*4</f>
        <v>0.96</v>
      </c>
      <c r="D21" s="26">
        <v>21.3</v>
      </c>
      <c r="E21" s="26">
        <v>19.26</v>
      </c>
      <c r="F21" s="26">
        <f t="shared" si="0"/>
        <v>20.28</v>
      </c>
      <c r="H21" s="11">
        <f t="shared" si="1"/>
        <v>0.047337278106508875</v>
      </c>
    </row>
    <row r="22" spans="1:8" ht="15">
      <c r="A22" s="27" t="s">
        <v>236</v>
      </c>
      <c r="C22" s="26">
        <f>0.11*4</f>
        <v>0.44</v>
      </c>
      <c r="D22" s="26">
        <v>38.42</v>
      </c>
      <c r="E22" s="26">
        <v>32.16</v>
      </c>
      <c r="F22" s="26">
        <f t="shared" si="0"/>
        <v>35.29</v>
      </c>
      <c r="H22" s="11">
        <f t="shared" si="1"/>
        <v>0.012468121280816095</v>
      </c>
    </row>
    <row r="23" spans="1:8" ht="15">
      <c r="A23" s="27" t="s">
        <v>237</v>
      </c>
      <c r="C23" s="26">
        <f>0.465*4</f>
        <v>1.86</v>
      </c>
      <c r="D23" s="26">
        <v>41.1</v>
      </c>
      <c r="E23" s="26">
        <v>39.68</v>
      </c>
      <c r="F23" s="26">
        <f t="shared" si="0"/>
        <v>40.39</v>
      </c>
      <c r="H23" s="11">
        <f t="shared" si="1"/>
        <v>0.0460510027234464</v>
      </c>
    </row>
    <row r="24" spans="1:8" ht="15">
      <c r="A24" s="27" t="s">
        <v>218</v>
      </c>
      <c r="C24" s="26">
        <f>0.355*4</f>
        <v>1.42</v>
      </c>
      <c r="D24" s="26">
        <v>34.75</v>
      </c>
      <c r="E24" s="26">
        <v>31.7</v>
      </c>
      <c r="F24" s="26">
        <f t="shared" si="0"/>
        <v>33.225</v>
      </c>
      <c r="H24" s="11">
        <f t="shared" si="1"/>
        <v>0.04273890142964635</v>
      </c>
    </row>
    <row r="25" spans="1:8" ht="15">
      <c r="A25" s="27" t="s">
        <v>219</v>
      </c>
      <c r="C25" s="26">
        <f>0.36*4</f>
        <v>1.44</v>
      </c>
      <c r="D25" s="26">
        <v>47.38</v>
      </c>
      <c r="E25" s="26">
        <v>42.85</v>
      </c>
      <c r="F25" s="26">
        <f t="shared" si="0"/>
        <v>45.115</v>
      </c>
      <c r="H25" s="11">
        <f t="shared" si="1"/>
        <v>0.03191843067715837</v>
      </c>
    </row>
    <row r="26" spans="1:8" ht="15">
      <c r="A26" s="27" t="s">
        <v>238</v>
      </c>
      <c r="C26" s="26">
        <f>0.465*4</f>
        <v>1.86</v>
      </c>
      <c r="D26" s="26">
        <v>42.29</v>
      </c>
      <c r="E26" s="26">
        <v>38.72</v>
      </c>
      <c r="F26" s="26">
        <f t="shared" si="0"/>
        <v>40.504999999999995</v>
      </c>
      <c r="H26" s="11">
        <f t="shared" si="1"/>
        <v>0.04592025675842489</v>
      </c>
    </row>
    <row r="27" spans="1:8" ht="15">
      <c r="A27" s="27" t="s">
        <v>220</v>
      </c>
      <c r="C27" s="26">
        <f>0.345*4</f>
        <v>1.38</v>
      </c>
      <c r="D27" s="26">
        <v>37.04</v>
      </c>
      <c r="E27" s="26">
        <v>33.3</v>
      </c>
      <c r="F27" s="26">
        <f t="shared" si="0"/>
        <v>35.17</v>
      </c>
      <c r="H27" s="11">
        <f t="shared" si="1"/>
        <v>0.03923798692067102</v>
      </c>
    </row>
    <row r="28" spans="1:8" ht="15">
      <c r="A28" s="27" t="s">
        <v>226</v>
      </c>
      <c r="C28" s="26">
        <f>0.545*4</f>
        <v>2.18</v>
      </c>
      <c r="D28" s="26">
        <v>38.66</v>
      </c>
      <c r="E28" s="26">
        <v>35.1</v>
      </c>
      <c r="F28" s="26">
        <f t="shared" si="0"/>
        <v>36.879999999999995</v>
      </c>
      <c r="H28" s="11">
        <f t="shared" si="1"/>
        <v>0.05911062906724513</v>
      </c>
    </row>
    <row r="29" spans="1:8" ht="15">
      <c r="A29" s="27" t="s">
        <v>221</v>
      </c>
      <c r="C29" s="26">
        <f>0.24*4</f>
        <v>0.96</v>
      </c>
      <c r="D29" s="26">
        <v>25.4</v>
      </c>
      <c r="E29" s="26">
        <v>23.31</v>
      </c>
      <c r="F29" s="26">
        <f t="shared" si="0"/>
        <v>24.354999999999997</v>
      </c>
      <c r="H29" s="11">
        <f t="shared" si="1"/>
        <v>0.0394169575035927</v>
      </c>
    </row>
    <row r="30" spans="1:8" ht="15">
      <c r="A30" s="27" t="s">
        <v>222</v>
      </c>
      <c r="C30" s="26">
        <f>0.225*4</f>
        <v>0.9</v>
      </c>
      <c r="D30" s="26">
        <v>27.89</v>
      </c>
      <c r="E30" s="26">
        <v>25.63</v>
      </c>
      <c r="F30" s="26">
        <f t="shared" si="0"/>
        <v>26.759999999999998</v>
      </c>
      <c r="H30" s="11">
        <f t="shared" si="1"/>
        <v>0.033632286995515695</v>
      </c>
    </row>
    <row r="31" spans="1:8" ht="15">
      <c r="A31" s="27" t="s">
        <v>223</v>
      </c>
      <c r="C31" s="26">
        <f>0.205*4</f>
        <v>0.82</v>
      </c>
      <c r="D31" s="26">
        <v>31.43</v>
      </c>
      <c r="E31" s="26">
        <v>26.46</v>
      </c>
      <c r="F31" s="26">
        <f t="shared" si="0"/>
        <v>28.945</v>
      </c>
      <c r="H31" s="11">
        <f t="shared" si="1"/>
        <v>0.028329590602867504</v>
      </c>
    </row>
    <row r="32" spans="1:8" ht="15">
      <c r="A32" s="27" t="s">
        <v>239</v>
      </c>
      <c r="C32" s="26">
        <f>0.176*4</f>
        <v>0.704</v>
      </c>
      <c r="D32" s="26">
        <v>24.75</v>
      </c>
      <c r="E32" s="26">
        <v>20.93</v>
      </c>
      <c r="F32" s="26">
        <f t="shared" si="0"/>
        <v>22.84</v>
      </c>
      <c r="H32" s="11">
        <f t="shared" si="1"/>
        <v>0.0308231173380035</v>
      </c>
    </row>
    <row r="33" spans="1:8" ht="15">
      <c r="A33" s="27" t="s">
        <v>240</v>
      </c>
      <c r="C33" s="26">
        <f>0.338*4</f>
        <v>1.352</v>
      </c>
      <c r="D33" s="26">
        <v>30.74</v>
      </c>
      <c r="E33" s="26">
        <v>27.04</v>
      </c>
      <c r="F33" s="26">
        <f t="shared" si="0"/>
        <v>28.89</v>
      </c>
      <c r="H33" s="11">
        <f t="shared" si="1"/>
        <v>0.04679820006922811</v>
      </c>
    </row>
    <row r="34" spans="1:8" ht="15">
      <c r="A34" s="52"/>
      <c r="B34" s="52"/>
      <c r="C34" s="53"/>
      <c r="D34" s="53"/>
      <c r="E34" s="53"/>
      <c r="F34" s="53"/>
      <c r="G34" s="52"/>
      <c r="H34" s="54"/>
    </row>
    <row r="35" spans="3:8" ht="15">
      <c r="C35" s="26"/>
      <c r="D35" s="26"/>
      <c r="E35" s="26"/>
      <c r="F35" s="26"/>
      <c r="H35" s="11"/>
    </row>
    <row r="36" spans="1:8" ht="15.75">
      <c r="A36" s="27" t="s">
        <v>108</v>
      </c>
      <c r="C36" s="26"/>
      <c r="D36" s="26"/>
      <c r="E36" s="26"/>
      <c r="F36" s="26"/>
      <c r="H36" s="39">
        <f>AVERAGE(H19:H33)</f>
        <v>0.039440604005099626</v>
      </c>
    </row>
    <row r="37" spans="1:8" ht="15.75" thickBot="1">
      <c r="A37" s="55"/>
      <c r="B37" s="55"/>
      <c r="C37" s="56"/>
      <c r="D37" s="56"/>
      <c r="E37" s="56"/>
      <c r="F37" s="56"/>
      <c r="G37" s="55"/>
      <c r="H37" s="57"/>
    </row>
    <row r="38" spans="3:8" ht="15.75" thickTop="1">
      <c r="C38" s="26"/>
      <c r="D38" s="26"/>
      <c r="E38" s="26"/>
      <c r="F38" s="26"/>
      <c r="H38" s="11"/>
    </row>
    <row r="39" spans="1:8" ht="15.75">
      <c r="A39" s="40" t="s">
        <v>229</v>
      </c>
      <c r="C39" s="26"/>
      <c r="D39" s="26"/>
      <c r="E39" s="26"/>
      <c r="F39" s="26"/>
      <c r="H39" s="11"/>
    </row>
    <row r="40" spans="1:8" ht="15.75">
      <c r="A40" s="40" t="s">
        <v>230</v>
      </c>
      <c r="C40" s="26"/>
      <c r="D40" s="26"/>
      <c r="E40" s="26"/>
      <c r="F40" s="26"/>
      <c r="H40" s="11"/>
    </row>
    <row r="41" spans="3:8" ht="15">
      <c r="C41" s="26"/>
      <c r="D41" s="26"/>
      <c r="E41" s="26"/>
      <c r="F41" s="26"/>
      <c r="H41" s="11"/>
    </row>
    <row r="42" spans="1:8" ht="15">
      <c r="A42" s="27" t="s">
        <v>177</v>
      </c>
      <c r="C42" s="26">
        <f>0.37*4</f>
        <v>1.48</v>
      </c>
      <c r="D42" s="26">
        <v>35.19</v>
      </c>
      <c r="E42" s="26">
        <v>32.27</v>
      </c>
      <c r="F42" s="26">
        <f aca="true" t="shared" si="2" ref="F42:F61">AVERAGE(D42:E42)</f>
        <v>33.730000000000004</v>
      </c>
      <c r="H42" s="11">
        <f aca="true" t="shared" si="3" ref="H42:H61">C42/F42</f>
        <v>0.0438778535428402</v>
      </c>
    </row>
    <row r="43" spans="1:8" ht="15">
      <c r="A43" s="27" t="s">
        <v>198</v>
      </c>
      <c r="C43" s="26">
        <f>0.635*4</f>
        <v>2.54</v>
      </c>
      <c r="D43" s="26">
        <v>51.3</v>
      </c>
      <c r="E43" s="26">
        <v>47.96</v>
      </c>
      <c r="F43" s="26">
        <f t="shared" si="2"/>
        <v>49.629999999999995</v>
      </c>
      <c r="H43" s="11">
        <f t="shared" si="3"/>
        <v>0.05117872254684667</v>
      </c>
    </row>
    <row r="44" spans="1:8" ht="15">
      <c r="A44" s="27" t="s">
        <v>189</v>
      </c>
      <c r="C44" s="26">
        <f>0.15*4</f>
        <v>0.6</v>
      </c>
      <c r="D44" s="26">
        <v>12.54</v>
      </c>
      <c r="E44" s="26">
        <v>11.62</v>
      </c>
      <c r="F44" s="26">
        <f t="shared" si="2"/>
        <v>12.079999999999998</v>
      </c>
      <c r="H44" s="11">
        <f t="shared" si="3"/>
        <v>0.049668874172185434</v>
      </c>
    </row>
    <row r="45" spans="1:8" ht="15">
      <c r="A45" s="27" t="s">
        <v>181</v>
      </c>
      <c r="C45" s="26">
        <f>0.54*4</f>
        <v>2.16</v>
      </c>
      <c r="D45" s="26">
        <v>48.7</v>
      </c>
      <c r="E45" s="26">
        <v>44.63</v>
      </c>
      <c r="F45" s="26">
        <f t="shared" si="2"/>
        <v>46.665000000000006</v>
      </c>
      <c r="H45" s="11">
        <f t="shared" si="3"/>
        <v>0.04628736740597878</v>
      </c>
    </row>
    <row r="46" spans="1:8" ht="15">
      <c r="A46" s="27" t="s">
        <v>178</v>
      </c>
      <c r="C46" s="26">
        <f>0.575*4</f>
        <v>2.3</v>
      </c>
      <c r="D46" s="26">
        <v>45</v>
      </c>
      <c r="E46" s="26">
        <v>41.17</v>
      </c>
      <c r="F46" s="26">
        <f t="shared" si="2"/>
        <v>43.085</v>
      </c>
      <c r="H46" s="11">
        <f t="shared" si="3"/>
        <v>0.0533828478588836</v>
      </c>
    </row>
    <row r="47" spans="1:8" ht="15">
      <c r="A47" s="27" t="s">
        <v>231</v>
      </c>
      <c r="C47" s="26">
        <f>0.378*4</f>
        <v>1.512</v>
      </c>
      <c r="D47" s="26">
        <v>55.68</v>
      </c>
      <c r="E47" s="26">
        <v>50.55</v>
      </c>
      <c r="F47" s="26">
        <f t="shared" si="2"/>
        <v>53.114999999999995</v>
      </c>
      <c r="H47" s="11">
        <f t="shared" si="3"/>
        <v>0.028466534877153348</v>
      </c>
    </row>
    <row r="48" spans="1:8" ht="15">
      <c r="A48" s="27" t="s">
        <v>195</v>
      </c>
      <c r="C48" s="26">
        <f>0.25*4</f>
        <v>1</v>
      </c>
      <c r="D48" s="26">
        <v>17.19</v>
      </c>
      <c r="E48" s="26">
        <v>15.67</v>
      </c>
      <c r="F48" s="26">
        <f t="shared" si="2"/>
        <v>16.43</v>
      </c>
      <c r="H48" s="11">
        <f t="shared" si="3"/>
        <v>0.06086427267194157</v>
      </c>
    </row>
    <row r="49" spans="1:8" ht="15">
      <c r="A49" s="27" t="s">
        <v>199</v>
      </c>
      <c r="C49" s="26">
        <f>0.29*4</f>
        <v>1.16</v>
      </c>
      <c r="D49" s="26">
        <v>25.39</v>
      </c>
      <c r="E49" s="26">
        <v>22.18</v>
      </c>
      <c r="F49" s="26">
        <f t="shared" si="2"/>
        <v>23.785</v>
      </c>
      <c r="H49" s="11">
        <f t="shared" si="3"/>
        <v>0.04877023334034055</v>
      </c>
    </row>
    <row r="50" spans="1:8" ht="15">
      <c r="A50" s="27" t="s">
        <v>183</v>
      </c>
      <c r="C50" s="26">
        <f>0.4*4</f>
        <v>1.6</v>
      </c>
      <c r="D50" s="26">
        <v>58.86</v>
      </c>
      <c r="E50" s="26">
        <v>51.13</v>
      </c>
      <c r="F50" s="26">
        <f t="shared" si="2"/>
        <v>54.995000000000005</v>
      </c>
      <c r="H50" s="11">
        <f t="shared" si="3"/>
        <v>0.029093553959450857</v>
      </c>
    </row>
    <row r="51" spans="1:8" ht="15">
      <c r="A51" s="27" t="s">
        <v>200</v>
      </c>
      <c r="C51" s="26">
        <f>0.45*4</f>
        <v>1.8</v>
      </c>
      <c r="D51" s="26">
        <v>54.57</v>
      </c>
      <c r="E51" s="26">
        <v>48.23</v>
      </c>
      <c r="F51" s="26">
        <f t="shared" si="2"/>
        <v>51.4</v>
      </c>
      <c r="H51" s="11">
        <f t="shared" si="3"/>
        <v>0.03501945525291829</v>
      </c>
    </row>
    <row r="52" spans="1:8" ht="15">
      <c r="A52" s="27" t="s">
        <v>179</v>
      </c>
      <c r="C52" s="26">
        <f>0.175*4</f>
        <v>0.7</v>
      </c>
      <c r="D52" s="26">
        <v>21.03</v>
      </c>
      <c r="E52" s="26">
        <v>19.12</v>
      </c>
      <c r="F52" s="26">
        <f t="shared" si="2"/>
        <v>20.075000000000003</v>
      </c>
      <c r="H52" s="11">
        <f t="shared" si="3"/>
        <v>0.0348692403486924</v>
      </c>
    </row>
    <row r="53" spans="1:8" ht="15">
      <c r="A53" s="27" t="s">
        <v>169</v>
      </c>
      <c r="C53" s="26">
        <f>0.303*4</f>
        <v>1.212</v>
      </c>
      <c r="D53" s="26">
        <v>28.83</v>
      </c>
      <c r="E53" s="26">
        <v>26.5</v>
      </c>
      <c r="F53" s="26">
        <f t="shared" si="2"/>
        <v>27.665</v>
      </c>
      <c r="H53" s="11">
        <f t="shared" si="3"/>
        <v>0.04380986806434123</v>
      </c>
    </row>
    <row r="54" spans="1:8" ht="15">
      <c r="A54" s="27" t="s">
        <v>232</v>
      </c>
      <c r="C54" s="26">
        <f>0.26*4</f>
        <v>1.04</v>
      </c>
      <c r="D54" s="26">
        <v>23.92</v>
      </c>
      <c r="E54" s="26">
        <v>21.79</v>
      </c>
      <c r="F54" s="26">
        <f t="shared" si="2"/>
        <v>22.855</v>
      </c>
      <c r="H54" s="11">
        <f t="shared" si="3"/>
        <v>0.045504266024939836</v>
      </c>
    </row>
    <row r="55" spans="1:8" ht="15">
      <c r="A55" s="27" t="s">
        <v>182</v>
      </c>
      <c r="C55" s="26">
        <f>0.275*4</f>
        <v>1.1</v>
      </c>
      <c r="D55" s="26">
        <v>32.31</v>
      </c>
      <c r="E55" s="26">
        <v>27.83</v>
      </c>
      <c r="F55" s="26">
        <f t="shared" si="2"/>
        <v>30.07</v>
      </c>
      <c r="H55" s="11">
        <f t="shared" si="3"/>
        <v>0.03658131027602261</v>
      </c>
    </row>
    <row r="56" spans="1:8" ht="15">
      <c r="A56" s="27" t="s">
        <v>233</v>
      </c>
      <c r="C56" s="26">
        <f>0.57*4</f>
        <v>2.28</v>
      </c>
      <c r="D56" s="26">
        <v>67.63</v>
      </c>
      <c r="E56" s="26">
        <v>59</v>
      </c>
      <c r="F56" s="26">
        <f t="shared" si="2"/>
        <v>63.315</v>
      </c>
      <c r="H56" s="11">
        <f t="shared" si="3"/>
        <v>0.036010424070125564</v>
      </c>
    </row>
    <row r="57" spans="1:8" ht="15">
      <c r="A57" s="27" t="s">
        <v>201</v>
      </c>
      <c r="C57" s="26">
        <f>0.42*4</f>
        <v>1.68</v>
      </c>
      <c r="D57" s="26">
        <v>40.41</v>
      </c>
      <c r="E57" s="26">
        <v>36.92</v>
      </c>
      <c r="F57" s="26">
        <f t="shared" si="2"/>
        <v>38.665</v>
      </c>
      <c r="H57" s="11">
        <f t="shared" si="3"/>
        <v>0.04345014871330661</v>
      </c>
    </row>
    <row r="58" spans="1:8" ht="15">
      <c r="A58" s="27" t="s">
        <v>171</v>
      </c>
      <c r="C58" s="26">
        <f>0.3*4</f>
        <v>1.2</v>
      </c>
      <c r="D58" s="26">
        <v>47.29</v>
      </c>
      <c r="E58" s="26">
        <v>42.9</v>
      </c>
      <c r="F58" s="26">
        <f t="shared" si="2"/>
        <v>45.095</v>
      </c>
      <c r="H58" s="11">
        <f t="shared" si="3"/>
        <v>0.026610488967734783</v>
      </c>
    </row>
    <row r="59" spans="1:8" ht="15">
      <c r="A59" s="27" t="s">
        <v>202</v>
      </c>
      <c r="C59" s="26">
        <f>0.413*4</f>
        <v>1.652</v>
      </c>
      <c r="D59" s="26">
        <v>59.93</v>
      </c>
      <c r="E59" s="26">
        <v>44.1</v>
      </c>
      <c r="F59" s="26">
        <f t="shared" si="2"/>
        <v>52.015</v>
      </c>
      <c r="H59" s="11">
        <f t="shared" si="3"/>
        <v>0.03176006921080457</v>
      </c>
    </row>
    <row r="60" spans="1:8" ht="15">
      <c r="A60" s="27" t="s">
        <v>203</v>
      </c>
      <c r="C60" s="26">
        <f>0.305*4</f>
        <v>1.22</v>
      </c>
      <c r="D60" s="26">
        <v>27.52</v>
      </c>
      <c r="E60" s="26">
        <v>25.24</v>
      </c>
      <c r="F60" s="26">
        <f t="shared" si="2"/>
        <v>26.38</v>
      </c>
      <c r="H60" s="11">
        <f t="shared" si="3"/>
        <v>0.04624715693707354</v>
      </c>
    </row>
    <row r="61" spans="1:8" ht="15">
      <c r="A61" s="27" t="s">
        <v>180</v>
      </c>
      <c r="C61" s="26">
        <f>0.23*4</f>
        <v>0.92</v>
      </c>
      <c r="D61" s="26">
        <v>40.91</v>
      </c>
      <c r="E61" s="26">
        <v>38.16</v>
      </c>
      <c r="F61" s="26">
        <f t="shared" si="2"/>
        <v>39.535</v>
      </c>
      <c r="H61" s="11">
        <f t="shared" si="3"/>
        <v>0.02327051979258885</v>
      </c>
    </row>
    <row r="62" spans="1:8" ht="15">
      <c r="A62" s="52"/>
      <c r="B62" s="52"/>
      <c r="C62" s="53"/>
      <c r="D62" s="53"/>
      <c r="E62" s="53"/>
      <c r="F62" s="53"/>
      <c r="G62" s="52"/>
      <c r="H62" s="54"/>
    </row>
    <row r="63" spans="3:8" ht="15">
      <c r="C63" s="26"/>
      <c r="D63" s="26"/>
      <c r="E63" s="26"/>
      <c r="F63" s="26"/>
      <c r="H63" s="11"/>
    </row>
    <row r="64" spans="1:8" ht="15.75">
      <c r="A64" s="27" t="s">
        <v>108</v>
      </c>
      <c r="C64" s="26"/>
      <c r="D64" s="26"/>
      <c r="E64" s="26"/>
      <c r="F64" s="26"/>
      <c r="H64" s="39">
        <f>AVERAGE(H42:H61)</f>
        <v>0.040736160401708466</v>
      </c>
    </row>
    <row r="65" spans="1:8" ht="15.75" thickBot="1">
      <c r="A65" s="55"/>
      <c r="B65" s="55"/>
      <c r="C65" s="56"/>
      <c r="D65" s="56"/>
      <c r="E65" s="56"/>
      <c r="F65" s="56"/>
      <c r="G65" s="55"/>
      <c r="H65" s="57"/>
    </row>
    <row r="66" spans="3:8" ht="15.75" thickTop="1">
      <c r="C66" s="26"/>
      <c r="D66" s="26"/>
      <c r="E66" s="26"/>
      <c r="F66" s="26"/>
      <c r="H66" s="11"/>
    </row>
    <row r="67" spans="1:8" ht="15.75">
      <c r="A67" s="40" t="s">
        <v>214</v>
      </c>
      <c r="C67" s="26"/>
      <c r="D67" s="26"/>
      <c r="E67" s="26"/>
      <c r="F67" s="26"/>
      <c r="H67" s="11"/>
    </row>
    <row r="68" spans="3:8" ht="15">
      <c r="C68" s="26"/>
      <c r="D68" s="26"/>
      <c r="E68" s="26"/>
      <c r="F68" s="26"/>
      <c r="H68" s="11"/>
    </row>
    <row r="69" spans="1:8" ht="15">
      <c r="A69" s="27" t="s">
        <v>215</v>
      </c>
      <c r="C69" s="26">
        <f aca="true" t="shared" si="4" ref="C69:E70">+C19</f>
        <v>1.48</v>
      </c>
      <c r="D69" s="26">
        <f t="shared" si="4"/>
        <v>38.13</v>
      </c>
      <c r="E69" s="26">
        <f t="shared" si="4"/>
        <v>34.43</v>
      </c>
      <c r="F69" s="26">
        <f aca="true" t="shared" si="5" ref="F69:F80">AVERAGE(D69:E69)</f>
        <v>36.28</v>
      </c>
      <c r="H69" s="11">
        <f aca="true" t="shared" si="6" ref="H69:H80">C69/F69</f>
        <v>0.040793825799338476</v>
      </c>
    </row>
    <row r="70" spans="1:8" ht="15">
      <c r="A70" s="27" t="s">
        <v>216</v>
      </c>
      <c r="C70" s="26">
        <f t="shared" si="4"/>
        <v>1.26</v>
      </c>
      <c r="D70" s="26">
        <f t="shared" si="4"/>
        <v>28.03</v>
      </c>
      <c r="E70" s="26">
        <f t="shared" si="4"/>
        <v>25.55</v>
      </c>
      <c r="F70" s="26">
        <f t="shared" si="5"/>
        <v>26.79</v>
      </c>
      <c r="H70" s="11">
        <f t="shared" si="6"/>
        <v>0.04703247480403136</v>
      </c>
    </row>
    <row r="71" spans="1:8" ht="15">
      <c r="A71" s="27" t="s">
        <v>217</v>
      </c>
      <c r="C71" s="26">
        <f aca="true" t="shared" si="7" ref="C71:E73">+C23</f>
        <v>1.86</v>
      </c>
      <c r="D71" s="26">
        <f t="shared" si="7"/>
        <v>41.1</v>
      </c>
      <c r="E71" s="26">
        <f t="shared" si="7"/>
        <v>39.68</v>
      </c>
      <c r="F71" s="26">
        <f t="shared" si="5"/>
        <v>40.39</v>
      </c>
      <c r="H71" s="11">
        <f t="shared" si="6"/>
        <v>0.0460510027234464</v>
      </c>
    </row>
    <row r="72" spans="1:8" ht="15">
      <c r="A72" s="27" t="s">
        <v>218</v>
      </c>
      <c r="C72" s="26">
        <f t="shared" si="7"/>
        <v>1.42</v>
      </c>
      <c r="D72" s="26">
        <f t="shared" si="7"/>
        <v>34.75</v>
      </c>
      <c r="E72" s="26">
        <f t="shared" si="7"/>
        <v>31.7</v>
      </c>
      <c r="F72" s="26">
        <f t="shared" si="5"/>
        <v>33.225</v>
      </c>
      <c r="H72" s="11">
        <f t="shared" si="6"/>
        <v>0.04273890142964635</v>
      </c>
    </row>
    <row r="73" spans="1:8" ht="15">
      <c r="A73" s="27" t="s">
        <v>219</v>
      </c>
      <c r="C73" s="26">
        <f t="shared" si="7"/>
        <v>1.44</v>
      </c>
      <c r="D73" s="26">
        <f t="shared" si="7"/>
        <v>47.38</v>
      </c>
      <c r="E73" s="26">
        <f t="shared" si="7"/>
        <v>42.85</v>
      </c>
      <c r="F73" s="26">
        <f t="shared" si="5"/>
        <v>45.115</v>
      </c>
      <c r="H73" s="11">
        <f t="shared" si="6"/>
        <v>0.03191843067715837</v>
      </c>
    </row>
    <row r="74" spans="1:8" ht="15">
      <c r="A74" s="27" t="s">
        <v>220</v>
      </c>
      <c r="C74" s="26">
        <f aca="true" t="shared" si="8" ref="C74:E77">+C27</f>
        <v>1.38</v>
      </c>
      <c r="D74" s="26">
        <f t="shared" si="8"/>
        <v>37.04</v>
      </c>
      <c r="E74" s="26">
        <f t="shared" si="8"/>
        <v>33.3</v>
      </c>
      <c r="F74" s="26">
        <f t="shared" si="5"/>
        <v>35.17</v>
      </c>
      <c r="H74" s="11">
        <f t="shared" si="6"/>
        <v>0.03923798692067102</v>
      </c>
    </row>
    <row r="75" spans="1:8" ht="15">
      <c r="A75" s="27" t="s">
        <v>226</v>
      </c>
      <c r="C75" s="26">
        <f t="shared" si="8"/>
        <v>2.18</v>
      </c>
      <c r="D75" s="26">
        <f t="shared" si="8"/>
        <v>38.66</v>
      </c>
      <c r="E75" s="26">
        <f t="shared" si="8"/>
        <v>35.1</v>
      </c>
      <c r="F75" s="26">
        <f t="shared" si="5"/>
        <v>36.879999999999995</v>
      </c>
      <c r="H75" s="11">
        <f t="shared" si="6"/>
        <v>0.05911062906724513</v>
      </c>
    </row>
    <row r="76" spans="1:8" ht="15">
      <c r="A76" s="27" t="s">
        <v>221</v>
      </c>
      <c r="C76" s="26">
        <f t="shared" si="8"/>
        <v>0.96</v>
      </c>
      <c r="D76" s="26">
        <f t="shared" si="8"/>
        <v>25.4</v>
      </c>
      <c r="E76" s="26">
        <f t="shared" si="8"/>
        <v>23.31</v>
      </c>
      <c r="F76" s="26">
        <f t="shared" si="5"/>
        <v>24.354999999999997</v>
      </c>
      <c r="H76" s="11">
        <f t="shared" si="6"/>
        <v>0.0394169575035927</v>
      </c>
    </row>
    <row r="77" spans="1:8" ht="15">
      <c r="A77" s="27" t="s">
        <v>222</v>
      </c>
      <c r="C77" s="26">
        <f t="shared" si="8"/>
        <v>0.9</v>
      </c>
      <c r="D77" s="26">
        <f t="shared" si="8"/>
        <v>27.89</v>
      </c>
      <c r="E77" s="26">
        <f t="shared" si="8"/>
        <v>25.63</v>
      </c>
      <c r="F77" s="26">
        <f t="shared" si="5"/>
        <v>26.759999999999998</v>
      </c>
      <c r="H77" s="11">
        <f t="shared" si="6"/>
        <v>0.033632286995515695</v>
      </c>
    </row>
    <row r="78" spans="1:8" ht="15">
      <c r="A78" s="27" t="s">
        <v>223</v>
      </c>
      <c r="C78" s="26">
        <f aca="true" t="shared" si="9" ref="C78:E80">+C31</f>
        <v>0.82</v>
      </c>
      <c r="D78" s="26">
        <f t="shared" si="9"/>
        <v>31.43</v>
      </c>
      <c r="E78" s="26">
        <f t="shared" si="9"/>
        <v>26.46</v>
      </c>
      <c r="F78" s="26">
        <f t="shared" si="5"/>
        <v>28.945</v>
      </c>
      <c r="H78" s="11">
        <f t="shared" si="6"/>
        <v>0.028329590602867504</v>
      </c>
    </row>
    <row r="79" spans="1:8" ht="15">
      <c r="A79" s="27" t="s">
        <v>224</v>
      </c>
      <c r="C79" s="26">
        <f t="shared" si="9"/>
        <v>0.704</v>
      </c>
      <c r="D79" s="26">
        <f t="shared" si="9"/>
        <v>24.75</v>
      </c>
      <c r="E79" s="26">
        <f t="shared" si="9"/>
        <v>20.93</v>
      </c>
      <c r="F79" s="26">
        <f t="shared" si="5"/>
        <v>22.84</v>
      </c>
      <c r="H79" s="11">
        <f t="shared" si="6"/>
        <v>0.0308231173380035</v>
      </c>
    </row>
    <row r="80" spans="1:8" ht="15">
      <c r="A80" s="27" t="s">
        <v>225</v>
      </c>
      <c r="C80" s="26">
        <f t="shared" si="9"/>
        <v>1.352</v>
      </c>
      <c r="D80" s="26">
        <f t="shared" si="9"/>
        <v>30.74</v>
      </c>
      <c r="E80" s="26">
        <f t="shared" si="9"/>
        <v>27.04</v>
      </c>
      <c r="F80" s="26">
        <f t="shared" si="5"/>
        <v>28.89</v>
      </c>
      <c r="H80" s="11">
        <f t="shared" si="6"/>
        <v>0.04679820006922811</v>
      </c>
    </row>
    <row r="81" spans="1:8" ht="15">
      <c r="A81" s="52"/>
      <c r="B81" s="52"/>
      <c r="C81" s="53"/>
      <c r="D81" s="53"/>
      <c r="E81" s="53"/>
      <c r="F81" s="53"/>
      <c r="G81" s="52"/>
      <c r="H81" s="54"/>
    </row>
    <row r="82" spans="1:8" ht="15">
      <c r="A82" s="44"/>
      <c r="B82" s="44"/>
      <c r="C82" s="49"/>
      <c r="D82" s="49"/>
      <c r="E82" s="49"/>
      <c r="F82" s="49"/>
      <c r="G82" s="44"/>
      <c r="H82" s="50"/>
    </row>
    <row r="83" spans="1:8" ht="15.75">
      <c r="A83" s="133" t="s">
        <v>108</v>
      </c>
      <c r="C83" s="26"/>
      <c r="D83" s="26"/>
      <c r="E83" s="26"/>
      <c r="F83" s="26"/>
      <c r="H83" s="39">
        <f>AVERAGE(H69:H80)</f>
        <v>0.04049028366089538</v>
      </c>
    </row>
    <row r="84" spans="1:8" ht="15.75" thickBot="1">
      <c r="A84" s="55"/>
      <c r="B84" s="55"/>
      <c r="C84" s="56"/>
      <c r="D84" s="56"/>
      <c r="E84" s="56"/>
      <c r="F84" s="56"/>
      <c r="G84" s="55"/>
      <c r="H84" s="57"/>
    </row>
    <row r="85" spans="2:8" ht="15.75" thickTop="1">
      <c r="B85" s="44"/>
      <c r="C85" s="49"/>
      <c r="D85" s="49"/>
      <c r="E85" s="49"/>
      <c r="F85" s="49"/>
      <c r="G85" s="44"/>
      <c r="H85" s="50"/>
    </row>
    <row r="86" spans="1:8" ht="15">
      <c r="A86" s="27" t="s">
        <v>204</v>
      </c>
      <c r="B86" s="43"/>
      <c r="C86" s="49"/>
      <c r="D86" s="49"/>
      <c r="E86" s="49"/>
      <c r="F86" s="49"/>
      <c r="G86" s="43"/>
      <c r="H86" s="50"/>
    </row>
    <row r="87" spans="3:8" ht="15.75">
      <c r="C87" s="26"/>
      <c r="D87" s="26"/>
      <c r="E87" s="26"/>
      <c r="F87" s="26"/>
      <c r="H87" s="29"/>
    </row>
    <row r="88" spans="1:8" ht="15">
      <c r="A88" s="44"/>
      <c r="B88" s="44"/>
      <c r="C88" s="49"/>
      <c r="D88" s="49"/>
      <c r="E88" s="49"/>
      <c r="F88" s="49"/>
      <c r="G88" s="44"/>
      <c r="H88" s="50"/>
    </row>
    <row r="89" spans="1:8" ht="15">
      <c r="A89" s="43"/>
      <c r="B89" s="43"/>
      <c r="C89" s="49"/>
      <c r="D89" s="49"/>
      <c r="E89" s="49"/>
      <c r="F89" s="49"/>
      <c r="G89" s="43"/>
      <c r="H89" s="50"/>
    </row>
    <row r="94" spans="3:8" ht="15">
      <c r="C94" s="26"/>
      <c r="D94" s="26"/>
      <c r="E94" s="26"/>
      <c r="F94" s="26"/>
      <c r="G94" s="26"/>
      <c r="H94" s="11"/>
    </row>
    <row r="95" spans="3:8" ht="15">
      <c r="C95" s="26"/>
      <c r="D95" s="26"/>
      <c r="E95" s="26"/>
      <c r="F95" s="26"/>
      <c r="H95" s="11"/>
    </row>
    <row r="96" spans="3:8" ht="15">
      <c r="C96" s="26"/>
      <c r="D96" s="26"/>
      <c r="E96" s="26"/>
      <c r="F96" s="26"/>
      <c r="G96" s="26"/>
      <c r="H96" s="11"/>
    </row>
    <row r="97" spans="3:8" ht="15">
      <c r="C97" s="26"/>
      <c r="D97" s="26"/>
      <c r="E97" s="26"/>
      <c r="F97" s="26"/>
      <c r="G97" s="26"/>
      <c r="H97" s="11"/>
    </row>
    <row r="98" spans="3:8" ht="15">
      <c r="C98" s="26"/>
      <c r="D98" s="26"/>
      <c r="E98" s="26"/>
      <c r="F98" s="26"/>
      <c r="G98" s="26"/>
      <c r="H98" s="11"/>
    </row>
    <row r="99" spans="3:8" ht="15">
      <c r="C99" s="26"/>
      <c r="D99" s="26"/>
      <c r="E99" s="26"/>
      <c r="F99" s="26"/>
      <c r="G99" s="26"/>
      <c r="H99" s="11"/>
    </row>
    <row r="100" spans="3:8" ht="15">
      <c r="C100" s="26"/>
      <c r="D100" s="26"/>
      <c r="E100" s="26"/>
      <c r="F100" s="26"/>
      <c r="G100" s="26"/>
      <c r="H100" s="11"/>
    </row>
    <row r="101" spans="3:8" ht="15">
      <c r="C101" s="26"/>
      <c r="D101" s="26"/>
      <c r="E101" s="26"/>
      <c r="F101" s="26"/>
      <c r="G101" s="26"/>
      <c r="H101" s="11"/>
    </row>
    <row r="102" spans="3:8" ht="15">
      <c r="C102" s="26"/>
      <c r="D102" s="26"/>
      <c r="E102" s="26"/>
      <c r="F102" s="26"/>
      <c r="G102" s="26"/>
      <c r="H102" s="11"/>
    </row>
    <row r="103" spans="3:8" ht="15">
      <c r="C103" s="26"/>
      <c r="D103" s="26"/>
      <c r="E103" s="26"/>
      <c r="F103" s="26"/>
      <c r="G103" s="26"/>
      <c r="H103" s="11"/>
    </row>
    <row r="104" spans="3:8" ht="15">
      <c r="C104" s="26"/>
      <c r="D104" s="26"/>
      <c r="E104" s="26"/>
      <c r="F104" s="26"/>
      <c r="G104" s="26"/>
      <c r="H104" s="11"/>
    </row>
    <row r="105" spans="1:8" ht="15">
      <c r="A105" s="44"/>
      <c r="B105" s="44"/>
      <c r="C105" s="51"/>
      <c r="D105" s="51"/>
      <c r="E105" s="51"/>
      <c r="F105" s="51"/>
      <c r="G105" s="51"/>
      <c r="H105" s="50"/>
    </row>
    <row r="106" spans="1:8" ht="15">
      <c r="A106" s="43"/>
      <c r="B106" s="43"/>
      <c r="C106" s="51"/>
      <c r="D106" s="51"/>
      <c r="E106" s="51"/>
      <c r="F106" s="51"/>
      <c r="G106" s="51"/>
      <c r="H106" s="50"/>
    </row>
    <row r="107" spans="3:8" ht="15.75">
      <c r="C107" s="10"/>
      <c r="D107" s="10"/>
      <c r="E107" s="10"/>
      <c r="F107" s="10"/>
      <c r="G107" s="10"/>
      <c r="H107" s="29"/>
    </row>
    <row r="108" spans="1:8" ht="15">
      <c r="A108" s="44"/>
      <c r="B108" s="44"/>
      <c r="C108" s="44"/>
      <c r="D108" s="44"/>
      <c r="E108" s="44"/>
      <c r="F108" s="44"/>
      <c r="G108" s="44"/>
      <c r="H108" s="44"/>
    </row>
    <row r="109" spans="1:8" ht="15">
      <c r="A109" s="43"/>
      <c r="B109" s="43"/>
      <c r="C109" s="43"/>
      <c r="D109" s="43"/>
      <c r="E109" s="43"/>
      <c r="F109" s="43"/>
      <c r="G109" s="43"/>
      <c r="H109" s="43"/>
    </row>
    <row r="110" spans="3:8" ht="15.75">
      <c r="C110" s="26"/>
      <c r="D110" s="26"/>
      <c r="E110" s="26"/>
      <c r="F110" s="26"/>
      <c r="G110" s="26"/>
      <c r="H110" s="29"/>
    </row>
    <row r="111" spans="1:8" ht="15">
      <c r="A111" s="44"/>
      <c r="B111" s="44"/>
      <c r="C111" s="44"/>
      <c r="D111" s="44"/>
      <c r="E111" s="44"/>
      <c r="F111" s="44"/>
      <c r="G111" s="44"/>
      <c r="H111" s="44"/>
    </row>
    <row r="112" spans="1:8" ht="15">
      <c r="A112" s="43"/>
      <c r="B112" s="43"/>
      <c r="C112" s="43"/>
      <c r="D112" s="43"/>
      <c r="E112" s="43"/>
      <c r="F112" s="43"/>
      <c r="G112" s="43"/>
      <c r="H112" s="43"/>
    </row>
  </sheetData>
  <mergeCells count="1">
    <mergeCell ref="D11:F11"/>
  </mergeCells>
  <printOptions horizontalCentered="1"/>
  <pageMargins left="0.5" right="0.5" top="0.5" bottom="0.55" header="0" footer="0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</dc:creator>
  <cp:keywords/>
  <dc:description/>
  <cp:lastModifiedBy>Talia Wilson</cp:lastModifiedBy>
  <cp:lastPrinted>2006-08-21T19:57:47Z</cp:lastPrinted>
  <dcterms:created xsi:type="dcterms:W3CDTF">2001-11-16T16:54:37Z</dcterms:created>
  <dcterms:modified xsi:type="dcterms:W3CDTF">2006-08-21T19:59:56Z</dcterms:modified>
  <cp:category/>
  <cp:version/>
  <cp:contentType/>
  <cp:contentStatus/>
</cp:coreProperties>
</file>