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_SEM\Non-Conf WP SEM\"/>
    </mc:Choice>
  </mc:AlternateContent>
  <bookViews>
    <workbookView xWindow="-15" yWindow="-15" windowWidth="14400" windowHeight="12450" tabRatio="708"/>
  </bookViews>
  <sheets>
    <sheet name="Results Summary (SCH M)" sheetId="6" r:id="rId1"/>
    <sheet name="Results Summary (DIT EXP)" sheetId="7" r:id="rId2"/>
    <sheet name="Results Summary (ADIT)" sheetId="8" r:id="rId3"/>
    <sheet name="Current Income Tax Expense" sheetId="2" r:id="rId4"/>
    <sheet name="Deferred Income Tax Expense" sheetId="3" r:id="rId5"/>
    <sheet name="Accumulated Deferred Income Tax" sheetId="4" r:id="rId6"/>
    <sheet name="Allocation Factors" sheetId="5" r:id="rId7"/>
    <sheet name="SCHMAT" sheetId="16" r:id="rId8"/>
    <sheet name="SCHMDT" sheetId="17" r:id="rId9"/>
    <sheet name="41010" sheetId="18" r:id="rId10"/>
    <sheet name="41110" sheetId="19" r:id="rId11"/>
    <sheet name="282" sheetId="20" r:id="rId12"/>
    <sheet name="Recon of WA Alloc 282 ADIT" sheetId="21" r:id="rId13"/>
  </sheets>
  <definedNames>
    <definedName name="_xlnm._FilterDatabase" localSheetId="5" hidden="1">'Accumulated Deferred Income Tax'!$A$2:$AE$349</definedName>
    <definedName name="_xlnm._FilterDatabase" localSheetId="3" hidden="1">'Current Income Tax Expense'!$A$2:$P$297</definedName>
    <definedName name="_xlnm._FilterDatabase" localSheetId="4" hidden="1">'Deferred Income Tax Expense'!$A$2:$O$290</definedName>
    <definedName name="_xlnm.Print_Area" localSheetId="5">'Accumulated Deferred Income Tax'!$A$3:$AE$367</definedName>
    <definedName name="_xlnm.Print_Area" localSheetId="4">'Deferred Income Tax Expense'!$A$1:$O$318</definedName>
    <definedName name="_xlnm.Print_Area" localSheetId="2">'Results Summary (ADIT)'!$A$1:$H$118</definedName>
    <definedName name="_xlnm.Print_Area" localSheetId="1">'Results Summary (DIT EXP)'!$A$1:$H$68</definedName>
    <definedName name="_xlnm.Print_Area" localSheetId="0">'Results Summary (SCH M)'!$A$1:$H$121</definedName>
    <definedName name="_xlnm.Print_Titles" localSheetId="5">'Accumulated Deferred Income Tax'!$A:$F,'Accumulated Deferred Income Tax'!$1:$2</definedName>
    <definedName name="_xlnm.Print_Titles" localSheetId="3">'Current Income Tax Expense'!$1:$2</definedName>
    <definedName name="_xlnm.Print_Titles" localSheetId="4">'Deferred Income Tax Expense'!$1:$2</definedName>
  </definedNames>
  <calcPr calcId="152511" iterate="1"/>
</workbook>
</file>

<file path=xl/calcChain.xml><?xml version="1.0" encoding="utf-8"?>
<calcChain xmlns="http://schemas.openxmlformats.org/spreadsheetml/2006/main">
  <c r="P3" i="2" l="1"/>
  <c r="O3" i="2"/>
  <c r="G48" i="20" l="1"/>
  <c r="F49" i="19"/>
  <c r="S35" i="20" l="1"/>
  <c r="S34" i="20"/>
  <c r="M259" i="3" l="1"/>
  <c r="N259" i="3"/>
  <c r="O259" i="3"/>
  <c r="M260" i="3"/>
  <c r="O260" i="3" s="1"/>
  <c r="N260" i="3"/>
  <c r="I260" i="3"/>
  <c r="I259" i="3"/>
  <c r="L259" i="3"/>
  <c r="L260" i="3"/>
  <c r="J259" i="3"/>
  <c r="J260" i="3"/>
  <c r="G260" i="3"/>
  <c r="H260" i="3" s="1"/>
  <c r="G259" i="3"/>
  <c r="H259" i="3" s="1"/>
  <c r="F21" i="18"/>
  <c r="M23" i="18"/>
  <c r="C3" i="8" l="1"/>
  <c r="C4" i="8"/>
  <c r="C5" i="8"/>
  <c r="C6" i="8"/>
  <c r="C7" i="8"/>
  <c r="C8" i="8"/>
  <c r="C9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30" i="8"/>
  <c r="C31" i="8"/>
  <c r="C32" i="8"/>
  <c r="C33" i="8"/>
  <c r="C34" i="8"/>
  <c r="C35" i="8"/>
  <c r="C42" i="8"/>
  <c r="C43" i="8"/>
  <c r="C44" i="8"/>
  <c r="C40" i="8"/>
  <c r="C41" i="8"/>
  <c r="C48" i="8"/>
  <c r="C49" i="8"/>
  <c r="C50" i="8"/>
  <c r="C51" i="8"/>
  <c r="C52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7" i="8"/>
  <c r="C78" i="8"/>
  <c r="C79" i="8"/>
  <c r="C80" i="8"/>
  <c r="C81" i="8"/>
  <c r="C87" i="8"/>
  <c r="C88" i="8"/>
  <c r="C89" i="8"/>
  <c r="C90" i="8"/>
  <c r="C91" i="8"/>
  <c r="C92" i="8"/>
  <c r="C93" i="8"/>
  <c r="C94" i="8"/>
  <c r="C95" i="8"/>
  <c r="C96" i="8"/>
  <c r="C97" i="8"/>
  <c r="C98" i="8"/>
  <c r="C4" i="6"/>
  <c r="C5" i="6"/>
  <c r="C6" i="6"/>
  <c r="C7" i="6"/>
  <c r="C8" i="6"/>
  <c r="C14" i="6"/>
  <c r="C15" i="6"/>
  <c r="C16" i="6"/>
  <c r="C17" i="6"/>
  <c r="C18" i="6"/>
  <c r="C19" i="6"/>
  <c r="C20" i="6"/>
  <c r="C21" i="6"/>
  <c r="C22" i="6"/>
  <c r="C23" i="6"/>
  <c r="C24" i="6"/>
  <c r="C25" i="6"/>
  <c r="C31" i="6"/>
  <c r="C32" i="6"/>
  <c r="C33" i="6"/>
  <c r="C34" i="6"/>
  <c r="C71" i="6"/>
  <c r="C72" i="6"/>
  <c r="C73" i="6"/>
  <c r="C74" i="6"/>
  <c r="C75" i="6"/>
  <c r="C76" i="6"/>
  <c r="C77" i="6"/>
  <c r="C78" i="6"/>
  <c r="C79" i="6"/>
  <c r="C80" i="6"/>
  <c r="C81" i="6"/>
  <c r="C82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88" i="6"/>
  <c r="C89" i="6"/>
  <c r="C90" i="6"/>
  <c r="C91" i="6"/>
  <c r="C92" i="6"/>
  <c r="C93" i="6"/>
  <c r="C94" i="6"/>
  <c r="C64" i="6"/>
  <c r="C65" i="6"/>
  <c r="C66" i="6"/>
  <c r="C67" i="6"/>
  <c r="C68" i="6"/>
  <c r="C43" i="6"/>
  <c r="C44" i="6"/>
  <c r="C45" i="6"/>
  <c r="C47" i="6"/>
  <c r="C48" i="6"/>
  <c r="C49" i="6"/>
  <c r="C50" i="6"/>
  <c r="C51" i="6"/>
  <c r="C52" i="6"/>
  <c r="C53" i="6"/>
  <c r="C54" i="6"/>
  <c r="C55" i="6"/>
  <c r="C56" i="6"/>
  <c r="C46" i="6"/>
  <c r="I22" i="21"/>
  <c r="G22" i="21"/>
  <c r="G21" i="21"/>
  <c r="G20" i="21"/>
  <c r="G19" i="21"/>
  <c r="G18" i="21"/>
  <c r="G17" i="21"/>
  <c r="G16" i="21"/>
  <c r="G15" i="21"/>
  <c r="G14" i="21"/>
  <c r="G12" i="21"/>
  <c r="G11" i="21"/>
  <c r="G10" i="21"/>
  <c r="G9" i="21"/>
  <c r="D21" i="19" l="1"/>
  <c r="D47" i="19"/>
  <c r="O46" i="19" l="1"/>
  <c r="C46" i="19" s="1"/>
  <c r="O42" i="19"/>
  <c r="O40" i="19"/>
  <c r="C40" i="19" s="1"/>
  <c r="O39" i="19"/>
  <c r="C39" i="19" s="1"/>
  <c r="O37" i="19"/>
  <c r="C37" i="19" s="1"/>
  <c r="O35" i="19"/>
  <c r="O34" i="19"/>
  <c r="C34" i="19" s="1"/>
  <c r="N49" i="19"/>
  <c r="N48" i="19"/>
  <c r="N47" i="19"/>
  <c r="I282" i="3" s="1"/>
  <c r="N43" i="19"/>
  <c r="N41" i="19"/>
  <c r="N38" i="19"/>
  <c r="N36" i="19"/>
  <c r="N35" i="19"/>
  <c r="N33" i="19"/>
  <c r="N32" i="19"/>
  <c r="N31" i="19"/>
  <c r="N46" i="18"/>
  <c r="D46" i="18" s="1"/>
  <c r="N42" i="18"/>
  <c r="N40" i="18"/>
  <c r="D40" i="18" s="1"/>
  <c r="N39" i="18"/>
  <c r="N37" i="18"/>
  <c r="D37" i="18" s="1"/>
  <c r="N35" i="18"/>
  <c r="C35" i="18" s="1"/>
  <c r="N34" i="18"/>
  <c r="E34" i="18" s="1"/>
  <c r="M48" i="18"/>
  <c r="F47" i="18"/>
  <c r="M47" i="18" s="1"/>
  <c r="M43" i="18"/>
  <c r="G42" i="18"/>
  <c r="M42" i="18" s="1"/>
  <c r="F42" i="18"/>
  <c r="M41" i="18"/>
  <c r="M38" i="18"/>
  <c r="M36" i="18"/>
  <c r="M33" i="18"/>
  <c r="M32" i="18"/>
  <c r="M31" i="18"/>
  <c r="N44" i="17"/>
  <c r="D44" i="17" s="1"/>
  <c r="N40" i="17"/>
  <c r="N38" i="17"/>
  <c r="E38" i="17" s="1"/>
  <c r="N37" i="17"/>
  <c r="B37" i="17" s="1"/>
  <c r="N35" i="17"/>
  <c r="D35" i="17" s="1"/>
  <c r="N33" i="17"/>
  <c r="D33" i="17" s="1"/>
  <c r="N32" i="17"/>
  <c r="F32" i="17" s="1"/>
  <c r="M41" i="17"/>
  <c r="M40" i="17"/>
  <c r="M39" i="17"/>
  <c r="M36" i="17"/>
  <c r="M34" i="17"/>
  <c r="M30" i="17"/>
  <c r="M29" i="17"/>
  <c r="M44" i="16"/>
  <c r="D44" i="16" s="1"/>
  <c r="M40" i="16"/>
  <c r="M38" i="16"/>
  <c r="D38" i="16" s="1"/>
  <c r="M37" i="16"/>
  <c r="F37" i="16" s="1"/>
  <c r="M35" i="16"/>
  <c r="D35" i="16" s="1"/>
  <c r="M33" i="16"/>
  <c r="F33" i="16" s="1"/>
  <c r="M32" i="16"/>
  <c r="B32" i="16" s="1"/>
  <c r="L41" i="16"/>
  <c r="L40" i="16"/>
  <c r="F40" i="16"/>
  <c r="L39" i="16"/>
  <c r="L36" i="16"/>
  <c r="L34" i="16"/>
  <c r="L31" i="16"/>
  <c r="L30" i="16"/>
  <c r="L29" i="16"/>
  <c r="I8" i="21"/>
  <c r="F39" i="18" l="1"/>
  <c r="N49" i="18"/>
  <c r="L34" i="18"/>
  <c r="B34" i="18"/>
  <c r="H34" i="18"/>
  <c r="J37" i="18"/>
  <c r="E37" i="18"/>
  <c r="C40" i="18"/>
  <c r="H46" i="18"/>
  <c r="B46" i="18"/>
  <c r="K37" i="18"/>
  <c r="J46" i="18"/>
  <c r="C46" i="18"/>
  <c r="J35" i="18"/>
  <c r="D34" i="18"/>
  <c r="I37" i="18"/>
  <c r="C37" i="18"/>
  <c r="L46" i="18"/>
  <c r="G46" i="18"/>
  <c r="F35" i="18"/>
  <c r="B37" i="18"/>
  <c r="K40" i="18"/>
  <c r="K46" i="18"/>
  <c r="E46" i="18"/>
  <c r="C44" i="19"/>
  <c r="C50" i="19" s="1"/>
  <c r="B34" i="19"/>
  <c r="J34" i="19"/>
  <c r="F34" i="19"/>
  <c r="B37" i="19"/>
  <c r="J37" i="19"/>
  <c r="F37" i="19"/>
  <c r="B39" i="19"/>
  <c r="J39" i="19"/>
  <c r="F39" i="19"/>
  <c r="B40" i="19"/>
  <c r="J40" i="19"/>
  <c r="F40" i="19"/>
  <c r="B46" i="19"/>
  <c r="J46" i="19"/>
  <c r="F46" i="19"/>
  <c r="M34" i="19"/>
  <c r="I34" i="19"/>
  <c r="E34" i="19"/>
  <c r="M37" i="19"/>
  <c r="I37" i="19"/>
  <c r="E37" i="19"/>
  <c r="M39" i="19"/>
  <c r="I39" i="19"/>
  <c r="E39" i="19"/>
  <c r="M40" i="19"/>
  <c r="I40" i="19"/>
  <c r="E40" i="19"/>
  <c r="M46" i="19"/>
  <c r="I46" i="19"/>
  <c r="E46" i="19"/>
  <c r="L34" i="19"/>
  <c r="H34" i="19"/>
  <c r="D34" i="19"/>
  <c r="L37" i="19"/>
  <c r="H37" i="19"/>
  <c r="D37" i="19"/>
  <c r="L39" i="19"/>
  <c r="H39" i="19"/>
  <c r="D39" i="19"/>
  <c r="L40" i="19"/>
  <c r="H40" i="19"/>
  <c r="D40" i="19"/>
  <c r="L46" i="19"/>
  <c r="H46" i="19"/>
  <c r="D46" i="19"/>
  <c r="K34" i="19"/>
  <c r="G34" i="19"/>
  <c r="K37" i="19"/>
  <c r="G37" i="19"/>
  <c r="K39" i="19"/>
  <c r="G39" i="19"/>
  <c r="K40" i="19"/>
  <c r="G40" i="19"/>
  <c r="K46" i="19"/>
  <c r="G46" i="19"/>
  <c r="B35" i="18"/>
  <c r="I35" i="18"/>
  <c r="E35" i="18"/>
  <c r="K34" i="18"/>
  <c r="C34" i="18"/>
  <c r="B39" i="18"/>
  <c r="J40" i="18"/>
  <c r="F40" i="18"/>
  <c r="L39" i="18"/>
  <c r="H39" i="18"/>
  <c r="D39" i="18"/>
  <c r="I39" i="18"/>
  <c r="L35" i="18"/>
  <c r="H35" i="18"/>
  <c r="D35" i="18"/>
  <c r="J34" i="18"/>
  <c r="B40" i="18"/>
  <c r="I40" i="18"/>
  <c r="E40" i="18"/>
  <c r="K39" i="18"/>
  <c r="G39" i="18"/>
  <c r="K35" i="18"/>
  <c r="G35" i="18"/>
  <c r="I34" i="18"/>
  <c r="L37" i="18"/>
  <c r="H37" i="18"/>
  <c r="L40" i="18"/>
  <c r="H40" i="18"/>
  <c r="J39" i="18"/>
  <c r="F46" i="18"/>
  <c r="I46" i="18"/>
  <c r="B32" i="17"/>
  <c r="I32" i="17"/>
  <c r="E32" i="17"/>
  <c r="L35" i="17"/>
  <c r="H35" i="17"/>
  <c r="C35" i="17"/>
  <c r="K33" i="17"/>
  <c r="G33" i="17"/>
  <c r="C33" i="17"/>
  <c r="J37" i="17"/>
  <c r="F37" i="17"/>
  <c r="G38" i="17"/>
  <c r="I38" i="17"/>
  <c r="D38" i="17"/>
  <c r="L44" i="17"/>
  <c r="H44" i="17"/>
  <c r="C44" i="17"/>
  <c r="L32" i="17"/>
  <c r="H32" i="17"/>
  <c r="D32" i="17"/>
  <c r="K35" i="17"/>
  <c r="F35" i="17"/>
  <c r="B35" i="17"/>
  <c r="J33" i="17"/>
  <c r="F33" i="17"/>
  <c r="C37" i="17"/>
  <c r="I37" i="17"/>
  <c r="E37" i="17"/>
  <c r="L38" i="17"/>
  <c r="H38" i="17"/>
  <c r="C38" i="17"/>
  <c r="K44" i="17"/>
  <c r="G44" i="17"/>
  <c r="B44" i="17"/>
  <c r="K32" i="17"/>
  <c r="C32" i="17"/>
  <c r="J35" i="17"/>
  <c r="E35" i="17"/>
  <c r="B33" i="17"/>
  <c r="I33" i="17"/>
  <c r="E33" i="17"/>
  <c r="L37" i="17"/>
  <c r="H37" i="17"/>
  <c r="D37" i="17"/>
  <c r="K38" i="17"/>
  <c r="F38" i="17"/>
  <c r="B38" i="17"/>
  <c r="J44" i="17"/>
  <c r="E44" i="17"/>
  <c r="J32" i="17"/>
  <c r="G35" i="17"/>
  <c r="I35" i="17"/>
  <c r="L33" i="17"/>
  <c r="H33" i="17"/>
  <c r="K37" i="17"/>
  <c r="G37" i="17"/>
  <c r="J38" i="17"/>
  <c r="F44" i="17"/>
  <c r="I44" i="17"/>
  <c r="H32" i="16"/>
  <c r="H38" i="16"/>
  <c r="D32" i="16"/>
  <c r="C38" i="16"/>
  <c r="I33" i="16"/>
  <c r="I37" i="16"/>
  <c r="E38" i="16"/>
  <c r="E44" i="16"/>
  <c r="C44" i="16"/>
  <c r="J35" i="16"/>
  <c r="K32" i="16"/>
  <c r="G32" i="16"/>
  <c r="E33" i="16"/>
  <c r="H33" i="16"/>
  <c r="K38" i="16"/>
  <c r="G38" i="16"/>
  <c r="B38" i="16"/>
  <c r="K44" i="16"/>
  <c r="G44" i="16"/>
  <c r="B44" i="16"/>
  <c r="K35" i="16"/>
  <c r="H44" i="16"/>
  <c r="K37" i="16"/>
  <c r="G37" i="16"/>
  <c r="C37" i="16"/>
  <c r="I35" i="16"/>
  <c r="J32" i="16"/>
  <c r="K33" i="16"/>
  <c r="G33" i="16"/>
  <c r="J38" i="16"/>
  <c r="B35" i="16"/>
  <c r="J44" i="16"/>
  <c r="F44" i="16"/>
  <c r="G35" i="16"/>
  <c r="J37" i="16"/>
  <c r="H35" i="16"/>
  <c r="I32" i="16"/>
  <c r="J33" i="16"/>
  <c r="I38" i="16"/>
  <c r="I44" i="16"/>
  <c r="N37" i="19"/>
  <c r="N42" i="19"/>
  <c r="M31" i="17"/>
  <c r="I49" i="18" l="1"/>
  <c r="H49" i="18"/>
  <c r="F42" i="17"/>
  <c r="F46" i="17" s="1"/>
  <c r="M46" i="18"/>
  <c r="K44" i="18"/>
  <c r="K50" i="18" s="1"/>
  <c r="D44" i="19"/>
  <c r="D50" i="19" s="1"/>
  <c r="N46" i="19"/>
  <c r="B42" i="17"/>
  <c r="B46" i="17" s="1"/>
  <c r="H44" i="18"/>
  <c r="H50" i="18" s="1"/>
  <c r="D42" i="17"/>
  <c r="D46" i="17" s="1"/>
  <c r="I44" i="18"/>
  <c r="I50" i="18" s="1"/>
  <c r="I42" i="16"/>
  <c r="I46" i="16" s="1"/>
  <c r="H42" i="17"/>
  <c r="H46" i="17" s="1"/>
  <c r="M35" i="17"/>
  <c r="D44" i="18"/>
  <c r="D50" i="18" s="1"/>
  <c r="G44" i="19"/>
  <c r="G50" i="19" s="1"/>
  <c r="N34" i="19"/>
  <c r="B44" i="19"/>
  <c r="B50" i="19" s="1"/>
  <c r="I42" i="17"/>
  <c r="C42" i="17"/>
  <c r="C46" i="17" s="1"/>
  <c r="L44" i="18"/>
  <c r="L50" i="18" s="1"/>
  <c r="B44" i="18"/>
  <c r="B50" i="18" s="1"/>
  <c r="M35" i="18"/>
  <c r="H44" i="19"/>
  <c r="H50" i="19" s="1"/>
  <c r="L44" i="19"/>
  <c r="L50" i="19" s="1"/>
  <c r="I44" i="19"/>
  <c r="I50" i="19" s="1"/>
  <c r="K42" i="16"/>
  <c r="K46" i="16" s="1"/>
  <c r="M38" i="17"/>
  <c r="N39" i="19"/>
  <c r="E44" i="19"/>
  <c r="E50" i="19" s="1"/>
  <c r="N40" i="19"/>
  <c r="J44" i="19"/>
  <c r="J50" i="19" s="1"/>
  <c r="K44" i="19"/>
  <c r="K50" i="19" s="1"/>
  <c r="M44" i="19"/>
  <c r="M50" i="19" s="1"/>
  <c r="F44" i="19"/>
  <c r="F50" i="19" s="1"/>
  <c r="J44" i="18"/>
  <c r="J50" i="18" s="1"/>
  <c r="K42" i="17"/>
  <c r="K46" i="17" s="1"/>
  <c r="I46" i="17"/>
  <c r="M37" i="17"/>
  <c r="J42" i="17"/>
  <c r="J46" i="17" s="1"/>
  <c r="E42" i="17"/>
  <c r="E46" i="17" s="1"/>
  <c r="M44" i="17"/>
  <c r="L42" i="17"/>
  <c r="L46" i="17" s="1"/>
  <c r="M33" i="17"/>
  <c r="J42" i="16"/>
  <c r="J46" i="16" s="1"/>
  <c r="G42" i="16"/>
  <c r="G46" i="16" s="1"/>
  <c r="L44" i="16"/>
  <c r="L33" i="16"/>
  <c r="N44" i="19" l="1"/>
  <c r="N50" i="19" s="1"/>
  <c r="M226" i="4"/>
  <c r="N226" i="4"/>
  <c r="O226" i="4"/>
  <c r="P226" i="4"/>
  <c r="Q226" i="4"/>
  <c r="R226" i="4"/>
  <c r="S226" i="4"/>
  <c r="W226" i="4"/>
  <c r="Y226" i="4"/>
  <c r="L226" i="4"/>
  <c r="G226" i="4"/>
  <c r="H226" i="4"/>
  <c r="I226" i="4"/>
  <c r="J226" i="4"/>
  <c r="K226" i="4"/>
  <c r="S37" i="20" l="1"/>
  <c r="F37" i="20" s="1"/>
  <c r="S38" i="20"/>
  <c r="S40" i="20"/>
  <c r="S42" i="20"/>
  <c r="S43" i="20"/>
  <c r="S44" i="20"/>
  <c r="S45" i="20"/>
  <c r="F45" i="20" s="1"/>
  <c r="R45" i="20" s="1"/>
  <c r="S46" i="20"/>
  <c r="F46" i="20" s="1"/>
  <c r="R46" i="20" s="1"/>
  <c r="S48" i="20"/>
  <c r="S36" i="20"/>
  <c r="D36" i="20" s="1"/>
  <c r="R52" i="20"/>
  <c r="Q50" i="20"/>
  <c r="Q54" i="20" s="1"/>
  <c r="H50" i="20"/>
  <c r="H54" i="20" s="1"/>
  <c r="G50" i="20"/>
  <c r="R49" i="20"/>
  <c r="R48" i="20"/>
  <c r="O48" i="20"/>
  <c r="J48" i="20"/>
  <c r="R47" i="20"/>
  <c r="R42" i="20"/>
  <c r="R41" i="20"/>
  <c r="R39" i="20"/>
  <c r="R35" i="20"/>
  <c r="R34" i="20"/>
  <c r="G54" i="20" l="1"/>
  <c r="I13" i="21"/>
  <c r="M43" i="20"/>
  <c r="M50" i="20" s="1"/>
  <c r="F43" i="20"/>
  <c r="L43" i="20"/>
  <c r="L50" i="20" s="1"/>
  <c r="E43" i="20"/>
  <c r="E50" i="20" s="1"/>
  <c r="O43" i="20"/>
  <c r="J43" i="20"/>
  <c r="C43" i="20"/>
  <c r="P43" i="20"/>
  <c r="N43" i="20"/>
  <c r="I43" i="20"/>
  <c r="B36" i="20"/>
  <c r="B50" i="20" s="1"/>
  <c r="K40" i="20"/>
  <c r="K50" i="20" s="1"/>
  <c r="D40" i="20"/>
  <c r="J40" i="20"/>
  <c r="P40" i="20"/>
  <c r="I40" i="20"/>
  <c r="N40" i="20"/>
  <c r="F40" i="20"/>
  <c r="R37" i="20"/>
  <c r="O36" i="20"/>
  <c r="P36" i="20"/>
  <c r="N36" i="20"/>
  <c r="J36" i="20"/>
  <c r="I44" i="20"/>
  <c r="F44" i="20"/>
  <c r="N44" i="20"/>
  <c r="J44" i="20"/>
  <c r="J38" i="20"/>
  <c r="I38" i="20"/>
  <c r="I36" i="20"/>
  <c r="D50" i="20"/>
  <c r="R33" i="20"/>
  <c r="R36" i="20" l="1"/>
  <c r="F50" i="20"/>
  <c r="F54" i="20" s="1"/>
  <c r="I50" i="20"/>
  <c r="I54" i="20" s="1"/>
  <c r="B54" i="20"/>
  <c r="I9" i="21"/>
  <c r="R43" i="20"/>
  <c r="L54" i="20"/>
  <c r="I17" i="21"/>
  <c r="E54" i="20"/>
  <c r="I12" i="21"/>
  <c r="J50" i="20"/>
  <c r="D54" i="20"/>
  <c r="I11" i="21"/>
  <c r="K54" i="20"/>
  <c r="I16" i="21"/>
  <c r="R38" i="20"/>
  <c r="M54" i="20"/>
  <c r="I18" i="21"/>
  <c r="N50" i="20"/>
  <c r="P50" i="20"/>
  <c r="R40" i="20"/>
  <c r="R44" i="20"/>
  <c r="C50" i="20"/>
  <c r="O50" i="20"/>
  <c r="D12" i="20"/>
  <c r="D8" i="20"/>
  <c r="D11" i="19"/>
  <c r="D8" i="19"/>
  <c r="C11" i="16"/>
  <c r="C35" i="16" s="1"/>
  <c r="C8" i="16"/>
  <c r="C32" i="16" s="1"/>
  <c r="I14" i="21" l="1"/>
  <c r="R50" i="20"/>
  <c r="R54" i="20" s="1"/>
  <c r="O54" i="20"/>
  <c r="I20" i="21"/>
  <c r="P54" i="20"/>
  <c r="I21" i="21"/>
  <c r="C54" i="20"/>
  <c r="I10" i="21"/>
  <c r="N54" i="20"/>
  <c r="I19" i="21"/>
  <c r="J54" i="20"/>
  <c r="I15" i="21"/>
  <c r="C42" i="16"/>
  <c r="C46" i="16" s="1"/>
  <c r="I23" i="21" l="1"/>
  <c r="I24" i="21" s="1"/>
  <c r="N5" i="19"/>
  <c r="N6" i="19"/>
  <c r="N7" i="19"/>
  <c r="N8" i="19"/>
  <c r="N9" i="19"/>
  <c r="N10" i="19"/>
  <c r="N11" i="19"/>
  <c r="N12" i="19"/>
  <c r="N13" i="19"/>
  <c r="N14" i="19"/>
  <c r="N15" i="19"/>
  <c r="N16" i="19"/>
  <c r="N17" i="19"/>
  <c r="B18" i="19"/>
  <c r="B24" i="19" s="1"/>
  <c r="C18" i="19"/>
  <c r="C24" i="19" s="1"/>
  <c r="E18" i="19"/>
  <c r="E24" i="19" s="1"/>
  <c r="F18" i="19"/>
  <c r="F24" i="19" s="1"/>
  <c r="G18" i="19"/>
  <c r="G24" i="19" s="1"/>
  <c r="H18" i="19"/>
  <c r="I18" i="19"/>
  <c r="J18" i="19"/>
  <c r="K18" i="19"/>
  <c r="K24" i="19" s="1"/>
  <c r="L18" i="19"/>
  <c r="L24" i="19" s="1"/>
  <c r="M18" i="19"/>
  <c r="N20" i="19"/>
  <c r="N21" i="19"/>
  <c r="N22" i="19"/>
  <c r="N23" i="19"/>
  <c r="I290" i="3" s="1"/>
  <c r="H24" i="19"/>
  <c r="I24" i="19"/>
  <c r="J24" i="19"/>
  <c r="M24" i="19"/>
  <c r="N18" i="19" l="1"/>
  <c r="N24" i="19" s="1"/>
  <c r="D18" i="19"/>
  <c r="D24" i="19" s="1"/>
  <c r="I287" i="3"/>
  <c r="I113" i="3" l="1"/>
  <c r="I112" i="3"/>
  <c r="I111" i="3"/>
  <c r="L111" i="3"/>
  <c r="L112" i="3"/>
  <c r="L113" i="3"/>
  <c r="G111" i="3"/>
  <c r="H111" i="3" s="1"/>
  <c r="J111" i="3" s="1"/>
  <c r="G112" i="3"/>
  <c r="H112" i="3" s="1"/>
  <c r="G113" i="3"/>
  <c r="H113" i="3" s="1"/>
  <c r="I4" i="3"/>
  <c r="I264" i="3"/>
  <c r="I254" i="3"/>
  <c r="I118" i="3"/>
  <c r="I29" i="2"/>
  <c r="I153" i="2"/>
  <c r="F16" i="18"/>
  <c r="M22" i="18"/>
  <c r="M21" i="18"/>
  <c r="A236" i="3"/>
  <c r="A237" i="3"/>
  <c r="A238" i="3"/>
  <c r="A239" i="3"/>
  <c r="A240" i="3"/>
  <c r="A241" i="3"/>
  <c r="A242" i="3"/>
  <c r="A243" i="3"/>
  <c r="A244" i="3"/>
  <c r="A245" i="3"/>
  <c r="A246" i="3"/>
  <c r="B235" i="3"/>
  <c r="C235" i="3"/>
  <c r="E235" i="3"/>
  <c r="F235" i="3"/>
  <c r="B236" i="3"/>
  <c r="C236" i="3"/>
  <c r="E236" i="3"/>
  <c r="F236" i="3"/>
  <c r="B237" i="3"/>
  <c r="C237" i="3"/>
  <c r="E237" i="3"/>
  <c r="F237" i="3"/>
  <c r="B238" i="3"/>
  <c r="C238" i="3"/>
  <c r="E238" i="3"/>
  <c r="F238" i="3"/>
  <c r="B239" i="3"/>
  <c r="C239" i="3"/>
  <c r="E239" i="3"/>
  <c r="F239" i="3"/>
  <c r="B240" i="3"/>
  <c r="C240" i="3"/>
  <c r="E240" i="3"/>
  <c r="F240" i="3"/>
  <c r="B241" i="3"/>
  <c r="C241" i="3"/>
  <c r="E241" i="3"/>
  <c r="F241" i="3"/>
  <c r="B242" i="3"/>
  <c r="C242" i="3"/>
  <c r="E242" i="3"/>
  <c r="F242" i="3"/>
  <c r="B243" i="3"/>
  <c r="C243" i="3"/>
  <c r="E243" i="3"/>
  <c r="F243" i="3"/>
  <c r="B244" i="3"/>
  <c r="C244" i="3"/>
  <c r="E244" i="3"/>
  <c r="F244" i="3"/>
  <c r="A235" i="3"/>
  <c r="K235" i="3"/>
  <c r="L235" i="3" s="1"/>
  <c r="K236" i="3"/>
  <c r="L236" i="3" s="1"/>
  <c r="K237" i="3"/>
  <c r="L237" i="3" s="1"/>
  <c r="K238" i="3"/>
  <c r="L238" i="3" s="1"/>
  <c r="K239" i="3"/>
  <c r="L239" i="3" s="1"/>
  <c r="K240" i="3"/>
  <c r="L240" i="3" s="1"/>
  <c r="K241" i="3"/>
  <c r="L241" i="3" s="1"/>
  <c r="K242" i="3"/>
  <c r="L242" i="3" s="1"/>
  <c r="K243" i="3"/>
  <c r="L243" i="3" s="1"/>
  <c r="K244" i="3"/>
  <c r="L244" i="3" s="1"/>
  <c r="K245" i="3"/>
  <c r="L245" i="3" s="1"/>
  <c r="K246" i="3"/>
  <c r="L246" i="3" s="1"/>
  <c r="I233" i="3"/>
  <c r="B234" i="3"/>
  <c r="C234" i="3"/>
  <c r="E234" i="3"/>
  <c r="F234" i="3"/>
  <c r="K234" i="3"/>
  <c r="L234" i="3" s="1"/>
  <c r="A234" i="3"/>
  <c r="B245" i="3"/>
  <c r="C245" i="3"/>
  <c r="E245" i="3"/>
  <c r="F245" i="3"/>
  <c r="B246" i="3"/>
  <c r="C246" i="3"/>
  <c r="E246" i="3"/>
  <c r="F246" i="3"/>
  <c r="L280" i="2"/>
  <c r="G280" i="2"/>
  <c r="H280" i="2" s="1"/>
  <c r="H246" i="3" s="1"/>
  <c r="L279" i="2"/>
  <c r="G279" i="2"/>
  <c r="H279" i="2" s="1"/>
  <c r="H245" i="3" s="1"/>
  <c r="L278" i="2"/>
  <c r="G278" i="2"/>
  <c r="H278" i="2" s="1"/>
  <c r="L277" i="2"/>
  <c r="G277" i="2"/>
  <c r="H277" i="2" s="1"/>
  <c r="L276" i="2"/>
  <c r="G276" i="2"/>
  <c r="H276" i="2" s="1"/>
  <c r="L275" i="2"/>
  <c r="G275" i="2"/>
  <c r="H275" i="2" s="1"/>
  <c r="L274" i="2"/>
  <c r="G274" i="2"/>
  <c r="H274" i="2" s="1"/>
  <c r="L273" i="2"/>
  <c r="G273" i="2"/>
  <c r="H273" i="2" s="1"/>
  <c r="L272" i="2"/>
  <c r="G272" i="2"/>
  <c r="H272" i="2" s="1"/>
  <c r="L271" i="2"/>
  <c r="G271" i="2"/>
  <c r="H271" i="2" s="1"/>
  <c r="L270" i="2"/>
  <c r="G270" i="2"/>
  <c r="H270" i="2" s="1"/>
  <c r="F151" i="2"/>
  <c r="W199" i="4"/>
  <c r="R24" i="20"/>
  <c r="X186" i="4"/>
  <c r="X187" i="4"/>
  <c r="X188" i="4"/>
  <c r="X189" i="4"/>
  <c r="X190" i="4"/>
  <c r="X191" i="4"/>
  <c r="G246" i="3" l="1"/>
  <c r="J112" i="3"/>
  <c r="M112" i="3"/>
  <c r="J113" i="3"/>
  <c r="M245" i="3"/>
  <c r="G245" i="3"/>
  <c r="M246" i="3"/>
  <c r="M111" i="3"/>
  <c r="N111" i="3"/>
  <c r="N113" i="3"/>
  <c r="M113" i="3"/>
  <c r="N112" i="3"/>
  <c r="M279" i="2"/>
  <c r="M272" i="2"/>
  <c r="M273" i="2"/>
  <c r="M275" i="2"/>
  <c r="M278" i="2"/>
  <c r="M277" i="2"/>
  <c r="M270" i="2"/>
  <c r="M271" i="2"/>
  <c r="M274" i="2"/>
  <c r="M276" i="2"/>
  <c r="M280" i="2"/>
  <c r="O112" i="3" l="1"/>
  <c r="O113" i="3"/>
  <c r="O111" i="3"/>
  <c r="L20" i="16" l="1"/>
  <c r="K18" i="16"/>
  <c r="K22" i="16" s="1"/>
  <c r="J18" i="16"/>
  <c r="J22" i="16" s="1"/>
  <c r="I18" i="16"/>
  <c r="I22" i="16" s="1"/>
  <c r="G18" i="16"/>
  <c r="G22" i="16" s="1"/>
  <c r="F17" i="16"/>
  <c r="L17" i="16" s="1"/>
  <c r="I148" i="2" s="1"/>
  <c r="F16" i="16"/>
  <c r="L16" i="16" s="1"/>
  <c r="I147" i="2" s="1"/>
  <c r="F15" i="16"/>
  <c r="L15" i="16" s="1"/>
  <c r="I146" i="2" s="1"/>
  <c r="F14" i="16"/>
  <c r="H13" i="16"/>
  <c r="E13" i="16"/>
  <c r="E37" i="16" s="1"/>
  <c r="D13" i="16"/>
  <c r="B13" i="16"/>
  <c r="F12" i="16"/>
  <c r="L12" i="16" s="1"/>
  <c r="I143" i="2" s="1"/>
  <c r="F11" i="16"/>
  <c r="F35" i="16" s="1"/>
  <c r="E11" i="16"/>
  <c r="E35" i="16" s="1"/>
  <c r="F10" i="16"/>
  <c r="L10" i="16" s="1"/>
  <c r="I141" i="2" s="1"/>
  <c r="L9" i="16"/>
  <c r="I140" i="2" s="1"/>
  <c r="F8" i="16"/>
  <c r="F32" i="16" s="1"/>
  <c r="E8" i="16"/>
  <c r="E32" i="16" s="1"/>
  <c r="C18" i="16"/>
  <c r="C22" i="16" s="1"/>
  <c r="F7" i="16"/>
  <c r="E7" i="16"/>
  <c r="L6" i="16"/>
  <c r="I137" i="2" s="1"/>
  <c r="F5" i="16"/>
  <c r="L5" i="16" s="1"/>
  <c r="I136" i="2" s="1"/>
  <c r="M20" i="17"/>
  <c r="L18" i="17"/>
  <c r="L22" i="17" s="1"/>
  <c r="K18" i="17"/>
  <c r="K22" i="17" s="1"/>
  <c r="J18" i="17"/>
  <c r="J22" i="17" s="1"/>
  <c r="I18" i="17"/>
  <c r="I22" i="17" s="1"/>
  <c r="H18" i="17"/>
  <c r="H22" i="17" s="1"/>
  <c r="F18" i="17"/>
  <c r="F22" i="17" s="1"/>
  <c r="E18" i="17"/>
  <c r="E22" i="17" s="1"/>
  <c r="D18" i="17"/>
  <c r="D22" i="17" s="1"/>
  <c r="C18" i="17"/>
  <c r="C22" i="17" s="1"/>
  <c r="B18" i="17"/>
  <c r="B22" i="17" s="1"/>
  <c r="M17" i="17"/>
  <c r="I280" i="2" s="1"/>
  <c r="M16" i="17"/>
  <c r="I279" i="2" s="1"/>
  <c r="M15" i="17"/>
  <c r="I278" i="2" s="1"/>
  <c r="M14" i="17"/>
  <c r="I277" i="2" s="1"/>
  <c r="M13" i="17"/>
  <c r="I276" i="2" s="1"/>
  <c r="M12" i="17"/>
  <c r="I275" i="2" s="1"/>
  <c r="M11" i="17"/>
  <c r="I274" i="2" s="1"/>
  <c r="M10" i="17"/>
  <c r="I273" i="2" s="1"/>
  <c r="M9" i="17"/>
  <c r="G8" i="17"/>
  <c r="G7" i="17"/>
  <c r="G18" i="17" s="1"/>
  <c r="G22" i="17" s="1"/>
  <c r="M6" i="17"/>
  <c r="M5" i="17"/>
  <c r="I270" i="2" s="1"/>
  <c r="M20" i="18"/>
  <c r="L18" i="18"/>
  <c r="L24" i="18" s="1"/>
  <c r="K18" i="18"/>
  <c r="K24" i="18" s="1"/>
  <c r="J18" i="18"/>
  <c r="J24" i="18" s="1"/>
  <c r="D18" i="18"/>
  <c r="D24" i="18" s="1"/>
  <c r="B18" i="18"/>
  <c r="B24" i="18" s="1"/>
  <c r="G17" i="18"/>
  <c r="M17" i="18" s="1"/>
  <c r="I246" i="3" s="1"/>
  <c r="G16" i="18"/>
  <c r="M16" i="18" s="1"/>
  <c r="I245" i="3" s="1"/>
  <c r="G15" i="18"/>
  <c r="M15" i="18" s="1"/>
  <c r="I244" i="3" s="1"/>
  <c r="N244" i="3" s="1"/>
  <c r="G14" i="18"/>
  <c r="I18" i="18"/>
  <c r="I24" i="18" s="1"/>
  <c r="H18" i="18"/>
  <c r="H24" i="18" s="1"/>
  <c r="E13" i="18"/>
  <c r="C13" i="18"/>
  <c r="C39" i="18" s="1"/>
  <c r="G12" i="18"/>
  <c r="M12" i="18" s="1"/>
  <c r="I241" i="3" s="1"/>
  <c r="N241" i="3" s="1"/>
  <c r="G11" i="18"/>
  <c r="G37" i="18" s="1"/>
  <c r="F11" i="18"/>
  <c r="G10" i="18"/>
  <c r="M10" i="18" s="1"/>
  <c r="I239" i="3" s="1"/>
  <c r="N239" i="3" s="1"/>
  <c r="M9" i="18"/>
  <c r="I238" i="3" s="1"/>
  <c r="N238" i="3" s="1"/>
  <c r="G8" i="18"/>
  <c r="G34" i="18" s="1"/>
  <c r="F8" i="18"/>
  <c r="F34" i="18" s="1"/>
  <c r="G7" i="18"/>
  <c r="F7" i="18"/>
  <c r="M6" i="18"/>
  <c r="I235" i="3" s="1"/>
  <c r="N235" i="3" s="1"/>
  <c r="G5" i="18"/>
  <c r="M5" i="18" s="1"/>
  <c r="I234" i="3" s="1"/>
  <c r="N234" i="3" s="1"/>
  <c r="Q22" i="20"/>
  <c r="Q26" i="20" s="1"/>
  <c r="P22" i="20"/>
  <c r="P26" i="20" s="1"/>
  <c r="N22" i="20"/>
  <c r="N26" i="20" s="1"/>
  <c r="M22" i="20"/>
  <c r="M26" i="20" s="1"/>
  <c r="L22" i="20"/>
  <c r="L26" i="20" s="1"/>
  <c r="H22" i="20"/>
  <c r="H26" i="20" s="1"/>
  <c r="G22" i="20"/>
  <c r="F22" i="20"/>
  <c r="F26" i="20" s="1"/>
  <c r="B22" i="20"/>
  <c r="B26" i="20" s="1"/>
  <c r="J21" i="20"/>
  <c r="R21" i="20" s="1"/>
  <c r="Y200" i="4" s="1"/>
  <c r="O20" i="20"/>
  <c r="O22" i="20" s="1"/>
  <c r="O26" i="20" s="1"/>
  <c r="J20" i="20"/>
  <c r="J19" i="20"/>
  <c r="R19" i="20" s="1"/>
  <c r="Y198" i="4" s="1"/>
  <c r="R18" i="20"/>
  <c r="Y197" i="4" s="1"/>
  <c r="R17" i="20"/>
  <c r="Y196" i="4" s="1"/>
  <c r="J16" i="20"/>
  <c r="R16" i="20" s="1"/>
  <c r="Y195" i="4" s="1"/>
  <c r="I15" i="20"/>
  <c r="E15" i="20"/>
  <c r="E22" i="20" s="1"/>
  <c r="E26" i="20" s="1"/>
  <c r="C15" i="20"/>
  <c r="C22" i="20" s="1"/>
  <c r="C26" i="20" s="1"/>
  <c r="R14" i="20"/>
  <c r="J13" i="20"/>
  <c r="K12" i="20"/>
  <c r="K22" i="20" s="1"/>
  <c r="K26" i="20" s="1"/>
  <c r="J12" i="20"/>
  <c r="I12" i="20"/>
  <c r="J11" i="20"/>
  <c r="R11" i="20" s="1"/>
  <c r="Y191" i="4" s="1"/>
  <c r="R10" i="20"/>
  <c r="Y190" i="4" s="1"/>
  <c r="R9" i="20"/>
  <c r="Y189" i="4" s="1"/>
  <c r="J8" i="20"/>
  <c r="I8" i="20"/>
  <c r="J7" i="20"/>
  <c r="I7" i="20"/>
  <c r="R6" i="20"/>
  <c r="Y186" i="4" s="1"/>
  <c r="J5" i="20"/>
  <c r="R5" i="20" s="1"/>
  <c r="Y185" i="4" s="1"/>
  <c r="G26" i="20" l="1"/>
  <c r="G13" i="21"/>
  <c r="C44" i="18"/>
  <c r="C50" i="18" s="1"/>
  <c r="M14" i="18"/>
  <c r="I243" i="3" s="1"/>
  <c r="N243" i="3" s="1"/>
  <c r="G40" i="18"/>
  <c r="M40" i="18" s="1"/>
  <c r="M34" i="18"/>
  <c r="M11" i="18"/>
  <c r="I240" i="3" s="1"/>
  <c r="N240" i="3" s="1"/>
  <c r="F37" i="18"/>
  <c r="M37" i="18" s="1"/>
  <c r="E18" i="18"/>
  <c r="E24" i="18" s="1"/>
  <c r="E39" i="18"/>
  <c r="E44" i="18" s="1"/>
  <c r="E50" i="18" s="1"/>
  <c r="M8" i="17"/>
  <c r="I272" i="2" s="1"/>
  <c r="J272" i="2" s="1"/>
  <c r="G32" i="17"/>
  <c r="L35" i="16"/>
  <c r="H18" i="16"/>
  <c r="H22" i="16" s="1"/>
  <c r="H37" i="16"/>
  <c r="H42" i="16" s="1"/>
  <c r="H46" i="16" s="1"/>
  <c r="B18" i="16"/>
  <c r="B22" i="16" s="1"/>
  <c r="B37" i="16"/>
  <c r="L14" i="16"/>
  <c r="I145" i="2" s="1"/>
  <c r="F38" i="16"/>
  <c r="L38" i="16" s="1"/>
  <c r="L32" i="16"/>
  <c r="E42" i="16"/>
  <c r="E46" i="16" s="1"/>
  <c r="D18" i="16"/>
  <c r="D22" i="16" s="1"/>
  <c r="D37" i="16"/>
  <c r="D42" i="16" s="1"/>
  <c r="D46" i="16" s="1"/>
  <c r="L7" i="16"/>
  <c r="I138" i="2" s="1"/>
  <c r="L11" i="16"/>
  <c r="I142" i="2" s="1"/>
  <c r="J273" i="2"/>
  <c r="N273" i="2"/>
  <c r="O273" i="2" s="1"/>
  <c r="P273" i="2" s="1"/>
  <c r="J277" i="2"/>
  <c r="N277" i="2"/>
  <c r="O277" i="2" s="1"/>
  <c r="P277" i="2" s="1"/>
  <c r="N276" i="2"/>
  <c r="O276" i="2" s="1"/>
  <c r="P276" i="2" s="1"/>
  <c r="J276" i="2"/>
  <c r="N274" i="2"/>
  <c r="O274" i="2" s="1"/>
  <c r="P274" i="2" s="1"/>
  <c r="J274" i="2"/>
  <c r="N278" i="2"/>
  <c r="O278" i="2" s="1"/>
  <c r="P278" i="2" s="1"/>
  <c r="J278" i="2"/>
  <c r="N270" i="2"/>
  <c r="O270" i="2" s="1"/>
  <c r="P270" i="2" s="1"/>
  <c r="J270" i="2"/>
  <c r="J280" i="2"/>
  <c r="N280" i="2"/>
  <c r="O280" i="2" s="1"/>
  <c r="P280" i="2" s="1"/>
  <c r="N272" i="2"/>
  <c r="O272" i="2" s="1"/>
  <c r="P272" i="2" s="1"/>
  <c r="N275" i="2"/>
  <c r="O275" i="2" s="1"/>
  <c r="P275" i="2" s="1"/>
  <c r="J275" i="2"/>
  <c r="N279" i="2"/>
  <c r="O279" i="2" s="1"/>
  <c r="P279" i="2" s="1"/>
  <c r="J279" i="2"/>
  <c r="M13" i="18"/>
  <c r="I242" i="3" s="1"/>
  <c r="N242" i="3" s="1"/>
  <c r="M8" i="18"/>
  <c r="I237" i="3" s="1"/>
  <c r="N237" i="3" s="1"/>
  <c r="J246" i="3"/>
  <c r="N246" i="3"/>
  <c r="O246" i="3" s="1"/>
  <c r="F18" i="18"/>
  <c r="F24" i="18" s="1"/>
  <c r="M7" i="18"/>
  <c r="I236" i="3" s="1"/>
  <c r="N236" i="3" s="1"/>
  <c r="C18" i="18"/>
  <c r="C24" i="18" s="1"/>
  <c r="J245" i="3"/>
  <c r="N245" i="3"/>
  <c r="O245" i="3" s="1"/>
  <c r="D22" i="20"/>
  <c r="D26" i="20" s="1"/>
  <c r="R12" i="20"/>
  <c r="Y192" i="4" s="1"/>
  <c r="J22" i="20"/>
  <c r="J26" i="20" s="1"/>
  <c r="R7" i="20"/>
  <c r="Y187" i="4" s="1"/>
  <c r="I22" i="20"/>
  <c r="I26" i="20" s="1"/>
  <c r="L13" i="16"/>
  <c r="I144" i="2" s="1"/>
  <c r="E18" i="16"/>
  <c r="E22" i="16" s="1"/>
  <c r="F18" i="16"/>
  <c r="F22" i="16" s="1"/>
  <c r="L8" i="16"/>
  <c r="M7" i="17"/>
  <c r="G18" i="18"/>
  <c r="G24" i="18" s="1"/>
  <c r="R15" i="20"/>
  <c r="Y194" i="4" s="1"/>
  <c r="R13" i="20"/>
  <c r="Y193" i="4" s="1"/>
  <c r="R20" i="20"/>
  <c r="Y199" i="4" s="1"/>
  <c r="R8" i="20"/>
  <c r="G44" i="18" l="1"/>
  <c r="G50" i="18" s="1"/>
  <c r="F44" i="18"/>
  <c r="F50" i="18" s="1"/>
  <c r="M39" i="18"/>
  <c r="M44" i="18" s="1"/>
  <c r="M50" i="18" s="1"/>
  <c r="M18" i="18"/>
  <c r="M24" i="18" s="1"/>
  <c r="G42" i="17"/>
  <c r="G46" i="17" s="1"/>
  <c r="M32" i="17"/>
  <c r="M42" i="17" s="1"/>
  <c r="M46" i="17" s="1"/>
  <c r="L37" i="16"/>
  <c r="L42" i="16" s="1"/>
  <c r="L46" i="16" s="1"/>
  <c r="B42" i="16"/>
  <c r="B46" i="16" s="1"/>
  <c r="F42" i="16"/>
  <c r="F46" i="16" s="1"/>
  <c r="L18" i="16"/>
  <c r="L22" i="16" s="1"/>
  <c r="I139" i="2"/>
  <c r="M18" i="17"/>
  <c r="M22" i="17" s="1"/>
  <c r="I271" i="2"/>
  <c r="R22" i="20"/>
  <c r="R26" i="20" s="1"/>
  <c r="Y188" i="4"/>
  <c r="Y201" i="4" s="1"/>
  <c r="J271" i="2" l="1"/>
  <c r="N271" i="2"/>
  <c r="O271" i="2" s="1"/>
  <c r="P271" i="2" s="1"/>
  <c r="J201" i="4"/>
  <c r="M201" i="4"/>
  <c r="P201" i="4"/>
  <c r="S201" i="4"/>
  <c r="F281" i="2"/>
  <c r="W361" i="4" l="1"/>
  <c r="W342" i="4"/>
  <c r="W349" i="4"/>
  <c r="Z186" i="4"/>
  <c r="Z187" i="4"/>
  <c r="Z188" i="4"/>
  <c r="Z189" i="4"/>
  <c r="Z190" i="4"/>
  <c r="Z191" i="4"/>
  <c r="AB186" i="4"/>
  <c r="AC186" i="4" s="1"/>
  <c r="AB187" i="4"/>
  <c r="AC187" i="4" s="1"/>
  <c r="AB188" i="4"/>
  <c r="AC188" i="4" s="1"/>
  <c r="AB189" i="4"/>
  <c r="AC189" i="4" s="1"/>
  <c r="AB190" i="4"/>
  <c r="AC190" i="4" s="1"/>
  <c r="AB191" i="4"/>
  <c r="AC191" i="4" s="1"/>
  <c r="AD191" i="4" l="1"/>
  <c r="AD190" i="4"/>
  <c r="AE190" i="4" s="1"/>
  <c r="AD189" i="4"/>
  <c r="AE189" i="4" s="1"/>
  <c r="AD186" i="4"/>
  <c r="AE186" i="4" s="1"/>
  <c r="AD188" i="4"/>
  <c r="AE188" i="4" s="1"/>
  <c r="AD187" i="4"/>
  <c r="AE187" i="4" s="1"/>
  <c r="AE191" i="4" l="1"/>
  <c r="L282" i="3" l="1"/>
  <c r="G282" i="3"/>
  <c r="H282" i="3" s="1"/>
  <c r="J282" i="3" s="1"/>
  <c r="M282" i="3" l="1"/>
  <c r="N282" i="3"/>
  <c r="O282" i="3" l="1"/>
  <c r="G261" i="3" l="1"/>
  <c r="H261" i="3" s="1"/>
  <c r="J261" i="3" s="1"/>
  <c r="G262" i="3"/>
  <c r="H262" i="3" s="1"/>
  <c r="J262" i="3" s="1"/>
  <c r="G263" i="3"/>
  <c r="H263" i="3" s="1"/>
  <c r="J263" i="3" s="1"/>
  <c r="G264" i="3"/>
  <c r="H264" i="3" s="1"/>
  <c r="G265" i="3"/>
  <c r="H265" i="3" s="1"/>
  <c r="J265" i="3" s="1"/>
  <c r="G266" i="3"/>
  <c r="H266" i="3" s="1"/>
  <c r="J266" i="3" s="1"/>
  <c r="G267" i="3"/>
  <c r="H267" i="3" s="1"/>
  <c r="J267" i="3" s="1"/>
  <c r="G268" i="3"/>
  <c r="H268" i="3" s="1"/>
  <c r="G269" i="3"/>
  <c r="H269" i="3" s="1"/>
  <c r="J269" i="3" s="1"/>
  <c r="G270" i="3"/>
  <c r="H270" i="3" s="1"/>
  <c r="G271" i="3"/>
  <c r="H271" i="3" s="1"/>
  <c r="G272" i="3"/>
  <c r="H272" i="3" s="1"/>
  <c r="G273" i="3"/>
  <c r="H273" i="3" s="1"/>
  <c r="J273" i="3" s="1"/>
  <c r="G274" i="3"/>
  <c r="H274" i="3" s="1"/>
  <c r="J274" i="3" s="1"/>
  <c r="G275" i="3"/>
  <c r="H275" i="3" s="1"/>
  <c r="G276" i="3"/>
  <c r="H276" i="3" s="1"/>
  <c r="J276" i="3" s="1"/>
  <c r="L261" i="3"/>
  <c r="N261" i="3" s="1"/>
  <c r="L262" i="3"/>
  <c r="N262" i="3" s="1"/>
  <c r="L263" i="3"/>
  <c r="N263" i="3" s="1"/>
  <c r="L264" i="3"/>
  <c r="L265" i="3"/>
  <c r="N265" i="3" s="1"/>
  <c r="L266" i="3"/>
  <c r="N266" i="3" s="1"/>
  <c r="L267" i="3"/>
  <c r="N267" i="3" s="1"/>
  <c r="L268" i="3"/>
  <c r="N268" i="3" s="1"/>
  <c r="L270" i="3"/>
  <c r="N270" i="3" s="1"/>
  <c r="L271" i="3"/>
  <c r="N271" i="3" s="1"/>
  <c r="L272" i="3"/>
  <c r="L273" i="3"/>
  <c r="L274" i="3"/>
  <c r="N274" i="3" s="1"/>
  <c r="L275" i="3"/>
  <c r="N275" i="3" s="1"/>
  <c r="L276" i="3"/>
  <c r="N276" i="3" s="1"/>
  <c r="N264" i="3" l="1"/>
  <c r="M273" i="3"/>
  <c r="M270" i="3"/>
  <c r="O270" i="3" s="1"/>
  <c r="M263" i="3"/>
  <c r="O263" i="3" s="1"/>
  <c r="M266" i="3"/>
  <c r="O266" i="3" s="1"/>
  <c r="N273" i="3"/>
  <c r="J271" i="3"/>
  <c r="M271" i="3"/>
  <c r="O271" i="3" s="1"/>
  <c r="J264" i="3"/>
  <c r="M264" i="3"/>
  <c r="J275" i="3"/>
  <c r="M275" i="3"/>
  <c r="O275" i="3" s="1"/>
  <c r="M268" i="3"/>
  <c r="O268" i="3" s="1"/>
  <c r="J268" i="3"/>
  <c r="J270" i="3"/>
  <c r="M262" i="3"/>
  <c r="O262" i="3" s="1"/>
  <c r="M274" i="3"/>
  <c r="O274" i="3" s="1"/>
  <c r="M267" i="3"/>
  <c r="O267" i="3" s="1"/>
  <c r="M276" i="3"/>
  <c r="O276" i="3" s="1"/>
  <c r="M272" i="3"/>
  <c r="M265" i="3"/>
  <c r="O265" i="3" s="1"/>
  <c r="M261" i="3"/>
  <c r="O261" i="3" s="1"/>
  <c r="O264" i="3" l="1"/>
  <c r="J272" i="3"/>
  <c r="N272" i="3"/>
  <c r="O272" i="3" s="1"/>
  <c r="O273" i="3"/>
  <c r="AB144" i="4"/>
  <c r="AB145" i="4"/>
  <c r="T145" i="4"/>
  <c r="U145" i="4" s="1"/>
  <c r="V145" i="4" s="1"/>
  <c r="X145" i="4" s="1"/>
  <c r="Z145" i="4" s="1"/>
  <c r="T144" i="4"/>
  <c r="U144" i="4" s="1"/>
  <c r="V144" i="4" s="1"/>
  <c r="X144" i="4" s="1"/>
  <c r="A114" i="3"/>
  <c r="B114" i="3"/>
  <c r="C114" i="3"/>
  <c r="D114" i="3"/>
  <c r="E114" i="3"/>
  <c r="H114" i="3" s="1"/>
  <c r="I114" i="3"/>
  <c r="K114" i="3"/>
  <c r="L114" i="3" s="1"/>
  <c r="A115" i="3"/>
  <c r="B115" i="3"/>
  <c r="C115" i="3"/>
  <c r="D115" i="3"/>
  <c r="E115" i="3"/>
  <c r="H115" i="3" s="1"/>
  <c r="I115" i="3"/>
  <c r="K115" i="3"/>
  <c r="L115" i="3" s="1"/>
  <c r="L149" i="2"/>
  <c r="L150" i="2"/>
  <c r="G150" i="2"/>
  <c r="H150" i="2" s="1"/>
  <c r="J150" i="2" s="1"/>
  <c r="G149" i="2"/>
  <c r="H149" i="2" s="1"/>
  <c r="J149" i="2" s="1"/>
  <c r="AD145" i="4" l="1"/>
  <c r="AD144" i="4"/>
  <c r="Z144" i="4"/>
  <c r="AC144" i="4"/>
  <c r="AC145" i="4"/>
  <c r="M150" i="2"/>
  <c r="N115" i="3"/>
  <c r="N114" i="3"/>
  <c r="M114" i="3"/>
  <c r="M115" i="3"/>
  <c r="J115" i="3"/>
  <c r="J114" i="3"/>
  <c r="M149" i="2"/>
  <c r="N150" i="2"/>
  <c r="N149" i="2"/>
  <c r="O149" i="2" s="1"/>
  <c r="P149" i="2" s="1"/>
  <c r="AE145" i="4" l="1"/>
  <c r="AE144" i="4"/>
  <c r="O150" i="2"/>
  <c r="P150" i="2" s="1"/>
  <c r="O115" i="3"/>
  <c r="O114" i="3"/>
  <c r="K233" i="3" l="1"/>
  <c r="G138" i="2"/>
  <c r="G236" i="3" s="1"/>
  <c r="L142" i="2"/>
  <c r="L143" i="2"/>
  <c r="L144" i="2"/>
  <c r="L145" i="2"/>
  <c r="N145" i="2" s="1"/>
  <c r="L146" i="2"/>
  <c r="L147" i="2"/>
  <c r="G147" i="2"/>
  <c r="H147" i="2" s="1"/>
  <c r="J147" i="2" s="1"/>
  <c r="G146" i="2"/>
  <c r="G145" i="2"/>
  <c r="G144" i="2"/>
  <c r="G143" i="2"/>
  <c r="G142" i="2"/>
  <c r="G141" i="2"/>
  <c r="G239" i="3" s="1"/>
  <c r="G140" i="2"/>
  <c r="G139" i="2"/>
  <c r="G237" i="3" s="1"/>
  <c r="G137" i="2"/>
  <c r="G136" i="2"/>
  <c r="H136" i="2" l="1"/>
  <c r="G234" i="3"/>
  <c r="H145" i="2"/>
  <c r="M145" i="2" s="1"/>
  <c r="O145" i="2" s="1"/>
  <c r="P145" i="2" s="1"/>
  <c r="G243" i="3"/>
  <c r="H137" i="2"/>
  <c r="G235" i="3"/>
  <c r="H142" i="2"/>
  <c r="G240" i="3"/>
  <c r="H146" i="2"/>
  <c r="G244" i="3"/>
  <c r="H143" i="2"/>
  <c r="M143" i="2" s="1"/>
  <c r="G241" i="3"/>
  <c r="H140" i="2"/>
  <c r="G238" i="3"/>
  <c r="H144" i="2"/>
  <c r="M144" i="2" s="1"/>
  <c r="G242" i="3"/>
  <c r="H138" i="2"/>
  <c r="H236" i="3" s="1"/>
  <c r="M147" i="2"/>
  <c r="M146" i="2"/>
  <c r="H141" i="2"/>
  <c r="N147" i="2"/>
  <c r="N143" i="2"/>
  <c r="N146" i="2"/>
  <c r="N144" i="2"/>
  <c r="N142" i="2"/>
  <c r="H139" i="2"/>
  <c r="J139" i="2" l="1"/>
  <c r="H237" i="3"/>
  <c r="J143" i="2"/>
  <c r="H241" i="3"/>
  <c r="J236" i="3"/>
  <c r="M236" i="3"/>
  <c r="O236" i="3" s="1"/>
  <c r="J144" i="2"/>
  <c r="H242" i="3"/>
  <c r="J142" i="2"/>
  <c r="H240" i="3"/>
  <c r="J145" i="2"/>
  <c r="H243" i="3"/>
  <c r="M142" i="2"/>
  <c r="J141" i="2"/>
  <c r="H239" i="3"/>
  <c r="J140" i="2"/>
  <c r="H238" i="3"/>
  <c r="J146" i="2"/>
  <c r="H244" i="3"/>
  <c r="J137" i="2"/>
  <c r="H235" i="3"/>
  <c r="J136" i="2"/>
  <c r="H234" i="3"/>
  <c r="O144" i="2"/>
  <c r="P144" i="2" s="1"/>
  <c r="O142" i="2"/>
  <c r="P142" i="2" s="1"/>
  <c r="O147" i="2"/>
  <c r="P147" i="2" s="1"/>
  <c r="J138" i="2"/>
  <c r="O146" i="2"/>
  <c r="P146" i="2" s="1"/>
  <c r="O143" i="2"/>
  <c r="P143" i="2" s="1"/>
  <c r="J243" i="3" l="1"/>
  <c r="M243" i="3"/>
  <c r="O243" i="3" s="1"/>
  <c r="M241" i="3"/>
  <c r="O241" i="3" s="1"/>
  <c r="J241" i="3"/>
  <c r="J234" i="3"/>
  <c r="M234" i="3"/>
  <c r="O234" i="3" s="1"/>
  <c r="M239" i="3"/>
  <c r="O239" i="3" s="1"/>
  <c r="J239" i="3"/>
  <c r="M237" i="3"/>
  <c r="O237" i="3" s="1"/>
  <c r="J237" i="3"/>
  <c r="J242" i="3"/>
  <c r="M242" i="3"/>
  <c r="O242" i="3" s="1"/>
  <c r="J244" i="3"/>
  <c r="M244" i="3"/>
  <c r="O244" i="3" s="1"/>
  <c r="J240" i="3"/>
  <c r="M240" i="3"/>
  <c r="O240" i="3" s="1"/>
  <c r="M235" i="3"/>
  <c r="O235" i="3" s="1"/>
  <c r="J235" i="3"/>
  <c r="J238" i="3"/>
  <c r="M238" i="3"/>
  <c r="O238" i="3" s="1"/>
  <c r="D24" i="3" l="1"/>
  <c r="G249" i="3" l="1"/>
  <c r="G148" i="3"/>
  <c r="G51" i="3"/>
  <c r="G20" i="2" l="1"/>
  <c r="H20" i="2" s="1"/>
  <c r="J20" i="2" s="1"/>
  <c r="G24" i="2"/>
  <c r="H24" i="2" s="1"/>
  <c r="J24" i="2" l="1"/>
  <c r="D152" i="3"/>
  <c r="D59" i="3"/>
  <c r="G291" i="2" l="1"/>
  <c r="H291" i="2" s="1"/>
  <c r="J291" i="2" s="1"/>
  <c r="T312" i="4" l="1"/>
  <c r="U312" i="4" s="1"/>
  <c r="V312" i="4" s="1"/>
  <c r="X312" i="4"/>
  <c r="Z312" i="4" s="1"/>
  <c r="T298" i="4"/>
  <c r="U298" i="4" s="1"/>
  <c r="V298" i="4" s="1"/>
  <c r="T247" i="4"/>
  <c r="U247" i="4" s="1"/>
  <c r="V247" i="4" s="1"/>
  <c r="X247" i="4"/>
  <c r="Z247" i="4" s="1"/>
  <c r="T238" i="4"/>
  <c r="U238" i="4" s="1"/>
  <c r="V238" i="4" s="1"/>
  <c r="T239" i="4"/>
  <c r="U239" i="4" s="1"/>
  <c r="V239" i="4" s="1"/>
  <c r="T208" i="4"/>
  <c r="U208" i="4" s="1"/>
  <c r="V208" i="4" s="1"/>
  <c r="X208" i="4"/>
  <c r="Z208" i="4" s="1"/>
  <c r="T209" i="4"/>
  <c r="U209" i="4" s="1"/>
  <c r="V209" i="4" s="1"/>
  <c r="X209" i="4"/>
  <c r="Z209" i="4" s="1"/>
  <c r="T129" i="4"/>
  <c r="U129" i="4" s="1"/>
  <c r="V129" i="4" s="1"/>
  <c r="X17" i="4"/>
  <c r="Z17" i="4" s="1"/>
  <c r="T17" i="4"/>
  <c r="U17" i="4" s="1"/>
  <c r="V17" i="4" s="1"/>
  <c r="T63" i="4"/>
  <c r="U63" i="4" s="1"/>
  <c r="V63" i="4" s="1"/>
  <c r="T64" i="4"/>
  <c r="U64" i="4" s="1"/>
  <c r="V64" i="4" s="1"/>
  <c r="X64" i="4" l="1"/>
  <c r="Z64" i="4" s="1"/>
  <c r="X239" i="4"/>
  <c r="Z239" i="4" s="1"/>
  <c r="X298" i="4"/>
  <c r="Z298" i="4" s="1"/>
  <c r="X238" i="4"/>
  <c r="Z238" i="4" s="1"/>
  <c r="X129" i="4"/>
  <c r="Z129" i="4" s="1"/>
  <c r="X63" i="4"/>
  <c r="Z63" i="4" s="1"/>
  <c r="M361" i="4" l="1"/>
  <c r="J361" i="4"/>
  <c r="I361" i="4"/>
  <c r="H361" i="4"/>
  <c r="G361" i="4"/>
  <c r="L361" i="4"/>
  <c r="K361" i="4"/>
  <c r="M349" i="4"/>
  <c r="L349" i="4"/>
  <c r="K349" i="4"/>
  <c r="J349" i="4"/>
  <c r="I349" i="4"/>
  <c r="H349" i="4"/>
  <c r="G349" i="4"/>
  <c r="M348" i="4"/>
  <c r="J348" i="4"/>
  <c r="M347" i="4"/>
  <c r="L347" i="4"/>
  <c r="K347" i="4"/>
  <c r="J347" i="4"/>
  <c r="I347" i="4"/>
  <c r="H347" i="4"/>
  <c r="G347" i="4"/>
  <c r="M346" i="4"/>
  <c r="L346" i="4"/>
  <c r="K346" i="4"/>
  <c r="J346" i="4"/>
  <c r="I346" i="4"/>
  <c r="H346" i="4"/>
  <c r="G346" i="4"/>
  <c r="M342" i="4"/>
  <c r="L342" i="4"/>
  <c r="K342" i="4"/>
  <c r="J342" i="4"/>
  <c r="I342" i="4"/>
  <c r="H342" i="4"/>
  <c r="G342" i="4"/>
  <c r="M227" i="4"/>
  <c r="L200" i="4"/>
  <c r="K200" i="4"/>
  <c r="I200" i="4"/>
  <c r="H200" i="4"/>
  <c r="L199" i="4"/>
  <c r="K199" i="4"/>
  <c r="I199" i="4"/>
  <c r="H199" i="4"/>
  <c r="L198" i="4"/>
  <c r="K198" i="4"/>
  <c r="I198" i="4"/>
  <c r="H198" i="4"/>
  <c r="L197" i="4"/>
  <c r="K197" i="4"/>
  <c r="I197" i="4"/>
  <c r="H197" i="4"/>
  <c r="L196" i="4"/>
  <c r="K196" i="4"/>
  <c r="I196" i="4"/>
  <c r="H196" i="4"/>
  <c r="L195" i="4"/>
  <c r="K195" i="4"/>
  <c r="I195" i="4"/>
  <c r="H195" i="4"/>
  <c r="L194" i="4"/>
  <c r="K194" i="4"/>
  <c r="I194" i="4"/>
  <c r="H194" i="4"/>
  <c r="L193" i="4"/>
  <c r="K193" i="4"/>
  <c r="I193" i="4"/>
  <c r="H193" i="4"/>
  <c r="L192" i="4"/>
  <c r="L201" i="4" s="1"/>
  <c r="K192" i="4"/>
  <c r="K201" i="4" s="1"/>
  <c r="I192" i="4"/>
  <c r="I201" i="4" s="1"/>
  <c r="H192" i="4"/>
  <c r="H201" i="4" s="1"/>
  <c r="G153" i="4"/>
  <c r="G201" i="4" s="1"/>
  <c r="M147" i="4"/>
  <c r="L147" i="4"/>
  <c r="K147" i="4"/>
  <c r="J147" i="4"/>
  <c r="I147" i="4"/>
  <c r="H147" i="4"/>
  <c r="G147" i="4"/>
  <c r="E147" i="3"/>
  <c r="G147" i="3" s="1"/>
  <c r="K147" i="3"/>
  <c r="A222" i="3"/>
  <c r="B222" i="3"/>
  <c r="C222" i="3"/>
  <c r="D222" i="3"/>
  <c r="E222" i="3"/>
  <c r="F222" i="3"/>
  <c r="I222" i="3"/>
  <c r="K222" i="3"/>
  <c r="A219" i="3"/>
  <c r="B219" i="3"/>
  <c r="C219" i="3"/>
  <c r="D219" i="3"/>
  <c r="E219" i="3"/>
  <c r="F219" i="3"/>
  <c r="I219" i="3"/>
  <c r="K219" i="3"/>
  <c r="A203" i="3"/>
  <c r="B203" i="3"/>
  <c r="C203" i="3"/>
  <c r="D203" i="3"/>
  <c r="E203" i="3"/>
  <c r="F203" i="3"/>
  <c r="I203" i="3"/>
  <c r="K203" i="3"/>
  <c r="A198" i="3"/>
  <c r="B198" i="3"/>
  <c r="C198" i="3"/>
  <c r="D198" i="3"/>
  <c r="E198" i="3"/>
  <c r="F198" i="3"/>
  <c r="I198" i="3"/>
  <c r="K198" i="3"/>
  <c r="L198" i="3" s="1"/>
  <c r="A199" i="3"/>
  <c r="B199" i="3"/>
  <c r="C199" i="3"/>
  <c r="D199" i="3"/>
  <c r="E199" i="3"/>
  <c r="F199" i="3"/>
  <c r="I199" i="3"/>
  <c r="K199" i="3"/>
  <c r="L199" i="3" s="1"/>
  <c r="A176" i="3"/>
  <c r="B176" i="3"/>
  <c r="C176" i="3"/>
  <c r="D176" i="3"/>
  <c r="E176" i="3"/>
  <c r="F176" i="3"/>
  <c r="I176" i="3"/>
  <c r="K176" i="3"/>
  <c r="A172" i="3"/>
  <c r="B172" i="3"/>
  <c r="C172" i="3"/>
  <c r="D172" i="3"/>
  <c r="E172" i="3"/>
  <c r="F172" i="3"/>
  <c r="I172" i="3"/>
  <c r="K172" i="3"/>
  <c r="A161" i="3"/>
  <c r="B161" i="3"/>
  <c r="C161" i="3"/>
  <c r="D161" i="3"/>
  <c r="E161" i="3"/>
  <c r="F161" i="3"/>
  <c r="I161" i="3"/>
  <c r="K161" i="3"/>
  <c r="A162" i="3"/>
  <c r="B162" i="3"/>
  <c r="C162" i="3"/>
  <c r="D162" i="3"/>
  <c r="E162" i="3"/>
  <c r="F162" i="3"/>
  <c r="I162" i="3"/>
  <c r="K162" i="3"/>
  <c r="G257" i="2"/>
  <c r="H257" i="2"/>
  <c r="J257" i="2" s="1"/>
  <c r="G254" i="2"/>
  <c r="G238" i="2"/>
  <c r="H238" i="2"/>
  <c r="J238" i="2" s="1"/>
  <c r="L234" i="2"/>
  <c r="N234" i="2" s="1"/>
  <c r="L233" i="2"/>
  <c r="N233" i="2" s="1"/>
  <c r="G234" i="2"/>
  <c r="G233" i="2"/>
  <c r="G211" i="2"/>
  <c r="H211" i="2"/>
  <c r="J211" i="2" s="1"/>
  <c r="G207" i="2"/>
  <c r="H207" i="2" s="1"/>
  <c r="J207" i="2" s="1"/>
  <c r="G197" i="2"/>
  <c r="H197" i="2"/>
  <c r="J197" i="2" s="1"/>
  <c r="G196" i="2"/>
  <c r="H196" i="2" s="1"/>
  <c r="J196" i="2" s="1"/>
  <c r="L280" i="3"/>
  <c r="L281" i="3"/>
  <c r="G281" i="3"/>
  <c r="H281" i="3" s="1"/>
  <c r="J281" i="3" s="1"/>
  <c r="G280" i="3"/>
  <c r="H280" i="3" s="1"/>
  <c r="J280" i="3" s="1"/>
  <c r="A45" i="3"/>
  <c r="B45" i="3"/>
  <c r="C45" i="3"/>
  <c r="D45" i="3"/>
  <c r="E45" i="3"/>
  <c r="F45" i="3"/>
  <c r="I45" i="3"/>
  <c r="K45" i="3"/>
  <c r="A37" i="3"/>
  <c r="B37" i="3"/>
  <c r="C37" i="3"/>
  <c r="D37" i="3"/>
  <c r="E37" i="3"/>
  <c r="F37" i="3"/>
  <c r="I37" i="3"/>
  <c r="K37" i="3"/>
  <c r="H348" i="4" l="1"/>
  <c r="H350" i="4" s="1"/>
  <c r="L348" i="4"/>
  <c r="L350" i="4" s="1"/>
  <c r="L227" i="4"/>
  <c r="L343" i="4" s="1"/>
  <c r="I227" i="4"/>
  <c r="G37" i="3"/>
  <c r="H37" i="3" s="1"/>
  <c r="H176" i="3"/>
  <c r="J176" i="3" s="1"/>
  <c r="G176" i="3"/>
  <c r="G199" i="3"/>
  <c r="H199" i="3" s="1"/>
  <c r="H222" i="3"/>
  <c r="J222" i="3" s="1"/>
  <c r="G222" i="3"/>
  <c r="H45" i="3"/>
  <c r="J45" i="3" s="1"/>
  <c r="G45" i="3"/>
  <c r="H162" i="3"/>
  <c r="G162" i="3"/>
  <c r="G161" i="3"/>
  <c r="H161" i="3" s="1"/>
  <c r="G172" i="3"/>
  <c r="H172" i="3" s="1"/>
  <c r="G198" i="3"/>
  <c r="H198" i="3" s="1"/>
  <c r="H203" i="3"/>
  <c r="J203" i="3" s="1"/>
  <c r="G203" i="3"/>
  <c r="G219" i="3"/>
  <c r="H219" i="3" s="1"/>
  <c r="J162" i="3"/>
  <c r="N199" i="3"/>
  <c r="N198" i="3"/>
  <c r="J227" i="4"/>
  <c r="J343" i="4" s="1"/>
  <c r="M350" i="4"/>
  <c r="I348" i="4"/>
  <c r="I350" i="4" s="1"/>
  <c r="J350" i="4"/>
  <c r="I343" i="4"/>
  <c r="M343" i="4"/>
  <c r="K227" i="4"/>
  <c r="K343" i="4" s="1"/>
  <c r="H227" i="4"/>
  <c r="G348" i="4"/>
  <c r="G350" i="4" s="1"/>
  <c r="K348" i="4"/>
  <c r="K350" i="4" s="1"/>
  <c r="G227" i="4"/>
  <c r="M280" i="3"/>
  <c r="M281" i="3"/>
  <c r="H254" i="2"/>
  <c r="J254" i="2" s="1"/>
  <c r="H234" i="2"/>
  <c r="J234" i="2" s="1"/>
  <c r="H233" i="2"/>
  <c r="J233" i="2" s="1"/>
  <c r="N281" i="3"/>
  <c r="N280" i="3"/>
  <c r="J161" i="3" l="1"/>
  <c r="H343" i="4"/>
  <c r="G343" i="4"/>
  <c r="J219" i="3"/>
  <c r="O281" i="3"/>
  <c r="J198" i="3"/>
  <c r="M198" i="3"/>
  <c r="O198" i="3" s="1"/>
  <c r="J199" i="3"/>
  <c r="M199" i="3"/>
  <c r="O199" i="3" s="1"/>
  <c r="J172" i="3"/>
  <c r="O280" i="3"/>
  <c r="M234" i="2"/>
  <c r="O234" i="2" s="1"/>
  <c r="P234" i="2" s="1"/>
  <c r="M233" i="2"/>
  <c r="O233" i="2" s="1"/>
  <c r="P233" i="2" s="1"/>
  <c r="J37" i="3"/>
  <c r="G70" i="2" l="1"/>
  <c r="H70" i="2"/>
  <c r="J70" i="2" s="1"/>
  <c r="G62" i="2"/>
  <c r="H62" i="2" s="1"/>
  <c r="J62" i="2" s="1"/>
  <c r="C51" i="7" l="1"/>
  <c r="C21" i="7"/>
  <c r="D104" i="6"/>
  <c r="F104" i="6"/>
  <c r="F47" i="6"/>
  <c r="D47" i="6"/>
  <c r="R200" i="4" l="1"/>
  <c r="Q200" i="4"/>
  <c r="O200" i="4"/>
  <c r="N200" i="4"/>
  <c r="R199" i="4"/>
  <c r="Q199" i="4"/>
  <c r="O199" i="4"/>
  <c r="N199" i="4"/>
  <c r="R198" i="4"/>
  <c r="Q198" i="4"/>
  <c r="O198" i="4"/>
  <c r="N198" i="4"/>
  <c r="T199" i="4" l="1"/>
  <c r="U199" i="4" s="1"/>
  <c r="T198" i="4"/>
  <c r="U198" i="4" s="1"/>
  <c r="V198" i="4" s="1"/>
  <c r="X198" i="4" s="1"/>
  <c r="T200" i="4"/>
  <c r="U200" i="4" s="1"/>
  <c r="V200" i="4" l="1"/>
  <c r="V199" i="4"/>
  <c r="Z198" i="4"/>
  <c r="X199" i="4" l="1"/>
  <c r="Z199" i="4" s="1"/>
  <c r="X200" i="4"/>
  <c r="X340" i="4"/>
  <c r="X339" i="4"/>
  <c r="X338" i="4"/>
  <c r="X337" i="4"/>
  <c r="X325" i="4"/>
  <c r="X323" i="4"/>
  <c r="X316" i="4"/>
  <c r="X313" i="4"/>
  <c r="X311" i="4"/>
  <c r="X303" i="4"/>
  <c r="X299" i="4"/>
  <c r="X292" i="4"/>
  <c r="X285" i="4"/>
  <c r="X283" i="4"/>
  <c r="X277" i="4"/>
  <c r="X273" i="4"/>
  <c r="X272" i="4"/>
  <c r="X261" i="4"/>
  <c r="X259" i="4"/>
  <c r="X240" i="4"/>
  <c r="X235" i="4"/>
  <c r="X234" i="4"/>
  <c r="X230" i="4"/>
  <c r="X228" i="4"/>
  <c r="X225" i="4"/>
  <c r="X220" i="4"/>
  <c r="X219" i="4"/>
  <c r="X218" i="4"/>
  <c r="X217" i="4"/>
  <c r="X214" i="4"/>
  <c r="X210" i="4"/>
  <c r="Z200" i="4" l="1"/>
  <c r="X16" i="4"/>
  <c r="X19" i="4"/>
  <c r="X20" i="4"/>
  <c r="X21" i="4"/>
  <c r="X29" i="4"/>
  <c r="X30" i="4"/>
  <c r="X37" i="4"/>
  <c r="X39" i="4"/>
  <c r="X43" i="4"/>
  <c r="X52" i="4"/>
  <c r="X53" i="4"/>
  <c r="X58" i="4"/>
  <c r="X59" i="4"/>
  <c r="X60" i="4"/>
  <c r="X61" i="4"/>
  <c r="X62" i="4"/>
  <c r="X65" i="4"/>
  <c r="X66" i="4"/>
  <c r="X68" i="4"/>
  <c r="X69" i="4"/>
  <c r="X73" i="4"/>
  <c r="X76" i="4"/>
  <c r="X77" i="4"/>
  <c r="X78" i="4"/>
  <c r="X84" i="4"/>
  <c r="X87" i="4"/>
  <c r="X90" i="4"/>
  <c r="X93" i="4"/>
  <c r="X96" i="4"/>
  <c r="X97" i="4"/>
  <c r="X98" i="4"/>
  <c r="X99" i="4"/>
  <c r="X104" i="4"/>
  <c r="X105" i="4"/>
  <c r="X106" i="4"/>
  <c r="X107" i="4"/>
  <c r="X108" i="4"/>
  <c r="X110" i="4"/>
  <c r="X111" i="4"/>
  <c r="X112" i="4"/>
  <c r="X123" i="4"/>
  <c r="X125" i="4"/>
  <c r="X127" i="4"/>
  <c r="X128" i="4"/>
  <c r="X135" i="4"/>
  <c r="X138" i="4"/>
  <c r="X139" i="4"/>
  <c r="X140" i="4"/>
  <c r="X141" i="4"/>
  <c r="G297" i="3"/>
  <c r="H249" i="3"/>
  <c r="G290" i="3"/>
  <c r="H290" i="3" s="1"/>
  <c r="G289" i="3"/>
  <c r="H289" i="3" s="1"/>
  <c r="G288" i="3"/>
  <c r="H288" i="3" s="1"/>
  <c r="G287" i="3"/>
  <c r="H287" i="3" s="1"/>
  <c r="G286" i="3"/>
  <c r="H286" i="3" s="1"/>
  <c r="G285" i="3"/>
  <c r="H285" i="3" s="1"/>
  <c r="G284" i="3"/>
  <c r="H284" i="3" s="1"/>
  <c r="G283" i="3"/>
  <c r="H283" i="3" s="1"/>
  <c r="G279" i="3"/>
  <c r="H279" i="3" s="1"/>
  <c r="G278" i="3"/>
  <c r="H278" i="3" s="1"/>
  <c r="G277" i="3"/>
  <c r="H277" i="3" s="1"/>
  <c r="G256" i="3"/>
  <c r="H256" i="3" s="1"/>
  <c r="G255" i="3"/>
  <c r="H255" i="3" s="1"/>
  <c r="G254" i="3"/>
  <c r="H254" i="3" s="1"/>
  <c r="G253" i="3"/>
  <c r="H253" i="3" s="1"/>
  <c r="G258" i="3"/>
  <c r="H258" i="3" s="1"/>
  <c r="G252" i="3"/>
  <c r="H252" i="3" s="1"/>
  <c r="G251" i="3"/>
  <c r="H251" i="3" s="1"/>
  <c r="G257" i="3"/>
  <c r="H257" i="3" s="1"/>
  <c r="G250" i="3"/>
  <c r="H250" i="3" s="1"/>
  <c r="H51" i="3"/>
  <c r="G291" i="3" l="1"/>
  <c r="F65" i="8" l="1"/>
  <c r="F64" i="8" l="1"/>
  <c r="F57" i="8"/>
  <c r="F58" i="8"/>
  <c r="F59" i="8"/>
  <c r="F91" i="8"/>
  <c r="F87" i="8"/>
  <c r="F88" i="8"/>
  <c r="F89" i="8"/>
  <c r="F19" i="8"/>
  <c r="F14" i="8"/>
  <c r="F16" i="8"/>
  <c r="E58" i="3"/>
  <c r="C50" i="7"/>
  <c r="C46" i="7"/>
  <c r="C45" i="7"/>
  <c r="C44" i="7"/>
  <c r="C20" i="7"/>
  <c r="C16" i="7"/>
  <c r="C15" i="7"/>
  <c r="C14" i="7"/>
  <c r="D103" i="6"/>
  <c r="F103" i="6"/>
  <c r="D97" i="6"/>
  <c r="F97" i="6"/>
  <c r="D98" i="6"/>
  <c r="F98" i="6"/>
  <c r="D99" i="6"/>
  <c r="F99" i="6"/>
  <c r="C98" i="6"/>
  <c r="C97" i="6"/>
  <c r="D40" i="6"/>
  <c r="F40" i="6"/>
  <c r="D41" i="6"/>
  <c r="F41" i="6"/>
  <c r="D42" i="6"/>
  <c r="F42" i="6"/>
  <c r="C42" i="6"/>
  <c r="C41" i="6"/>
  <c r="C40" i="6"/>
  <c r="D74" i="6"/>
  <c r="F74" i="6"/>
  <c r="D17" i="6"/>
  <c r="F17" i="6"/>
  <c r="D46" i="6"/>
  <c r="F46" i="6"/>
  <c r="G290" i="2"/>
  <c r="H290" i="2" s="1"/>
  <c r="I290" i="2" s="1"/>
  <c r="H58" i="3" l="1"/>
  <c r="G58" i="3"/>
  <c r="J290" i="2"/>
  <c r="P5" i="5"/>
  <c r="P6" i="5"/>
  <c r="P7" i="5"/>
  <c r="P8" i="5"/>
  <c r="P9" i="5"/>
  <c r="P10" i="5"/>
  <c r="P11" i="5"/>
  <c r="L20" i="2" s="1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L21" i="2" s="1"/>
  <c r="N21" i="2" s="1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L24" i="2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L269" i="3" s="1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4" i="5"/>
  <c r="P3" i="5"/>
  <c r="N24" i="2" l="1"/>
  <c r="M24" i="2"/>
  <c r="L138" i="2"/>
  <c r="L137" i="2"/>
  <c r="L136" i="2"/>
  <c r="L291" i="2"/>
  <c r="N269" i="3"/>
  <c r="M269" i="3"/>
  <c r="L139" i="2"/>
  <c r="L141" i="2"/>
  <c r="L140" i="2"/>
  <c r="AB199" i="4"/>
  <c r="AC199" i="4" s="1"/>
  <c r="L294" i="2"/>
  <c r="L22" i="2"/>
  <c r="N22" i="2" s="1"/>
  <c r="L23" i="2"/>
  <c r="N23" i="2" s="1"/>
  <c r="L25" i="2"/>
  <c r="N25" i="2" s="1"/>
  <c r="M20" i="2"/>
  <c r="N20" i="2"/>
  <c r="AB238" i="4"/>
  <c r="AB63" i="4"/>
  <c r="AB239" i="4"/>
  <c r="AB298" i="4"/>
  <c r="AB129" i="4"/>
  <c r="AB64" i="4"/>
  <c r="L196" i="2"/>
  <c r="L254" i="2"/>
  <c r="L207" i="2"/>
  <c r="L172" i="3"/>
  <c r="L37" i="3"/>
  <c r="L161" i="3"/>
  <c r="L219" i="3"/>
  <c r="L62" i="2"/>
  <c r="AB208" i="4"/>
  <c r="AB312" i="4"/>
  <c r="AB17" i="4"/>
  <c r="AB247" i="4"/>
  <c r="AB209" i="4"/>
  <c r="L238" i="2"/>
  <c r="L197" i="2"/>
  <c r="L257" i="2"/>
  <c r="L211" i="2"/>
  <c r="L222" i="3"/>
  <c r="L45" i="3"/>
  <c r="L203" i="3"/>
  <c r="L162" i="3"/>
  <c r="L176" i="3"/>
  <c r="L70" i="2"/>
  <c r="AB200" i="4"/>
  <c r="AC200" i="4" s="1"/>
  <c r="AB198" i="4"/>
  <c r="AC198" i="4" s="1"/>
  <c r="L290" i="2"/>
  <c r="N290" i="2" s="1"/>
  <c r="AD198" i="4" l="1"/>
  <c r="AE198" i="4" s="1"/>
  <c r="AD199" i="4"/>
  <c r="O24" i="2"/>
  <c r="P24" i="2" s="1"/>
  <c r="M136" i="2"/>
  <c r="N136" i="2"/>
  <c r="M140" i="2"/>
  <c r="N140" i="2"/>
  <c r="N291" i="2"/>
  <c r="M291" i="2"/>
  <c r="N137" i="2"/>
  <c r="M137" i="2"/>
  <c r="O20" i="2"/>
  <c r="P20" i="2" s="1"/>
  <c r="N139" i="2"/>
  <c r="M139" i="2"/>
  <c r="N138" i="2"/>
  <c r="M138" i="2"/>
  <c r="N141" i="2"/>
  <c r="M141" i="2"/>
  <c r="O269" i="3"/>
  <c r="M176" i="3"/>
  <c r="N176" i="3"/>
  <c r="M238" i="2"/>
  <c r="N238" i="2"/>
  <c r="N254" i="2"/>
  <c r="M254" i="2"/>
  <c r="M162" i="3"/>
  <c r="N162" i="3"/>
  <c r="M211" i="2"/>
  <c r="N211" i="2"/>
  <c r="AD209" i="4"/>
  <c r="AC209" i="4"/>
  <c r="AC208" i="4"/>
  <c r="AD208" i="4"/>
  <c r="N37" i="3"/>
  <c r="M37" i="3"/>
  <c r="M196" i="2"/>
  <c r="N196" i="2"/>
  <c r="AC239" i="4"/>
  <c r="AD239" i="4"/>
  <c r="N222" i="3"/>
  <c r="M222" i="3"/>
  <c r="M161" i="3"/>
  <c r="N161" i="3"/>
  <c r="AD298" i="4"/>
  <c r="AC298" i="4"/>
  <c r="M203" i="3"/>
  <c r="N203" i="3"/>
  <c r="N257" i="2"/>
  <c r="M257" i="2"/>
  <c r="AD247" i="4"/>
  <c r="AC247" i="4"/>
  <c r="N62" i="2"/>
  <c r="M62" i="2"/>
  <c r="N172" i="3"/>
  <c r="M172" i="3"/>
  <c r="AD64" i="4"/>
  <c r="AC64" i="4"/>
  <c r="AD63" i="4"/>
  <c r="AC63" i="4"/>
  <c r="AC312" i="4"/>
  <c r="AD312" i="4"/>
  <c r="M70" i="2"/>
  <c r="N70" i="2"/>
  <c r="N45" i="3"/>
  <c r="M45" i="3"/>
  <c r="N197" i="2"/>
  <c r="M197" i="2"/>
  <c r="AC17" i="4"/>
  <c r="AD17" i="4"/>
  <c r="N219" i="3"/>
  <c r="M219" i="3"/>
  <c r="M207" i="2"/>
  <c r="N207" i="2"/>
  <c r="AD129" i="4"/>
  <c r="AC129" i="4"/>
  <c r="AC238" i="4"/>
  <c r="AD238" i="4"/>
  <c r="M290" i="2"/>
  <c r="O290" i="2" s="1"/>
  <c r="P290" i="2" s="1"/>
  <c r="AD200" i="4"/>
  <c r="AE199" i="4" l="1"/>
  <c r="AE208" i="4"/>
  <c r="O141" i="2"/>
  <c r="P141" i="2" s="1"/>
  <c r="O138" i="2"/>
  <c r="P138" i="2" s="1"/>
  <c r="O140" i="2"/>
  <c r="P140" i="2" s="1"/>
  <c r="O137" i="2"/>
  <c r="P137" i="2" s="1"/>
  <c r="O291" i="2"/>
  <c r="P291" i="2" s="1"/>
  <c r="O136" i="2"/>
  <c r="P136" i="2" s="1"/>
  <c r="O139" i="2"/>
  <c r="P139" i="2" s="1"/>
  <c r="AE129" i="4"/>
  <c r="AE63" i="4"/>
  <c r="O197" i="2"/>
  <c r="P197" i="2" s="1"/>
  <c r="O70" i="2"/>
  <c r="P70" i="2" s="1"/>
  <c r="O219" i="3"/>
  <c r="O172" i="3"/>
  <c r="AE247" i="4"/>
  <c r="AE209" i="4"/>
  <c r="O238" i="2"/>
  <c r="P238" i="2" s="1"/>
  <c r="AE17" i="4"/>
  <c r="AE64" i="4"/>
  <c r="AE298" i="4"/>
  <c r="O37" i="3"/>
  <c r="O207" i="2"/>
  <c r="P207" i="2" s="1"/>
  <c r="O45" i="3"/>
  <c r="O62" i="2"/>
  <c r="P62" i="2" s="1"/>
  <c r="O257" i="2"/>
  <c r="P257" i="2" s="1"/>
  <c r="O222" i="3"/>
  <c r="O254" i="2"/>
  <c r="P254" i="2" s="1"/>
  <c r="O203" i="3"/>
  <c r="O161" i="3"/>
  <c r="AE239" i="4"/>
  <c r="O162" i="3"/>
  <c r="AE238" i="4"/>
  <c r="AE312" i="4"/>
  <c r="O196" i="2"/>
  <c r="P196" i="2" s="1"/>
  <c r="O211" i="2"/>
  <c r="P211" i="2" s="1"/>
  <c r="O176" i="3"/>
  <c r="AE200" i="4"/>
  <c r="G294" i="2" l="1"/>
  <c r="H294" i="2" s="1"/>
  <c r="N294" i="2"/>
  <c r="A209" i="3"/>
  <c r="B209" i="3"/>
  <c r="C209" i="3"/>
  <c r="D209" i="3"/>
  <c r="E209" i="3"/>
  <c r="F209" i="3"/>
  <c r="I209" i="3"/>
  <c r="K209" i="3"/>
  <c r="L209" i="3" s="1"/>
  <c r="L244" i="2"/>
  <c r="N244" i="2" s="1"/>
  <c r="G244" i="2"/>
  <c r="H244" i="2"/>
  <c r="J244" i="2" s="1"/>
  <c r="A201" i="3"/>
  <c r="B201" i="3"/>
  <c r="C201" i="3"/>
  <c r="D201" i="3"/>
  <c r="E201" i="3"/>
  <c r="F201" i="3"/>
  <c r="I201" i="3"/>
  <c r="K201" i="3"/>
  <c r="L201" i="3" s="1"/>
  <c r="L236" i="2"/>
  <c r="N236" i="2" s="1"/>
  <c r="G236" i="2"/>
  <c r="A183" i="3"/>
  <c r="B183" i="3"/>
  <c r="C183" i="3"/>
  <c r="D183" i="3"/>
  <c r="E183" i="3"/>
  <c r="F183" i="3"/>
  <c r="I183" i="3"/>
  <c r="K183" i="3"/>
  <c r="L183" i="3" s="1"/>
  <c r="L218" i="2"/>
  <c r="N218" i="2" s="1"/>
  <c r="G218" i="2"/>
  <c r="A159" i="3"/>
  <c r="B159" i="3"/>
  <c r="C159" i="3"/>
  <c r="D159" i="3"/>
  <c r="E159" i="3"/>
  <c r="F159" i="3"/>
  <c r="I159" i="3"/>
  <c r="K159" i="3"/>
  <c r="L159" i="3" s="1"/>
  <c r="A160" i="3"/>
  <c r="B160" i="3"/>
  <c r="C160" i="3"/>
  <c r="D160" i="3"/>
  <c r="E160" i="3"/>
  <c r="F160" i="3"/>
  <c r="I160" i="3"/>
  <c r="K160" i="3"/>
  <c r="L160" i="3" s="1"/>
  <c r="L195" i="2"/>
  <c r="N195" i="2" s="1"/>
  <c r="L194" i="2"/>
  <c r="N194" i="2" s="1"/>
  <c r="G195" i="2"/>
  <c r="G194" i="2"/>
  <c r="A151" i="3"/>
  <c r="B151" i="3"/>
  <c r="C151" i="3"/>
  <c r="D151" i="3"/>
  <c r="E151" i="3"/>
  <c r="F151" i="3"/>
  <c r="I151" i="3"/>
  <c r="K151" i="3"/>
  <c r="L151" i="3" s="1"/>
  <c r="L186" i="2"/>
  <c r="G186" i="2"/>
  <c r="H186" i="2" s="1"/>
  <c r="J186" i="2" s="1"/>
  <c r="J288" i="3"/>
  <c r="J287" i="3"/>
  <c r="J286" i="3"/>
  <c r="J285" i="3"/>
  <c r="J284" i="3"/>
  <c r="J283" i="3"/>
  <c r="J279" i="3"/>
  <c r="J278" i="3"/>
  <c r="L278" i="3"/>
  <c r="M278" i="3" s="1"/>
  <c r="L279" i="3"/>
  <c r="L283" i="3"/>
  <c r="L284" i="3"/>
  <c r="L285" i="3"/>
  <c r="M285" i="3" s="1"/>
  <c r="L286" i="3"/>
  <c r="L287" i="3"/>
  <c r="M287" i="3" s="1"/>
  <c r="A22" i="3"/>
  <c r="B22" i="3"/>
  <c r="C22" i="3"/>
  <c r="D22" i="3"/>
  <c r="E22" i="3"/>
  <c r="F22" i="3"/>
  <c r="I22" i="3"/>
  <c r="K22" i="3"/>
  <c r="L22" i="3" s="1"/>
  <c r="A23" i="3"/>
  <c r="B23" i="3"/>
  <c r="C23" i="3"/>
  <c r="D23" i="3"/>
  <c r="E23" i="3"/>
  <c r="F23" i="3"/>
  <c r="I23" i="3"/>
  <c r="K23" i="3"/>
  <c r="L23" i="3" s="1"/>
  <c r="A94" i="3"/>
  <c r="B94" i="3"/>
  <c r="C94" i="3"/>
  <c r="D94" i="3"/>
  <c r="E94" i="3"/>
  <c r="F94" i="3"/>
  <c r="I94" i="3"/>
  <c r="K94" i="3"/>
  <c r="L94" i="3" s="1"/>
  <c r="L119" i="2"/>
  <c r="N119" i="2" s="1"/>
  <c r="G119" i="2"/>
  <c r="H119" i="2" s="1"/>
  <c r="J119" i="2" s="1"/>
  <c r="L48" i="2"/>
  <c r="N48" i="2" s="1"/>
  <c r="G48" i="2"/>
  <c r="L47" i="2"/>
  <c r="G47" i="2"/>
  <c r="L14" i="2"/>
  <c r="N14" i="2" s="1"/>
  <c r="L12" i="2"/>
  <c r="N12" i="2" s="1"/>
  <c r="G14" i="2"/>
  <c r="G12" i="2"/>
  <c r="H12" i="2" s="1"/>
  <c r="J12" i="2" s="1"/>
  <c r="G183" i="3" l="1"/>
  <c r="H183" i="3" s="1"/>
  <c r="G94" i="3"/>
  <c r="H94" i="3" s="1"/>
  <c r="M94" i="3" s="1"/>
  <c r="G23" i="3"/>
  <c r="H23" i="3" s="1"/>
  <c r="M23" i="3" s="1"/>
  <c r="H209" i="3"/>
  <c r="J209" i="3" s="1"/>
  <c r="G209" i="3"/>
  <c r="G151" i="3"/>
  <c r="H151" i="3" s="1"/>
  <c r="J151" i="3" s="1"/>
  <c r="G160" i="3"/>
  <c r="G159" i="3"/>
  <c r="H159" i="3" s="1"/>
  <c r="G201" i="3"/>
  <c r="H201" i="3" s="1"/>
  <c r="G22" i="3"/>
  <c r="H22" i="3" s="1"/>
  <c r="M22" i="3" s="1"/>
  <c r="M283" i="3"/>
  <c r="N209" i="3"/>
  <c r="J294" i="2"/>
  <c r="M294" i="2"/>
  <c r="O294" i="2" s="1"/>
  <c r="M244" i="2"/>
  <c r="O244" i="2" s="1"/>
  <c r="P244" i="2" s="1"/>
  <c r="N201" i="3"/>
  <c r="H236" i="2"/>
  <c r="N94" i="3"/>
  <c r="N23" i="3"/>
  <c r="H218" i="2"/>
  <c r="J218" i="2" s="1"/>
  <c r="N183" i="3"/>
  <c r="N160" i="3"/>
  <c r="N159" i="3"/>
  <c r="H194" i="2"/>
  <c r="J194" i="2" s="1"/>
  <c r="H195" i="2"/>
  <c r="J195" i="2" s="1"/>
  <c r="M186" i="2"/>
  <c r="N151" i="3"/>
  <c r="N186" i="2"/>
  <c r="M119" i="2"/>
  <c r="O119" i="2" s="1"/>
  <c r="P119" i="2" s="1"/>
  <c r="H48" i="2"/>
  <c r="J48" i="2" s="1"/>
  <c r="N22" i="3"/>
  <c r="M286" i="3"/>
  <c r="M284" i="3"/>
  <c r="M279" i="3"/>
  <c r="N287" i="3"/>
  <c r="O287" i="3" s="1"/>
  <c r="N286" i="3"/>
  <c r="N285" i="3"/>
  <c r="O285" i="3" s="1"/>
  <c r="N284" i="3"/>
  <c r="N283" i="3"/>
  <c r="N279" i="3"/>
  <c r="N278" i="3"/>
  <c r="O278" i="3" s="1"/>
  <c r="H14" i="2"/>
  <c r="J14" i="2" s="1"/>
  <c r="H47" i="2"/>
  <c r="J47" i="2" s="1"/>
  <c r="N47" i="2"/>
  <c r="M12" i="2"/>
  <c r="O12" i="2" s="1"/>
  <c r="P12" i="2" s="1"/>
  <c r="M209" i="3" l="1"/>
  <c r="O209" i="3" s="1"/>
  <c r="J159" i="3"/>
  <c r="J201" i="3"/>
  <c r="H160" i="3"/>
  <c r="M160" i="3" s="1"/>
  <c r="O160" i="3" s="1"/>
  <c r="J183" i="3"/>
  <c r="O283" i="3"/>
  <c r="M14" i="2"/>
  <c r="O14" i="2" s="1"/>
  <c r="P14" i="2" s="1"/>
  <c r="O94" i="3"/>
  <c r="P294" i="2"/>
  <c r="M201" i="3"/>
  <c r="O201" i="3" s="1"/>
  <c r="J236" i="2"/>
  <c r="M236" i="2"/>
  <c r="O236" i="2" s="1"/>
  <c r="P236" i="2" s="1"/>
  <c r="M183" i="3"/>
  <c r="O183" i="3" s="1"/>
  <c r="O23" i="3"/>
  <c r="M159" i="3"/>
  <c r="O159" i="3" s="1"/>
  <c r="M218" i="2"/>
  <c r="O218" i="2" s="1"/>
  <c r="P218" i="2" s="1"/>
  <c r="M194" i="2"/>
  <c r="O194" i="2" s="1"/>
  <c r="P194" i="2" s="1"/>
  <c r="O286" i="3"/>
  <c r="M195" i="2"/>
  <c r="O195" i="2" s="1"/>
  <c r="P195" i="2" s="1"/>
  <c r="M151" i="3"/>
  <c r="O151" i="3" s="1"/>
  <c r="J22" i="3"/>
  <c r="O186" i="2"/>
  <c r="P186" i="2" s="1"/>
  <c r="J23" i="3"/>
  <c r="O279" i="3"/>
  <c r="O22" i="3"/>
  <c r="M48" i="2"/>
  <c r="O48" i="2" s="1"/>
  <c r="P48" i="2" s="1"/>
  <c r="O284" i="3"/>
  <c r="J94" i="3"/>
  <c r="M47" i="2"/>
  <c r="O47" i="2" s="1"/>
  <c r="P47" i="2" s="1"/>
  <c r="J160" i="3" l="1"/>
  <c r="AB18" i="4"/>
  <c r="AB19" i="4"/>
  <c r="AB10" i="4"/>
  <c r="AB11" i="4"/>
  <c r="AB12" i="4"/>
  <c r="AB13" i="4"/>
  <c r="AB14" i="4"/>
  <c r="AB70" i="4"/>
  <c r="AB152" i="4"/>
  <c r="AB202" i="4"/>
  <c r="AB203" i="4"/>
  <c r="AB204" i="4"/>
  <c r="AB205" i="4"/>
  <c r="AB207" i="4"/>
  <c r="AB218" i="4"/>
  <c r="AB236" i="4"/>
  <c r="AB237" i="4"/>
  <c r="AB240" i="4"/>
  <c r="AB243" i="4"/>
  <c r="AB251" i="4"/>
  <c r="AB320" i="4"/>
  <c r="T320" i="4"/>
  <c r="U320" i="4" s="1"/>
  <c r="V320" i="4" s="1"/>
  <c r="T251" i="4"/>
  <c r="U251" i="4" s="1"/>
  <c r="V251" i="4" s="1"/>
  <c r="T243" i="4"/>
  <c r="U243" i="4" s="1"/>
  <c r="V243" i="4" s="1"/>
  <c r="T70" i="4"/>
  <c r="U70" i="4" s="1"/>
  <c r="V70" i="4" s="1"/>
  <c r="Z218" i="4"/>
  <c r="T218" i="4"/>
  <c r="U218" i="4" s="1"/>
  <c r="V218" i="4" s="1"/>
  <c r="Z19" i="4"/>
  <c r="T19" i="4"/>
  <c r="U19" i="4" s="1"/>
  <c r="V19" i="4" s="1"/>
  <c r="T18" i="4"/>
  <c r="U18" i="4" s="1"/>
  <c r="V18" i="4" s="1"/>
  <c r="T15" i="4"/>
  <c r="U15" i="4" s="1"/>
  <c r="T14" i="4"/>
  <c r="U14" i="4" s="1"/>
  <c r="T13" i="4"/>
  <c r="U13" i="4" s="1"/>
  <c r="T12" i="4"/>
  <c r="U12" i="4" s="1"/>
  <c r="T11" i="4"/>
  <c r="U11" i="4" s="1"/>
  <c r="T10" i="4"/>
  <c r="U10" i="4" s="1"/>
  <c r="T237" i="4"/>
  <c r="U237" i="4" s="1"/>
  <c r="V237" i="4" s="1"/>
  <c r="T236" i="4"/>
  <c r="U236" i="4" s="1"/>
  <c r="V236" i="4" s="1"/>
  <c r="T207" i="4"/>
  <c r="U207" i="4" s="1"/>
  <c r="T206" i="4"/>
  <c r="U206" i="4" s="1"/>
  <c r="T205" i="4"/>
  <c r="U205" i="4" s="1"/>
  <c r="T204" i="4"/>
  <c r="U204" i="4" s="1"/>
  <c r="T203" i="4"/>
  <c r="U203" i="4" s="1"/>
  <c r="T202" i="4"/>
  <c r="T152" i="4"/>
  <c r="U152" i="4" s="1"/>
  <c r="U202" i="4" l="1"/>
  <c r="V202" i="4" s="1"/>
  <c r="AD207" i="4"/>
  <c r="AD202" i="4"/>
  <c r="AD205" i="4"/>
  <c r="AD203" i="4"/>
  <c r="AD204" i="4"/>
  <c r="V203" i="4"/>
  <c r="V207" i="4"/>
  <c r="X207" i="4" s="1"/>
  <c r="AC207" i="4" s="1"/>
  <c r="V11" i="4"/>
  <c r="X11" i="4" s="1"/>
  <c r="Z11" i="4" s="1"/>
  <c r="V15" i="4"/>
  <c r="X15" i="4" s="1"/>
  <c r="Z15" i="4" s="1"/>
  <c r="V204" i="4"/>
  <c r="V12" i="4"/>
  <c r="X12" i="4" s="1"/>
  <c r="Z12" i="4" s="1"/>
  <c r="V152" i="4"/>
  <c r="X152" i="4" s="1"/>
  <c r="V205" i="4"/>
  <c r="V13" i="4"/>
  <c r="X13" i="4" s="1"/>
  <c r="Z13" i="4" s="1"/>
  <c r="V206" i="4"/>
  <c r="V10" i="4"/>
  <c r="X10" i="4" s="1"/>
  <c r="Z10" i="4" s="1"/>
  <c r="V14" i="4"/>
  <c r="X14" i="4" s="1"/>
  <c r="Z14" i="4" s="1"/>
  <c r="X237" i="4"/>
  <c r="Z237" i="4" s="1"/>
  <c r="X243" i="4"/>
  <c r="Z243" i="4" s="1"/>
  <c r="X251" i="4"/>
  <c r="Z251" i="4" s="1"/>
  <c r="D91" i="8"/>
  <c r="X236" i="4"/>
  <c r="X18" i="4"/>
  <c r="X70" i="4"/>
  <c r="Z70" i="4" s="1"/>
  <c r="AC218" i="4"/>
  <c r="AC19" i="4"/>
  <c r="AD19" i="4"/>
  <c r="AD18" i="4"/>
  <c r="AD11" i="4"/>
  <c r="AD14" i="4"/>
  <c r="AD13" i="4"/>
  <c r="AD12" i="4"/>
  <c r="AD10" i="4"/>
  <c r="AD70" i="4"/>
  <c r="AD218" i="4"/>
  <c r="AD240" i="4"/>
  <c r="AD237" i="4"/>
  <c r="AD236" i="4"/>
  <c r="AD243" i="4"/>
  <c r="AD251" i="4"/>
  <c r="AD320" i="4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3" i="3"/>
  <c r="I154" i="3"/>
  <c r="I155" i="3"/>
  <c r="I156" i="3"/>
  <c r="I157" i="3"/>
  <c r="I158" i="3"/>
  <c r="I163" i="3"/>
  <c r="I164" i="3"/>
  <c r="I165" i="3"/>
  <c r="I166" i="3"/>
  <c r="I167" i="3"/>
  <c r="I168" i="3"/>
  <c r="I169" i="3"/>
  <c r="I170" i="3"/>
  <c r="I171" i="3"/>
  <c r="I173" i="3"/>
  <c r="I174" i="3"/>
  <c r="I175" i="3"/>
  <c r="I177" i="3"/>
  <c r="I178" i="3"/>
  <c r="I179" i="3"/>
  <c r="I180" i="3"/>
  <c r="I181" i="3"/>
  <c r="I182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200" i="3"/>
  <c r="I202" i="3"/>
  <c r="I204" i="3"/>
  <c r="I205" i="3"/>
  <c r="I206" i="3"/>
  <c r="I207" i="3"/>
  <c r="I208" i="3"/>
  <c r="I210" i="3"/>
  <c r="I211" i="3"/>
  <c r="I212" i="3"/>
  <c r="I213" i="3"/>
  <c r="I214" i="3"/>
  <c r="I215" i="3"/>
  <c r="I216" i="3"/>
  <c r="I217" i="3"/>
  <c r="I218" i="3"/>
  <c r="I220" i="3"/>
  <c r="I221" i="3"/>
  <c r="I223" i="3"/>
  <c r="I224" i="3"/>
  <c r="I225" i="3"/>
  <c r="I226" i="3"/>
  <c r="I227" i="3"/>
  <c r="I228" i="3"/>
  <c r="I229" i="3"/>
  <c r="I230" i="3"/>
  <c r="I231" i="3"/>
  <c r="I232" i="3"/>
  <c r="I117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2" i="3"/>
  <c r="F153" i="3"/>
  <c r="F154" i="3"/>
  <c r="F155" i="3"/>
  <c r="F156" i="3"/>
  <c r="F157" i="3"/>
  <c r="F158" i="3"/>
  <c r="F163" i="3"/>
  <c r="F164" i="3"/>
  <c r="F165" i="3"/>
  <c r="F166" i="3"/>
  <c r="F167" i="3"/>
  <c r="F168" i="3"/>
  <c r="F169" i="3"/>
  <c r="F170" i="3"/>
  <c r="F171" i="3"/>
  <c r="F173" i="3"/>
  <c r="F174" i="3"/>
  <c r="F175" i="3"/>
  <c r="F177" i="3"/>
  <c r="F178" i="3"/>
  <c r="F179" i="3"/>
  <c r="F180" i="3"/>
  <c r="F181" i="3"/>
  <c r="F182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200" i="3"/>
  <c r="F202" i="3"/>
  <c r="F204" i="3"/>
  <c r="F205" i="3"/>
  <c r="F206" i="3"/>
  <c r="F207" i="3"/>
  <c r="F208" i="3"/>
  <c r="F210" i="3"/>
  <c r="F211" i="3"/>
  <c r="F212" i="3"/>
  <c r="F213" i="3"/>
  <c r="F214" i="3"/>
  <c r="F215" i="3"/>
  <c r="F216" i="3"/>
  <c r="F217" i="3"/>
  <c r="F218" i="3"/>
  <c r="F220" i="3"/>
  <c r="F221" i="3"/>
  <c r="F223" i="3"/>
  <c r="F224" i="3"/>
  <c r="F225" i="3"/>
  <c r="F226" i="3"/>
  <c r="F227" i="3"/>
  <c r="F228" i="3"/>
  <c r="F229" i="3"/>
  <c r="F230" i="3"/>
  <c r="F231" i="3"/>
  <c r="F232" i="3"/>
  <c r="F233" i="3"/>
  <c r="F118" i="3"/>
  <c r="F117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1" i="3"/>
  <c r="I25" i="3"/>
  <c r="I26" i="3"/>
  <c r="I27" i="3"/>
  <c r="I28" i="3"/>
  <c r="I29" i="3"/>
  <c r="I30" i="3"/>
  <c r="I31" i="3"/>
  <c r="I32" i="3"/>
  <c r="I33" i="3"/>
  <c r="I34" i="3"/>
  <c r="I35" i="3"/>
  <c r="I36" i="3"/>
  <c r="I38" i="3"/>
  <c r="I39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3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8" i="3"/>
  <c r="F39" i="3"/>
  <c r="F40" i="3"/>
  <c r="F41" i="3"/>
  <c r="F42" i="3"/>
  <c r="F43" i="3"/>
  <c r="F44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4" i="3"/>
  <c r="F3" i="3"/>
  <c r="P287" i="2"/>
  <c r="O287" i="2"/>
  <c r="H268" i="2"/>
  <c r="H267" i="2"/>
  <c r="H266" i="2"/>
  <c r="H264" i="2"/>
  <c r="H263" i="2"/>
  <c r="H243" i="2"/>
  <c r="H237" i="2"/>
  <c r="H213" i="2"/>
  <c r="H212" i="2"/>
  <c r="H205" i="2"/>
  <c r="H172" i="2"/>
  <c r="H171" i="2"/>
  <c r="H168" i="2"/>
  <c r="H167" i="2"/>
  <c r="H166" i="2"/>
  <c r="H165" i="2"/>
  <c r="H161" i="2"/>
  <c r="H135" i="2"/>
  <c r="H134" i="2"/>
  <c r="H132" i="2"/>
  <c r="H131" i="2"/>
  <c r="H130" i="2"/>
  <c r="H128" i="2"/>
  <c r="H125" i="2"/>
  <c r="H124" i="2"/>
  <c r="H101" i="2"/>
  <c r="H100" i="2"/>
  <c r="H99" i="2"/>
  <c r="H98" i="2"/>
  <c r="H97" i="2"/>
  <c r="H96" i="2"/>
  <c r="H91" i="2"/>
  <c r="H85" i="2"/>
  <c r="H76" i="2"/>
  <c r="H74" i="2"/>
  <c r="H73" i="2"/>
  <c r="H71" i="2"/>
  <c r="H69" i="2"/>
  <c r="H68" i="2"/>
  <c r="H67" i="2"/>
  <c r="H56" i="2"/>
  <c r="H52" i="2"/>
  <c r="H35" i="2"/>
  <c r="H34" i="2"/>
  <c r="H25" i="2"/>
  <c r="M25" i="2" s="1"/>
  <c r="O25" i="2" s="1"/>
  <c r="P25" i="2" s="1"/>
  <c r="H23" i="2"/>
  <c r="M23" i="2" s="1"/>
  <c r="O23" i="2" s="1"/>
  <c r="P23" i="2" s="1"/>
  <c r="H22" i="2"/>
  <c r="M22" i="2" s="1"/>
  <c r="O22" i="2" s="1"/>
  <c r="P22" i="2" s="1"/>
  <c r="H6" i="2"/>
  <c r="H7" i="2"/>
  <c r="H8" i="2"/>
  <c r="H9" i="2"/>
  <c r="H10" i="2"/>
  <c r="X206" i="4" l="1"/>
  <c r="X202" i="4"/>
  <c r="X204" i="4"/>
  <c r="AC204" i="4" s="1"/>
  <c r="AE204" i="4" s="1"/>
  <c r="X203" i="4"/>
  <c r="AC203" i="4" s="1"/>
  <c r="AE203" i="4" s="1"/>
  <c r="X205" i="4"/>
  <c r="Z205" i="4" s="1"/>
  <c r="F247" i="3"/>
  <c r="AE207" i="4"/>
  <c r="Z18" i="4"/>
  <c r="AC18" i="4"/>
  <c r="AE18" i="4" s="1"/>
  <c r="Z236" i="4"/>
  <c r="AC236" i="4"/>
  <c r="E91" i="8"/>
  <c r="G91" i="8" s="1"/>
  <c r="X320" i="4"/>
  <c r="AC243" i="4"/>
  <c r="AC70" i="4"/>
  <c r="AE70" i="4" s="1"/>
  <c r="AC11" i="4"/>
  <c r="AE11" i="4" s="1"/>
  <c r="Z207" i="4"/>
  <c r="AC13" i="4"/>
  <c r="AE13" i="4" s="1"/>
  <c r="AC12" i="4"/>
  <c r="AE12" i="4" s="1"/>
  <c r="AC237" i="4"/>
  <c r="AC14" i="4"/>
  <c r="AE14" i="4" s="1"/>
  <c r="AC10" i="4"/>
  <c r="AE10" i="4" s="1"/>
  <c r="AC251" i="4"/>
  <c r="AE19" i="4"/>
  <c r="AE218" i="4"/>
  <c r="F60" i="8"/>
  <c r="AC202" i="4" l="1"/>
  <c r="Z202" i="4"/>
  <c r="Z203" i="4"/>
  <c r="Z204" i="4"/>
  <c r="AC205" i="4"/>
  <c r="AE205" i="4" s="1"/>
  <c r="Z206" i="4"/>
  <c r="AC152" i="4"/>
  <c r="AD152" i="4"/>
  <c r="AE243" i="4"/>
  <c r="AE236" i="4"/>
  <c r="Z320" i="4"/>
  <c r="AC320" i="4"/>
  <c r="AE251" i="4"/>
  <c r="AE237" i="4"/>
  <c r="J264" i="2"/>
  <c r="J212" i="2"/>
  <c r="AE202" i="4" l="1"/>
  <c r="AE152" i="4"/>
  <c r="Z152" i="4"/>
  <c r="AE320" i="4"/>
  <c r="H91" i="8" s="1"/>
  <c r="J168" i="2"/>
  <c r="J243" i="2"/>
  <c r="J213" i="2"/>
  <c r="J263" i="2"/>
  <c r="J161" i="2"/>
  <c r="J165" i="2"/>
  <c r="J167" i="2"/>
  <c r="J171" i="2"/>
  <c r="J237" i="2"/>
  <c r="J166" i="2"/>
  <c r="J8" i="2"/>
  <c r="J267" i="2"/>
  <c r="J266" i="2"/>
  <c r="J268" i="2"/>
  <c r="J23" i="2"/>
  <c r="J34" i="2"/>
  <c r="J69" i="2"/>
  <c r="J76" i="2"/>
  <c r="J100" i="2"/>
  <c r="J125" i="2"/>
  <c r="J135" i="2"/>
  <c r="J22" i="2"/>
  <c r="J25" i="2"/>
  <c r="J68" i="2"/>
  <c r="J71" i="2"/>
  <c r="J74" i="2"/>
  <c r="J124" i="2"/>
  <c r="J128" i="2"/>
  <c r="J9" i="2"/>
  <c r="J7" i="2"/>
  <c r="J73" i="2"/>
  <c r="J85" i="2"/>
  <c r="J97" i="2"/>
  <c r="J99" i="2"/>
  <c r="J101" i="2"/>
  <c r="J130" i="2"/>
  <c r="J132" i="2"/>
  <c r="J134" i="2"/>
  <c r="J10" i="2"/>
  <c r="J6" i="2"/>
  <c r="J56" i="2"/>
  <c r="J96" i="2"/>
  <c r="J131" i="2"/>
  <c r="J35" i="2"/>
  <c r="J52" i="2"/>
  <c r="J67" i="2"/>
  <c r="J91" i="2"/>
  <c r="J98" i="2"/>
  <c r="J172" i="2"/>
  <c r="J205" i="2"/>
  <c r="AB126" i="4" l="1"/>
  <c r="T126" i="4"/>
  <c r="U126" i="4" s="1"/>
  <c r="V126" i="4" s="1"/>
  <c r="AD126" i="4" l="1"/>
  <c r="X126" i="4"/>
  <c r="Z126" i="4" s="1"/>
  <c r="AC126" i="4" l="1"/>
  <c r="AE126" i="4" s="1"/>
  <c r="K227" i="3" l="1"/>
  <c r="L227" i="3" s="1"/>
  <c r="A227" i="3"/>
  <c r="C227" i="3"/>
  <c r="D227" i="3"/>
  <c r="E227" i="3"/>
  <c r="B227" i="3"/>
  <c r="K229" i="3"/>
  <c r="K230" i="3"/>
  <c r="K231" i="3"/>
  <c r="K232" i="3"/>
  <c r="K228" i="3"/>
  <c r="H227" i="3" l="1"/>
  <c r="G227" i="3"/>
  <c r="N227" i="3"/>
  <c r="A140" i="3" l="1"/>
  <c r="B140" i="3"/>
  <c r="C140" i="3"/>
  <c r="D140" i="3"/>
  <c r="E140" i="3"/>
  <c r="K140" i="3"/>
  <c r="L140" i="3" s="1"/>
  <c r="A141" i="3"/>
  <c r="B141" i="3"/>
  <c r="C141" i="3"/>
  <c r="D141" i="3"/>
  <c r="E141" i="3"/>
  <c r="K141" i="3"/>
  <c r="L141" i="3" s="1"/>
  <c r="A142" i="3"/>
  <c r="B142" i="3"/>
  <c r="C142" i="3"/>
  <c r="D142" i="3"/>
  <c r="E142" i="3"/>
  <c r="K142" i="3"/>
  <c r="L142" i="3" s="1"/>
  <c r="A143" i="3"/>
  <c r="B143" i="3"/>
  <c r="C143" i="3"/>
  <c r="D143" i="3"/>
  <c r="E143" i="3"/>
  <c r="K143" i="3"/>
  <c r="L143" i="3" s="1"/>
  <c r="A144" i="3"/>
  <c r="B144" i="3"/>
  <c r="C144" i="3"/>
  <c r="D144" i="3"/>
  <c r="E144" i="3"/>
  <c r="K144" i="3"/>
  <c r="L144" i="3" s="1"/>
  <c r="K145" i="3"/>
  <c r="L145" i="3" s="1"/>
  <c r="K146" i="3"/>
  <c r="L146" i="3" s="1"/>
  <c r="L147" i="3"/>
  <c r="K148" i="3"/>
  <c r="L148" i="3" s="1"/>
  <c r="K149" i="3"/>
  <c r="L149" i="3" s="1"/>
  <c r="K150" i="3"/>
  <c r="L150" i="3" s="1"/>
  <c r="K152" i="3"/>
  <c r="L152" i="3" s="1"/>
  <c r="K153" i="3"/>
  <c r="L153" i="3" s="1"/>
  <c r="K154" i="3"/>
  <c r="L154" i="3" s="1"/>
  <c r="K155" i="3"/>
  <c r="L155" i="3" s="1"/>
  <c r="K156" i="3"/>
  <c r="L156" i="3" s="1"/>
  <c r="K157" i="3"/>
  <c r="L157" i="3" s="1"/>
  <c r="K158" i="3"/>
  <c r="L158" i="3" s="1"/>
  <c r="K163" i="3"/>
  <c r="L163" i="3" s="1"/>
  <c r="K164" i="3"/>
  <c r="L164" i="3" s="1"/>
  <c r="K165" i="3"/>
  <c r="K166" i="3"/>
  <c r="L166" i="3" s="1"/>
  <c r="K167" i="3"/>
  <c r="L167" i="3" s="1"/>
  <c r="K168" i="3"/>
  <c r="L168" i="3" s="1"/>
  <c r="K169" i="3"/>
  <c r="L169" i="3" s="1"/>
  <c r="K170" i="3"/>
  <c r="L170" i="3" s="1"/>
  <c r="K171" i="3"/>
  <c r="L171" i="3" s="1"/>
  <c r="K173" i="3"/>
  <c r="L173" i="3" s="1"/>
  <c r="K174" i="3"/>
  <c r="L174" i="3" s="1"/>
  <c r="K175" i="3"/>
  <c r="L175" i="3" s="1"/>
  <c r="K177" i="3"/>
  <c r="L177" i="3" s="1"/>
  <c r="K178" i="3"/>
  <c r="L178" i="3" s="1"/>
  <c r="K179" i="3"/>
  <c r="L179" i="3" s="1"/>
  <c r="K180" i="3"/>
  <c r="L180" i="3" s="1"/>
  <c r="K181" i="3"/>
  <c r="L181" i="3" s="1"/>
  <c r="K182" i="3"/>
  <c r="L182" i="3" s="1"/>
  <c r="K184" i="3"/>
  <c r="L184" i="3" s="1"/>
  <c r="K185" i="3"/>
  <c r="L185" i="3" s="1"/>
  <c r="K186" i="3"/>
  <c r="K187" i="3"/>
  <c r="L187" i="3" s="1"/>
  <c r="K188" i="3"/>
  <c r="L188" i="3" s="1"/>
  <c r="K189" i="3"/>
  <c r="L189" i="3" s="1"/>
  <c r="K190" i="3"/>
  <c r="L190" i="3" s="1"/>
  <c r="K191" i="3"/>
  <c r="L191" i="3" s="1"/>
  <c r="K192" i="3"/>
  <c r="L192" i="3" s="1"/>
  <c r="K193" i="3"/>
  <c r="L193" i="3" s="1"/>
  <c r="K194" i="3"/>
  <c r="K195" i="3"/>
  <c r="L195" i="3" s="1"/>
  <c r="K196" i="3"/>
  <c r="L196" i="3" s="1"/>
  <c r="K197" i="3"/>
  <c r="K200" i="3"/>
  <c r="K202" i="3"/>
  <c r="L202" i="3" s="1"/>
  <c r="K204" i="3"/>
  <c r="L204" i="3" s="1"/>
  <c r="K205" i="3"/>
  <c r="L205" i="3" s="1"/>
  <c r="K206" i="3"/>
  <c r="L206" i="3" s="1"/>
  <c r="K207" i="3"/>
  <c r="L207" i="3" s="1"/>
  <c r="K208" i="3"/>
  <c r="L208" i="3" s="1"/>
  <c r="K210" i="3"/>
  <c r="L210" i="3" s="1"/>
  <c r="K211" i="3"/>
  <c r="L211" i="3" s="1"/>
  <c r="K212" i="3"/>
  <c r="L212" i="3" s="1"/>
  <c r="K213" i="3"/>
  <c r="L213" i="3" s="1"/>
  <c r="K214" i="3"/>
  <c r="L214" i="3" s="1"/>
  <c r="K215" i="3"/>
  <c r="L215" i="3" s="1"/>
  <c r="K216" i="3"/>
  <c r="L216" i="3" s="1"/>
  <c r="K217" i="3"/>
  <c r="L217" i="3" s="1"/>
  <c r="K218" i="3"/>
  <c r="L218" i="3" s="1"/>
  <c r="K220" i="3"/>
  <c r="L220" i="3" s="1"/>
  <c r="K221" i="3"/>
  <c r="L221" i="3" s="1"/>
  <c r="K223" i="3"/>
  <c r="L223" i="3" s="1"/>
  <c r="K224" i="3"/>
  <c r="L224" i="3" s="1"/>
  <c r="K225" i="3"/>
  <c r="K226" i="3"/>
  <c r="L226" i="3" s="1"/>
  <c r="L228" i="3"/>
  <c r="L229" i="3"/>
  <c r="L230" i="3"/>
  <c r="L231" i="3"/>
  <c r="L232" i="3"/>
  <c r="L233" i="3"/>
  <c r="G143" i="3" l="1"/>
  <c r="H143" i="3" s="1"/>
  <c r="G141" i="3"/>
  <c r="H141" i="3" s="1"/>
  <c r="M141" i="3" s="1"/>
  <c r="G144" i="3"/>
  <c r="H144" i="3" s="1"/>
  <c r="M144" i="3" s="1"/>
  <c r="G142" i="3"/>
  <c r="H142" i="3" s="1"/>
  <c r="G140" i="3"/>
  <c r="H140" i="3" s="1"/>
  <c r="M140" i="3" s="1"/>
  <c r="L225" i="3"/>
  <c r="N225" i="3" s="1"/>
  <c r="N233" i="3"/>
  <c r="N229" i="3"/>
  <c r="N231" i="3"/>
  <c r="N228" i="3"/>
  <c r="N232" i="3"/>
  <c r="N230" i="3"/>
  <c r="G107" i="2"/>
  <c r="G105" i="2"/>
  <c r="H105" i="2" s="1"/>
  <c r="J105" i="2" s="1"/>
  <c r="N142" i="3"/>
  <c r="G108" i="2"/>
  <c r="H108" i="2" s="1"/>
  <c r="J108" i="2" s="1"/>
  <c r="N149" i="3"/>
  <c r="N146" i="3"/>
  <c r="N170" i="3"/>
  <c r="N145" i="3"/>
  <c r="G106" i="2"/>
  <c r="H106" i="2" s="1"/>
  <c r="J106" i="2" s="1"/>
  <c r="N147" i="3"/>
  <c r="N163" i="3"/>
  <c r="N226" i="3"/>
  <c r="N223" i="3"/>
  <c r="N205" i="3"/>
  <c r="N202" i="3"/>
  <c r="N196" i="3"/>
  <c r="N192" i="3"/>
  <c r="N191" i="3"/>
  <c r="N189" i="3"/>
  <c r="N187" i="3"/>
  <c r="N179" i="3"/>
  <c r="N177" i="3"/>
  <c r="N175" i="3"/>
  <c r="N157" i="3"/>
  <c r="N217" i="3"/>
  <c r="N213" i="3"/>
  <c r="N210" i="3"/>
  <c r="N204" i="3"/>
  <c r="N195" i="3"/>
  <c r="N182" i="3"/>
  <c r="N174" i="3"/>
  <c r="N164" i="3"/>
  <c r="N166" i="3"/>
  <c r="N154" i="3"/>
  <c r="G175" i="2"/>
  <c r="H175" i="2" s="1"/>
  <c r="J175" i="2" s="1"/>
  <c r="G103" i="2"/>
  <c r="N224" i="3"/>
  <c r="N221" i="3"/>
  <c r="N215" i="3"/>
  <c r="N211" i="3"/>
  <c r="N206" i="3"/>
  <c r="N193" i="3"/>
  <c r="N190" i="3"/>
  <c r="N188" i="3"/>
  <c r="N184" i="3"/>
  <c r="N180" i="3"/>
  <c r="N171" i="3"/>
  <c r="N208" i="3"/>
  <c r="N150" i="3"/>
  <c r="N143" i="3"/>
  <c r="N168" i="3"/>
  <c r="N218" i="3"/>
  <c r="N216" i="3"/>
  <c r="N212" i="3"/>
  <c r="N207" i="3"/>
  <c r="N185" i="3"/>
  <c r="N181" i="3"/>
  <c r="N178" i="3"/>
  <c r="N173" i="3"/>
  <c r="N169" i="3"/>
  <c r="N167" i="3"/>
  <c r="N155" i="3"/>
  <c r="N153" i="3"/>
  <c r="N220" i="3"/>
  <c r="N141" i="3"/>
  <c r="N144" i="3"/>
  <c r="N214" i="3"/>
  <c r="N158" i="3"/>
  <c r="N148" i="3"/>
  <c r="N140" i="3"/>
  <c r="G104" i="2"/>
  <c r="H104" i="2" s="1"/>
  <c r="J104" i="2" s="1"/>
  <c r="A148" i="3"/>
  <c r="B148" i="3"/>
  <c r="C148" i="3"/>
  <c r="D148" i="3"/>
  <c r="H148" i="3"/>
  <c r="A78" i="3"/>
  <c r="B78" i="3"/>
  <c r="C78" i="3"/>
  <c r="D78" i="3"/>
  <c r="E78" i="3"/>
  <c r="K78" i="3"/>
  <c r="A79" i="3"/>
  <c r="B79" i="3"/>
  <c r="C79" i="3"/>
  <c r="D79" i="3"/>
  <c r="E79" i="3"/>
  <c r="K79" i="3"/>
  <c r="L79" i="3" s="1"/>
  <c r="A80" i="3"/>
  <c r="B80" i="3"/>
  <c r="C80" i="3"/>
  <c r="D80" i="3"/>
  <c r="E80" i="3"/>
  <c r="K80" i="3"/>
  <c r="L80" i="3" s="1"/>
  <c r="A81" i="3"/>
  <c r="B81" i="3"/>
  <c r="C81" i="3"/>
  <c r="D81" i="3"/>
  <c r="E81" i="3"/>
  <c r="K81" i="3"/>
  <c r="L81" i="3" s="1"/>
  <c r="A82" i="3"/>
  <c r="B82" i="3"/>
  <c r="C82" i="3"/>
  <c r="D82" i="3"/>
  <c r="E82" i="3"/>
  <c r="K82" i="3"/>
  <c r="L82" i="3" s="1"/>
  <c r="A83" i="3"/>
  <c r="B83" i="3"/>
  <c r="C83" i="3"/>
  <c r="D83" i="3"/>
  <c r="E83" i="3"/>
  <c r="K83" i="3"/>
  <c r="L262" i="2"/>
  <c r="G262" i="2"/>
  <c r="L183" i="2"/>
  <c r="G183" i="2"/>
  <c r="L175" i="2"/>
  <c r="L103" i="2"/>
  <c r="L104" i="2"/>
  <c r="L105" i="2"/>
  <c r="L106" i="2"/>
  <c r="L107" i="2"/>
  <c r="L13" i="2"/>
  <c r="G13" i="2"/>
  <c r="G78" i="3" l="1"/>
  <c r="H78" i="3" s="1"/>
  <c r="G82" i="3"/>
  <c r="H82" i="3" s="1"/>
  <c r="M82" i="3" s="1"/>
  <c r="G80" i="3"/>
  <c r="H80" i="3" s="1"/>
  <c r="G83" i="3"/>
  <c r="H83" i="3" s="1"/>
  <c r="G81" i="3"/>
  <c r="H81" i="3" s="1"/>
  <c r="M81" i="3" s="1"/>
  <c r="G79" i="3"/>
  <c r="H79" i="3" s="1"/>
  <c r="M79" i="3" s="1"/>
  <c r="M175" i="2"/>
  <c r="L78" i="3"/>
  <c r="N78" i="3" s="1"/>
  <c r="H262" i="2"/>
  <c r="J262" i="2" s="1"/>
  <c r="H183" i="2"/>
  <c r="J183" i="2" s="1"/>
  <c r="H107" i="2"/>
  <c r="J107" i="2" s="1"/>
  <c r="M106" i="2"/>
  <c r="M105" i="2"/>
  <c r="M104" i="2"/>
  <c r="H103" i="2"/>
  <c r="J103" i="2" s="1"/>
  <c r="H13" i="2"/>
  <c r="J227" i="3"/>
  <c r="M227" i="3"/>
  <c r="O227" i="3" s="1"/>
  <c r="O141" i="3"/>
  <c r="O144" i="3"/>
  <c r="N105" i="2"/>
  <c r="N262" i="2"/>
  <c r="N104" i="2"/>
  <c r="O140" i="3"/>
  <c r="N107" i="2"/>
  <c r="N103" i="2"/>
  <c r="N82" i="3"/>
  <c r="N79" i="3"/>
  <c r="N156" i="3"/>
  <c r="N80" i="3"/>
  <c r="N81" i="3"/>
  <c r="J141" i="3"/>
  <c r="J144" i="3"/>
  <c r="J140" i="3"/>
  <c r="M148" i="3"/>
  <c r="N175" i="2"/>
  <c r="N183" i="2"/>
  <c r="N13" i="2"/>
  <c r="N106" i="2"/>
  <c r="M262" i="2" l="1"/>
  <c r="O262" i="2" s="1"/>
  <c r="P262" i="2" s="1"/>
  <c r="M183" i="2"/>
  <c r="O183" i="2" s="1"/>
  <c r="P183" i="2" s="1"/>
  <c r="M107" i="2"/>
  <c r="O107" i="2" s="1"/>
  <c r="P107" i="2" s="1"/>
  <c r="M103" i="2"/>
  <c r="O103" i="2" s="1"/>
  <c r="P103" i="2" s="1"/>
  <c r="J78" i="3"/>
  <c r="M78" i="3"/>
  <c r="O78" i="3" s="1"/>
  <c r="J80" i="3"/>
  <c r="M80" i="3"/>
  <c r="O80" i="3" s="1"/>
  <c r="J142" i="3"/>
  <c r="M142" i="3"/>
  <c r="O142" i="3" s="1"/>
  <c r="M13" i="2"/>
  <c r="O13" i="2" s="1"/>
  <c r="P13" i="2" s="1"/>
  <c r="J13" i="2"/>
  <c r="J143" i="3"/>
  <c r="M143" i="3"/>
  <c r="O143" i="3" s="1"/>
  <c r="O175" i="2"/>
  <c r="P175" i="2" s="1"/>
  <c r="O82" i="3"/>
  <c r="O105" i="2"/>
  <c r="P105" i="2" s="1"/>
  <c r="O79" i="3"/>
  <c r="O81" i="3"/>
  <c r="O104" i="2"/>
  <c r="P104" i="2" s="1"/>
  <c r="O106" i="2"/>
  <c r="P106" i="2" s="1"/>
  <c r="J148" i="3"/>
  <c r="O148" i="3"/>
  <c r="J79" i="3"/>
  <c r="J81" i="3"/>
  <c r="J83" i="3"/>
  <c r="J82" i="3"/>
  <c r="T4" i="4" l="1"/>
  <c r="U4" i="4" s="1"/>
  <c r="V4" i="4" s="1"/>
  <c r="T5" i="4"/>
  <c r="U5" i="4" s="1"/>
  <c r="T6" i="4"/>
  <c r="U6" i="4" s="1"/>
  <c r="T7" i="4"/>
  <c r="U7" i="4" s="1"/>
  <c r="T8" i="4"/>
  <c r="U8" i="4" s="1"/>
  <c r="T9" i="4"/>
  <c r="U9" i="4" s="1"/>
  <c r="AB4" i="4"/>
  <c r="AB5" i="4"/>
  <c r="AB6" i="4"/>
  <c r="AB7" i="4"/>
  <c r="AB8" i="4"/>
  <c r="AB9" i="4"/>
  <c r="AD5" i="4" l="1"/>
  <c r="AD4" i="4"/>
  <c r="V7" i="4"/>
  <c r="X7" i="4" s="1"/>
  <c r="Z7" i="4" s="1"/>
  <c r="V6" i="4"/>
  <c r="X6" i="4" s="1"/>
  <c r="Z6" i="4" s="1"/>
  <c r="V9" i="4"/>
  <c r="X9" i="4" s="1"/>
  <c r="Z9" i="4" s="1"/>
  <c r="V5" i="4"/>
  <c r="X5" i="4" s="1"/>
  <c r="Z5" i="4" s="1"/>
  <c r="V8" i="4"/>
  <c r="X8" i="4" s="1"/>
  <c r="Z8" i="4" s="1"/>
  <c r="X4" i="4"/>
  <c r="Z4" i="4" s="1"/>
  <c r="AD9" i="4"/>
  <c r="AD8" i="4"/>
  <c r="AD7" i="4"/>
  <c r="AD6" i="4"/>
  <c r="AC4" i="4" l="1"/>
  <c r="AE4" i="4" s="1"/>
  <c r="AC8" i="4"/>
  <c r="AE8" i="4" s="1"/>
  <c r="AC7" i="4"/>
  <c r="AE7" i="4" s="1"/>
  <c r="AC9" i="4"/>
  <c r="AE9" i="4" s="1"/>
  <c r="AC6" i="4"/>
  <c r="AE6" i="4" s="1"/>
  <c r="AC5" i="4"/>
  <c r="AE5" i="4" s="1"/>
  <c r="AB234" i="4" l="1"/>
  <c r="AB235" i="4"/>
  <c r="AD235" i="4" s="1"/>
  <c r="AD234" i="4" l="1"/>
  <c r="G6" i="2" l="1"/>
  <c r="L6" i="2"/>
  <c r="M6" i="2" s="1"/>
  <c r="N6" i="2" l="1"/>
  <c r="O6" i="2" l="1"/>
  <c r="P6" i="2" s="1"/>
  <c r="AB16" i="4" l="1"/>
  <c r="T16" i="4"/>
  <c r="U16" i="4" s="1"/>
  <c r="V16" i="4" s="1"/>
  <c r="AB30" i="4"/>
  <c r="T30" i="4"/>
  <c r="U30" i="4" s="1"/>
  <c r="V30" i="4" s="1"/>
  <c r="AB29" i="4"/>
  <c r="AB31" i="4"/>
  <c r="T29" i="4"/>
  <c r="U29" i="4" s="1"/>
  <c r="V29" i="4" s="1"/>
  <c r="AD31" i="4" l="1"/>
  <c r="AD16" i="4"/>
  <c r="Z30" i="4"/>
  <c r="AC29" i="4"/>
  <c r="AD29" i="4"/>
  <c r="Z16" i="4"/>
  <c r="AC16" i="4"/>
  <c r="AD30" i="4"/>
  <c r="AE16" i="4" l="1"/>
  <c r="AC30" i="4"/>
  <c r="AE30" i="4" s="1"/>
  <c r="AE29" i="4"/>
  <c r="Z29" i="4"/>
  <c r="AB22" i="4"/>
  <c r="AB23" i="4"/>
  <c r="AB24" i="4"/>
  <c r="AB25" i="4"/>
  <c r="AB26" i="4"/>
  <c r="AB28" i="4"/>
  <c r="T28" i="4"/>
  <c r="U28" i="4" s="1"/>
  <c r="V28" i="4" s="1"/>
  <c r="T27" i="4"/>
  <c r="U27" i="4" s="1"/>
  <c r="V27" i="4" s="1"/>
  <c r="T26" i="4"/>
  <c r="U26" i="4" s="1"/>
  <c r="V26" i="4" s="1"/>
  <c r="T25" i="4"/>
  <c r="U25" i="4" s="1"/>
  <c r="V25" i="4" s="1"/>
  <c r="T24" i="4"/>
  <c r="U24" i="4" s="1"/>
  <c r="V24" i="4" s="1"/>
  <c r="T23" i="4"/>
  <c r="U23" i="4" s="1"/>
  <c r="V23" i="4" s="1"/>
  <c r="T22" i="4"/>
  <c r="U22" i="4" s="1"/>
  <c r="V22" i="4" s="1"/>
  <c r="AB215" i="4"/>
  <c r="AB219" i="4"/>
  <c r="AD219" i="4" s="1"/>
  <c r="AB220" i="4"/>
  <c r="AD220" i="4" s="1"/>
  <c r="T220" i="4"/>
  <c r="U220" i="4" s="1"/>
  <c r="V220" i="4" s="1"/>
  <c r="Z219" i="4"/>
  <c r="T219" i="4"/>
  <c r="U219" i="4" s="1"/>
  <c r="V219" i="4" s="1"/>
  <c r="AB20" i="4"/>
  <c r="AB21" i="4"/>
  <c r="T20" i="4"/>
  <c r="U20" i="4" s="1"/>
  <c r="V20" i="4" s="1"/>
  <c r="Z20" i="4"/>
  <c r="T21" i="4"/>
  <c r="U21" i="4" s="1"/>
  <c r="V21" i="4" s="1"/>
  <c r="Z21" i="4"/>
  <c r="AD20" i="4" l="1"/>
  <c r="X23" i="4"/>
  <c r="Z23" i="4" s="1"/>
  <c r="X24" i="4"/>
  <c r="Z24" i="4" s="1"/>
  <c r="X25" i="4"/>
  <c r="Z25" i="4" s="1"/>
  <c r="X27" i="4"/>
  <c r="Z27" i="4" s="1"/>
  <c r="X28" i="4"/>
  <c r="Z28" i="4" s="1"/>
  <c r="AC220" i="4"/>
  <c r="Z220" i="4"/>
  <c r="AC219" i="4"/>
  <c r="AD28" i="4"/>
  <c r="AD26" i="4"/>
  <c r="AD25" i="4"/>
  <c r="AD24" i="4"/>
  <c r="AD23" i="4"/>
  <c r="AD22" i="4"/>
  <c r="AD215" i="4"/>
  <c r="AC21" i="4"/>
  <c r="AC20" i="4"/>
  <c r="AD21" i="4"/>
  <c r="AE20" i="4" l="1"/>
  <c r="AE219" i="4"/>
  <c r="AE220" i="4"/>
  <c r="X22" i="4"/>
  <c r="Z22" i="4" s="1"/>
  <c r="X26" i="4"/>
  <c r="Z26" i="4" s="1"/>
  <c r="AC24" i="4"/>
  <c r="AE24" i="4" s="1"/>
  <c r="AC23" i="4"/>
  <c r="AE23" i="4" s="1"/>
  <c r="AC25" i="4"/>
  <c r="AE25" i="4" s="1"/>
  <c r="AC28" i="4"/>
  <c r="AE28" i="4" s="1"/>
  <c r="AE21" i="4"/>
  <c r="AC22" i="4" l="1"/>
  <c r="AE22" i="4" s="1"/>
  <c r="AC26" i="4"/>
  <c r="AE26" i="4" s="1"/>
  <c r="T215" i="4"/>
  <c r="U215" i="4" s="1"/>
  <c r="V215" i="4" s="1"/>
  <c r="T235" i="4"/>
  <c r="U235" i="4" s="1"/>
  <c r="V235" i="4" s="1"/>
  <c r="T234" i="4"/>
  <c r="U234" i="4" s="1"/>
  <c r="V234" i="4" s="1"/>
  <c r="D64" i="8" l="1"/>
  <c r="E64" i="8" s="1"/>
  <c r="G64" i="8" s="1"/>
  <c r="X215" i="4"/>
  <c r="AC215" i="4" s="1"/>
  <c r="AC235" i="4"/>
  <c r="Z234" i="4"/>
  <c r="AC234" i="4"/>
  <c r="AE235" i="4" l="1"/>
  <c r="AE234" i="4"/>
  <c r="AE215" i="4"/>
  <c r="H64" i="8" s="1"/>
  <c r="Z215" i="4"/>
  <c r="Z235" i="4"/>
  <c r="AB163" i="4"/>
  <c r="T163" i="4"/>
  <c r="U163" i="4" s="1"/>
  <c r="V163" i="4" l="1"/>
  <c r="X163" i="4" s="1"/>
  <c r="AD163" i="4" l="1"/>
  <c r="AC163" i="4"/>
  <c r="Z163" i="4"/>
  <c r="AE163" i="4" l="1"/>
  <c r="T89" i="4"/>
  <c r="U89" i="4" s="1"/>
  <c r="V89" i="4" l="1"/>
  <c r="X89" i="4" s="1"/>
  <c r="T31" i="4"/>
  <c r="U31" i="4" s="1"/>
  <c r="V31" i="4" s="1"/>
  <c r="X31" i="4" l="1"/>
  <c r="AC31" i="4" s="1"/>
  <c r="AE31" i="4" s="1"/>
  <c r="T309" i="4"/>
  <c r="U309" i="4" s="1"/>
  <c r="V309" i="4" s="1"/>
  <c r="T175" i="4"/>
  <c r="U175" i="4" s="1"/>
  <c r="V175" i="4" l="1"/>
  <c r="X175" i="4" s="1"/>
  <c r="Z31" i="4"/>
  <c r="T231" i="4"/>
  <c r="U231" i="4" s="1"/>
  <c r="V231" i="4" s="1"/>
  <c r="T232" i="4"/>
  <c r="U232" i="4" s="1"/>
  <c r="V232" i="4" s="1"/>
  <c r="T233" i="4"/>
  <c r="U233" i="4" s="1"/>
  <c r="V233" i="4" s="1"/>
  <c r="AB231" i="4"/>
  <c r="AB232" i="4"/>
  <c r="X232" i="4" l="1"/>
  <c r="Z232" i="4" s="1"/>
  <c r="X309" i="4"/>
  <c r="Z309" i="4" s="1"/>
  <c r="AD232" i="4"/>
  <c r="AD231" i="4"/>
  <c r="T321" i="4"/>
  <c r="U321" i="4" s="1"/>
  <c r="V321" i="4" s="1"/>
  <c r="Z175" i="4" l="1"/>
  <c r="X231" i="4"/>
  <c r="Z231" i="4" s="1"/>
  <c r="X321" i="4"/>
  <c r="Z321" i="4" s="1"/>
  <c r="X233" i="4"/>
  <c r="Z233" i="4" s="1"/>
  <c r="AC232" i="4"/>
  <c r="A163" i="3"/>
  <c r="B163" i="3"/>
  <c r="C163" i="3"/>
  <c r="D163" i="3"/>
  <c r="E163" i="3"/>
  <c r="G163" i="3" s="1"/>
  <c r="A164" i="3"/>
  <c r="B164" i="3"/>
  <c r="C164" i="3"/>
  <c r="D164" i="3"/>
  <c r="E164" i="3"/>
  <c r="G164" i="3" s="1"/>
  <c r="A165" i="3"/>
  <c r="B165" i="3"/>
  <c r="C165" i="3"/>
  <c r="D165" i="3"/>
  <c r="E165" i="3"/>
  <c r="A147" i="3"/>
  <c r="B147" i="3"/>
  <c r="C147" i="3"/>
  <c r="D147" i="3"/>
  <c r="AE232" i="4" l="1"/>
  <c r="G165" i="3"/>
  <c r="H165" i="3" s="1"/>
  <c r="J165" i="3" s="1"/>
  <c r="AC231" i="4"/>
  <c r="H163" i="3"/>
  <c r="M163" i="3" s="1"/>
  <c r="O163" i="3" s="1"/>
  <c r="H147" i="3"/>
  <c r="M147" i="3" s="1"/>
  <c r="O147" i="3" s="1"/>
  <c r="H164" i="3"/>
  <c r="J164" i="3" s="1"/>
  <c r="A19" i="3"/>
  <c r="B19" i="3"/>
  <c r="C19" i="3"/>
  <c r="D19" i="3"/>
  <c r="E19" i="3"/>
  <c r="K19" i="3"/>
  <c r="A70" i="3"/>
  <c r="B70" i="3"/>
  <c r="C70" i="3"/>
  <c r="D70" i="3"/>
  <c r="E70" i="3"/>
  <c r="K70" i="3"/>
  <c r="G200" i="2"/>
  <c r="H200" i="2" s="1"/>
  <c r="J200" i="2" s="1"/>
  <c r="L199" i="2"/>
  <c r="G199" i="2"/>
  <c r="H199" i="2" s="1"/>
  <c r="J199" i="2" s="1"/>
  <c r="L198" i="2"/>
  <c r="G198" i="2"/>
  <c r="H198" i="2" s="1"/>
  <c r="J198" i="2" s="1"/>
  <c r="G182" i="2"/>
  <c r="H182" i="2" s="1"/>
  <c r="J182" i="2" s="1"/>
  <c r="G95" i="2"/>
  <c r="H95" i="2" s="1"/>
  <c r="J95" i="2" s="1"/>
  <c r="G44" i="2"/>
  <c r="H44" i="2" s="1"/>
  <c r="J44" i="2" s="1"/>
  <c r="AE231" i="4" l="1"/>
  <c r="G19" i="3"/>
  <c r="H19" i="3" s="1"/>
  <c r="G70" i="3"/>
  <c r="H70" i="3" s="1"/>
  <c r="J147" i="3"/>
  <c r="J163" i="3"/>
  <c r="M164" i="3"/>
  <c r="O164" i="3" s="1"/>
  <c r="M199" i="2"/>
  <c r="M198" i="2"/>
  <c r="N199" i="2"/>
  <c r="N198" i="2"/>
  <c r="O199" i="2" l="1"/>
  <c r="P199" i="2" s="1"/>
  <c r="O198" i="2"/>
  <c r="P198" i="2" s="1"/>
  <c r="J19" i="3"/>
  <c r="J70" i="3"/>
  <c r="AB245" i="4" l="1"/>
  <c r="AB246" i="4"/>
  <c r="AB248" i="4"/>
  <c r="AB249" i="4"/>
  <c r="AB250" i="4"/>
  <c r="AB257" i="4"/>
  <c r="AB260" i="4"/>
  <c r="AB265" i="4"/>
  <c r="AD265" i="4" s="1"/>
  <c r="AB266" i="4"/>
  <c r="AD266" i="4" s="1"/>
  <c r="AB267" i="4"/>
  <c r="AB277" i="4"/>
  <c r="AB279" i="4"/>
  <c r="AB280" i="4"/>
  <c r="AD280" i="4" s="1"/>
  <c r="AB281" i="4"/>
  <c r="AD281" i="4" s="1"/>
  <c r="AB282" i="4"/>
  <c r="AD282" i="4" s="1"/>
  <c r="AB283" i="4"/>
  <c r="AB295" i="4"/>
  <c r="AD295" i="4" s="1"/>
  <c r="AB306" i="4"/>
  <c r="AB308" i="4"/>
  <c r="AB314" i="4"/>
  <c r="AD314" i="4" s="1"/>
  <c r="AB317" i="4"/>
  <c r="AD317" i="4" s="1"/>
  <c r="AB329" i="4"/>
  <c r="AD329" i="4" s="1"/>
  <c r="AB330" i="4"/>
  <c r="AD330" i="4" s="1"/>
  <c r="AB332" i="4"/>
  <c r="AD332" i="4" s="1"/>
  <c r="AB333" i="4"/>
  <c r="AD333" i="4" s="1"/>
  <c r="AD306" i="4" l="1"/>
  <c r="AD308" i="4"/>
  <c r="AD283" i="4"/>
  <c r="AD260" i="4"/>
  <c r="AD277" i="4"/>
  <c r="AD267" i="4"/>
  <c r="AD279" i="4"/>
  <c r="H100" i="8" l="1"/>
  <c r="H99" i="8"/>
  <c r="H97" i="8"/>
  <c r="H93" i="8"/>
  <c r="H86" i="8"/>
  <c r="H77" i="8"/>
  <c r="F100" i="8"/>
  <c r="F99" i="8"/>
  <c r="F97" i="8"/>
  <c r="F96" i="8"/>
  <c r="F95" i="8"/>
  <c r="F93" i="8"/>
  <c r="F92" i="8"/>
  <c r="F90" i="8"/>
  <c r="F86" i="8"/>
  <c r="F78" i="8"/>
  <c r="F80" i="8"/>
  <c r="F81" i="8"/>
  <c r="F77" i="8"/>
  <c r="D100" i="8"/>
  <c r="D99" i="8"/>
  <c r="D97" i="8"/>
  <c r="D93" i="8"/>
  <c r="D86" i="8"/>
  <c r="D77" i="8"/>
  <c r="T142" i="4" l="1"/>
  <c r="U142" i="4" s="1"/>
  <c r="V142" i="4" l="1"/>
  <c r="X142" i="4" s="1"/>
  <c r="Z142" i="4" s="1"/>
  <c r="T230" i="4"/>
  <c r="U230" i="4" s="1"/>
  <c r="V230" i="4" s="1"/>
  <c r="N342" i="4"/>
  <c r="O342" i="4"/>
  <c r="P342" i="4"/>
  <c r="S342" i="4"/>
  <c r="AB229" i="4"/>
  <c r="AD229" i="4" s="1"/>
  <c r="T229" i="4"/>
  <c r="U229" i="4" s="1"/>
  <c r="V229" i="4" s="1"/>
  <c r="T228" i="4"/>
  <c r="U228" i="4" s="1"/>
  <c r="V228" i="4" s="1"/>
  <c r="Z230" i="4" l="1"/>
  <c r="Z228" i="4"/>
  <c r="X229" i="4" l="1"/>
  <c r="AC229" i="4" s="1"/>
  <c r="AE229" i="4" l="1"/>
  <c r="Z229" i="4"/>
  <c r="A91" i="3" l="1"/>
  <c r="B91" i="3"/>
  <c r="C91" i="3"/>
  <c r="D91" i="3"/>
  <c r="E91" i="3"/>
  <c r="K91" i="3"/>
  <c r="A69" i="3"/>
  <c r="B69" i="3"/>
  <c r="C69" i="3"/>
  <c r="D69" i="3"/>
  <c r="E69" i="3"/>
  <c r="K69" i="3"/>
  <c r="A56" i="3"/>
  <c r="B56" i="3"/>
  <c r="C56" i="3"/>
  <c r="D56" i="3"/>
  <c r="E56" i="3"/>
  <c r="K56" i="3"/>
  <c r="A28" i="3"/>
  <c r="B28" i="3"/>
  <c r="C28" i="3"/>
  <c r="D28" i="3"/>
  <c r="E28" i="3"/>
  <c r="G28" i="3" s="1"/>
  <c r="K28" i="3"/>
  <c r="L28" i="3" s="1"/>
  <c r="G116" i="2"/>
  <c r="H116" i="2" s="1"/>
  <c r="J116" i="2" s="1"/>
  <c r="G94" i="2"/>
  <c r="H94" i="2" s="1"/>
  <c r="J94" i="2" s="1"/>
  <c r="G81" i="2"/>
  <c r="H81" i="2" s="1"/>
  <c r="J81" i="2" s="1"/>
  <c r="G53" i="2"/>
  <c r="H53" i="2" s="1"/>
  <c r="J53" i="2" s="1"/>
  <c r="L53" i="2"/>
  <c r="G69" i="3" l="1"/>
  <c r="H69" i="3" s="1"/>
  <c r="G56" i="3"/>
  <c r="H56" i="3" s="1"/>
  <c r="G91" i="3"/>
  <c r="H91" i="3" s="1"/>
  <c r="H28" i="3"/>
  <c r="M28" i="3" s="1"/>
  <c r="M53" i="2"/>
  <c r="N28" i="3"/>
  <c r="N53" i="2"/>
  <c r="O28" i="3" l="1"/>
  <c r="O53" i="2"/>
  <c r="P53" i="2" s="1"/>
  <c r="J28" i="3"/>
  <c r="J69" i="3"/>
  <c r="J56" i="3"/>
  <c r="J91" i="3"/>
  <c r="T32" i="4" l="1"/>
  <c r="U32" i="4" s="1"/>
  <c r="AB32" i="4"/>
  <c r="AD32" i="4" l="1"/>
  <c r="V32" i="4"/>
  <c r="X32" i="4" s="1"/>
  <c r="Z32" i="4" s="1"/>
  <c r="T240" i="4"/>
  <c r="U240" i="4" s="1"/>
  <c r="V240" i="4" s="1"/>
  <c r="AC32" i="4" l="1"/>
  <c r="AE32" i="4" s="1"/>
  <c r="AC240" i="4"/>
  <c r="T33" i="4"/>
  <c r="U33" i="4" s="1"/>
  <c r="V33" i="4" s="1"/>
  <c r="AE240" i="4" l="1"/>
  <c r="X33" i="4"/>
  <c r="Z33" i="4" s="1"/>
  <c r="Z240" i="4"/>
  <c r="H63" i="8" l="1"/>
  <c r="H67" i="8"/>
  <c r="H73" i="8"/>
  <c r="H74" i="8"/>
  <c r="H56" i="8"/>
  <c r="F61" i="8"/>
  <c r="F63" i="8"/>
  <c r="F67" i="8"/>
  <c r="F68" i="8"/>
  <c r="F69" i="8"/>
  <c r="F70" i="8"/>
  <c r="F71" i="8"/>
  <c r="F72" i="8"/>
  <c r="F73" i="8"/>
  <c r="F74" i="8"/>
  <c r="F56" i="8"/>
  <c r="D63" i="8"/>
  <c r="D67" i="8"/>
  <c r="D73" i="8"/>
  <c r="D74" i="8"/>
  <c r="D56" i="8"/>
  <c r="H54" i="8"/>
  <c r="H47" i="8"/>
  <c r="F48" i="8"/>
  <c r="F49" i="8"/>
  <c r="F51" i="8"/>
  <c r="F52" i="8"/>
  <c r="F53" i="8"/>
  <c r="F54" i="8"/>
  <c r="F47" i="8"/>
  <c r="F46" i="8"/>
  <c r="D54" i="8"/>
  <c r="D47" i="8"/>
  <c r="A68" i="3" l="1"/>
  <c r="B68" i="3"/>
  <c r="C68" i="3"/>
  <c r="D68" i="3"/>
  <c r="E68" i="3"/>
  <c r="K68" i="3"/>
  <c r="A57" i="3"/>
  <c r="B57" i="3"/>
  <c r="C57" i="3"/>
  <c r="D57" i="3"/>
  <c r="E57" i="3"/>
  <c r="K57" i="3"/>
  <c r="G93" i="2"/>
  <c r="H93" i="2" s="1"/>
  <c r="J93" i="2" s="1"/>
  <c r="G82" i="2"/>
  <c r="H82" i="2" s="1"/>
  <c r="J82" i="2" s="1"/>
  <c r="G57" i="3" l="1"/>
  <c r="H57" i="3" s="1"/>
  <c r="G68" i="3"/>
  <c r="H68" i="3" s="1"/>
  <c r="J68" i="3" l="1"/>
  <c r="J57" i="3"/>
  <c r="T143" i="4"/>
  <c r="U143" i="4" s="1"/>
  <c r="V143" i="4" s="1"/>
  <c r="T268" i="4"/>
  <c r="U268" i="4" s="1"/>
  <c r="V268" i="4" s="1"/>
  <c r="T100" i="4"/>
  <c r="U100" i="4" s="1"/>
  <c r="V100" i="4" s="1"/>
  <c r="X268" i="4" l="1"/>
  <c r="Z268" i="4" s="1"/>
  <c r="X100" i="4"/>
  <c r="Z100" i="4" s="1"/>
  <c r="T319" i="4"/>
  <c r="U319" i="4" s="1"/>
  <c r="V319" i="4" s="1"/>
  <c r="T36" i="4"/>
  <c r="U36" i="4" s="1"/>
  <c r="V36" i="4" l="1"/>
  <c r="X36" i="4" s="1"/>
  <c r="Z36" i="4" s="1"/>
  <c r="X319" i="4"/>
  <c r="Z319" i="4" s="1"/>
  <c r="X143" i="4"/>
  <c r="Z143" i="4" s="1"/>
  <c r="T3" i="4" l="1"/>
  <c r="U3" i="4" s="1"/>
  <c r="V3" i="4" s="1"/>
  <c r="T318" i="4"/>
  <c r="U318" i="4" s="1"/>
  <c r="V318" i="4" s="1"/>
  <c r="T317" i="4"/>
  <c r="U317" i="4" s="1"/>
  <c r="V317" i="4" s="1"/>
  <c r="T311" i="4"/>
  <c r="U311" i="4" s="1"/>
  <c r="V311" i="4" s="1"/>
  <c r="T310" i="4"/>
  <c r="U310" i="4" s="1"/>
  <c r="V310" i="4" s="1"/>
  <c r="T308" i="4"/>
  <c r="U308" i="4" s="1"/>
  <c r="V308" i="4" s="1"/>
  <c r="T72" i="4"/>
  <c r="U72" i="4" s="1"/>
  <c r="V72" i="4" s="1"/>
  <c r="T47" i="4"/>
  <c r="U47" i="4" s="1"/>
  <c r="T45" i="4"/>
  <c r="U45" i="4" s="1"/>
  <c r="V45" i="4" s="1"/>
  <c r="T44" i="4"/>
  <c r="U44" i="4" s="1"/>
  <c r="V44" i="4" s="1"/>
  <c r="T35" i="4"/>
  <c r="U35" i="4" s="1"/>
  <c r="V35" i="4" s="1"/>
  <c r="T37" i="4"/>
  <c r="U37" i="4" s="1"/>
  <c r="V37" i="4" s="1"/>
  <c r="T38" i="4"/>
  <c r="U38" i="4" s="1"/>
  <c r="V38" i="4" s="1"/>
  <c r="T39" i="4"/>
  <c r="U39" i="4" s="1"/>
  <c r="V39" i="4" s="1"/>
  <c r="Z37" i="4"/>
  <c r="Z39" i="4"/>
  <c r="V47" i="4" l="1"/>
  <c r="X47" i="4" s="1"/>
  <c r="Z47" i="4" s="1"/>
  <c r="X310" i="4"/>
  <c r="Z310" i="4" s="1"/>
  <c r="X318" i="4"/>
  <c r="Z318" i="4" s="1"/>
  <c r="X308" i="4"/>
  <c r="X317" i="4"/>
  <c r="Z317" i="4" s="1"/>
  <c r="X38" i="4"/>
  <c r="Z38" i="4" s="1"/>
  <c r="X44" i="4"/>
  <c r="Z44" i="4" s="1"/>
  <c r="X72" i="4"/>
  <c r="Z72" i="4" s="1"/>
  <c r="X35" i="4"/>
  <c r="Z35" i="4" s="1"/>
  <c r="X45" i="4"/>
  <c r="Z45" i="4" s="1"/>
  <c r="F83" i="8"/>
  <c r="Z311" i="4"/>
  <c r="T34" i="4"/>
  <c r="U34" i="4" s="1"/>
  <c r="V34" i="4" s="1"/>
  <c r="Z308" i="4" l="1"/>
  <c r="AC308" i="4"/>
  <c r="AC317" i="4"/>
  <c r="X3" i="4"/>
  <c r="Z3" i="4" s="1"/>
  <c r="T176" i="4"/>
  <c r="U176" i="4" s="1"/>
  <c r="T177" i="4"/>
  <c r="U177" i="4" s="1"/>
  <c r="V177" i="4" s="1"/>
  <c r="X177" i="4" s="1"/>
  <c r="T40" i="4"/>
  <c r="U40" i="4" s="1"/>
  <c r="V40" i="4" s="1"/>
  <c r="AE308" i="4" l="1"/>
  <c r="AE317" i="4"/>
  <c r="V176" i="4"/>
  <c r="X176" i="4" s="1"/>
  <c r="X40" i="4"/>
  <c r="Z40" i="4" s="1"/>
  <c r="X34" i="4" l="1"/>
  <c r="Z34" i="4" s="1"/>
  <c r="F66" i="8"/>
  <c r="T172" i="4"/>
  <c r="U172" i="4" s="1"/>
  <c r="Z176" i="4" l="1"/>
  <c r="V172" i="4"/>
  <c r="X172" i="4" s="1"/>
  <c r="Z177" i="4"/>
  <c r="A93" i="3" l="1"/>
  <c r="B93" i="3"/>
  <c r="C93" i="3"/>
  <c r="D93" i="3"/>
  <c r="E93" i="3"/>
  <c r="K93" i="3"/>
  <c r="A92" i="3"/>
  <c r="B92" i="3"/>
  <c r="C92" i="3"/>
  <c r="D92" i="3"/>
  <c r="E92" i="3"/>
  <c r="K92" i="3"/>
  <c r="A90" i="3"/>
  <c r="B90" i="3"/>
  <c r="C90" i="3"/>
  <c r="D90" i="3"/>
  <c r="E90" i="3"/>
  <c r="K90" i="3"/>
  <c r="A62" i="3"/>
  <c r="B62" i="3"/>
  <c r="C62" i="3"/>
  <c r="D62" i="3"/>
  <c r="E62" i="3"/>
  <c r="K62" i="3"/>
  <c r="A46" i="3"/>
  <c r="B46" i="3"/>
  <c r="C46" i="3"/>
  <c r="D46" i="3"/>
  <c r="E46" i="3"/>
  <c r="K46" i="3"/>
  <c r="A17" i="3"/>
  <c r="B17" i="3"/>
  <c r="C17" i="3"/>
  <c r="D17" i="3"/>
  <c r="E17" i="3"/>
  <c r="K17" i="3"/>
  <c r="L17" i="3" s="1"/>
  <c r="A18" i="3"/>
  <c r="B18" i="3"/>
  <c r="C18" i="3"/>
  <c r="D18" i="3"/>
  <c r="E18" i="3"/>
  <c r="K18" i="3"/>
  <c r="A180" i="3"/>
  <c r="B180" i="3"/>
  <c r="C180" i="3"/>
  <c r="D180" i="3"/>
  <c r="E180" i="3"/>
  <c r="G180" i="3" s="1"/>
  <c r="Z172" i="4" l="1"/>
  <c r="G62" i="3"/>
  <c r="H62" i="3" s="1"/>
  <c r="G18" i="3"/>
  <c r="H18" i="3" s="1"/>
  <c r="H46" i="3"/>
  <c r="G46" i="3"/>
  <c r="G90" i="3"/>
  <c r="H90" i="3" s="1"/>
  <c r="G93" i="3"/>
  <c r="H93" i="3" s="1"/>
  <c r="G17" i="3"/>
  <c r="H17" i="3" s="1"/>
  <c r="M17" i="3" s="1"/>
  <c r="G92" i="3"/>
  <c r="H92" i="3" s="1"/>
  <c r="H180" i="3"/>
  <c r="M180" i="3" s="1"/>
  <c r="O180" i="3" s="1"/>
  <c r="N17" i="3"/>
  <c r="L215" i="2"/>
  <c r="G215" i="2"/>
  <c r="H215" i="2" s="1"/>
  <c r="J215" i="2" s="1"/>
  <c r="G118" i="2"/>
  <c r="H118" i="2" s="1"/>
  <c r="J118" i="2" s="1"/>
  <c r="G117" i="2"/>
  <c r="H117" i="2" s="1"/>
  <c r="J117" i="2" s="1"/>
  <c r="G115" i="2"/>
  <c r="H115" i="2" s="1"/>
  <c r="J115" i="2" s="1"/>
  <c r="G87" i="2"/>
  <c r="H87" i="2" s="1"/>
  <c r="J87" i="2" s="1"/>
  <c r="L42" i="2"/>
  <c r="G71" i="2"/>
  <c r="G43" i="2"/>
  <c r="H43" i="2" s="1"/>
  <c r="J43" i="2" s="1"/>
  <c r="G42" i="2"/>
  <c r="H42" i="2" s="1"/>
  <c r="J42" i="2" s="1"/>
  <c r="J180" i="3" l="1"/>
  <c r="M215" i="2"/>
  <c r="M42" i="2"/>
  <c r="O17" i="3"/>
  <c r="N42" i="2"/>
  <c r="J18" i="3"/>
  <c r="J90" i="3"/>
  <c r="J46" i="3"/>
  <c r="J92" i="3"/>
  <c r="J93" i="3"/>
  <c r="J17" i="3"/>
  <c r="J62" i="3"/>
  <c r="N215" i="2"/>
  <c r="O42" i="2" l="1"/>
  <c r="P42" i="2" s="1"/>
  <c r="O215" i="2"/>
  <c r="P215" i="2" s="1"/>
  <c r="E74" i="6" l="1"/>
  <c r="G74" i="6" s="1"/>
  <c r="K66" i="3" l="1"/>
  <c r="K58" i="3"/>
  <c r="D44" i="8" l="1"/>
  <c r="D42" i="8"/>
  <c r="D41" i="8"/>
  <c r="D40" i="8"/>
  <c r="D38" i="8"/>
  <c r="D37" i="8"/>
  <c r="D36" i="8"/>
  <c r="D35" i="8"/>
  <c r="D34" i="8"/>
  <c r="D33" i="8"/>
  <c r="D32" i="8"/>
  <c r="D31" i="8"/>
  <c r="D30" i="8"/>
  <c r="D27" i="8"/>
  <c r="D24" i="8"/>
  <c r="D21" i="8"/>
  <c r="D18" i="8"/>
  <c r="D17" i="8"/>
  <c r="D11" i="8"/>
  <c r="D4" i="8"/>
  <c r="H44" i="8"/>
  <c r="H42" i="8"/>
  <c r="H41" i="8"/>
  <c r="H40" i="8"/>
  <c r="H38" i="8"/>
  <c r="H37" i="8"/>
  <c r="H36" i="8"/>
  <c r="H35" i="8"/>
  <c r="H34" i="8"/>
  <c r="H33" i="8"/>
  <c r="H32" i="8"/>
  <c r="H31" i="8"/>
  <c r="H30" i="8"/>
  <c r="H27" i="8"/>
  <c r="H24" i="8"/>
  <c r="H21" i="8"/>
  <c r="H18" i="8"/>
  <c r="H17" i="8"/>
  <c r="H4" i="8"/>
  <c r="F111" i="8"/>
  <c r="F110" i="8"/>
  <c r="F109" i="8"/>
  <c r="F108" i="8"/>
  <c r="F107" i="8"/>
  <c r="F106" i="8"/>
  <c r="F105" i="8"/>
  <c r="F104" i="8"/>
  <c r="F103" i="8"/>
  <c r="F44" i="8"/>
  <c r="F42" i="8"/>
  <c r="F41" i="8"/>
  <c r="F40" i="8"/>
  <c r="F38" i="8"/>
  <c r="F37" i="8"/>
  <c r="F36" i="8"/>
  <c r="F35" i="8"/>
  <c r="F34" i="8"/>
  <c r="F33" i="8"/>
  <c r="F32" i="8"/>
  <c r="F31" i="8"/>
  <c r="F30" i="8"/>
  <c r="F28" i="8"/>
  <c r="F27" i="8"/>
  <c r="F25" i="8"/>
  <c r="F24" i="8"/>
  <c r="F22" i="8"/>
  <c r="F21" i="8"/>
  <c r="F20" i="8"/>
  <c r="F18" i="8"/>
  <c r="F17" i="8"/>
  <c r="F13" i="8"/>
  <c r="F11" i="8"/>
  <c r="F10" i="8"/>
  <c r="F9" i="8"/>
  <c r="F8" i="8"/>
  <c r="F7" i="8"/>
  <c r="F6" i="8"/>
  <c r="F5" i="8"/>
  <c r="F4" i="8"/>
  <c r="F3" i="8"/>
  <c r="H114" i="6"/>
  <c r="H109" i="6"/>
  <c r="H106" i="6"/>
  <c r="H100" i="6"/>
  <c r="H96" i="6"/>
  <c r="H87" i="6"/>
  <c r="H84" i="6"/>
  <c r="H83" i="6"/>
  <c r="H81" i="6"/>
  <c r="H79" i="6"/>
  <c r="H73" i="6"/>
  <c r="H72" i="6"/>
  <c r="H71" i="6"/>
  <c r="H70" i="6"/>
  <c r="H68" i="6"/>
  <c r="H67" i="6"/>
  <c r="H66" i="6"/>
  <c r="H65" i="6"/>
  <c r="H64" i="6"/>
  <c r="H63" i="6"/>
  <c r="H62" i="6"/>
  <c r="H61" i="6"/>
  <c r="H60" i="6"/>
  <c r="H56" i="6"/>
  <c r="H37" i="6"/>
  <c r="H30" i="6"/>
  <c r="H27" i="6"/>
  <c r="H26" i="6"/>
  <c r="H24" i="6"/>
  <c r="H23" i="6"/>
  <c r="H22" i="6"/>
  <c r="H21" i="6"/>
  <c r="H16" i="6"/>
  <c r="H15" i="6"/>
  <c r="H14" i="6"/>
  <c r="H13" i="6"/>
  <c r="H11" i="6"/>
  <c r="H10" i="6"/>
  <c r="H9" i="6"/>
  <c r="H8" i="6"/>
  <c r="H7" i="6"/>
  <c r="H6" i="6"/>
  <c r="H5" i="6"/>
  <c r="H4" i="6"/>
  <c r="H3" i="6"/>
  <c r="F114" i="6"/>
  <c r="F113" i="6"/>
  <c r="F111" i="6"/>
  <c r="F110" i="6"/>
  <c r="F109" i="6"/>
  <c r="F108" i="6"/>
  <c r="F107" i="6"/>
  <c r="F106" i="6"/>
  <c r="F105" i="6"/>
  <c r="F102" i="6"/>
  <c r="F101" i="6"/>
  <c r="F100" i="6"/>
  <c r="F96" i="6"/>
  <c r="F94" i="6"/>
  <c r="F93" i="6"/>
  <c r="F92" i="6"/>
  <c r="F91" i="6"/>
  <c r="F90" i="6"/>
  <c r="F89" i="6"/>
  <c r="F88" i="6"/>
  <c r="F87" i="6"/>
  <c r="F86" i="6"/>
  <c r="F84" i="6"/>
  <c r="F83" i="6"/>
  <c r="F82" i="6"/>
  <c r="F81" i="6"/>
  <c r="F80" i="6"/>
  <c r="F79" i="6"/>
  <c r="F78" i="6"/>
  <c r="F77" i="6"/>
  <c r="F76" i="6"/>
  <c r="F75" i="6"/>
  <c r="F73" i="6"/>
  <c r="F72" i="6"/>
  <c r="F71" i="6"/>
  <c r="F70" i="6"/>
  <c r="F68" i="6"/>
  <c r="F67" i="6"/>
  <c r="F66" i="6"/>
  <c r="F65" i="6"/>
  <c r="F64" i="6"/>
  <c r="F63" i="6"/>
  <c r="F62" i="6"/>
  <c r="F61" i="6"/>
  <c r="F60" i="6"/>
  <c r="F57" i="6"/>
  <c r="F56" i="6"/>
  <c r="F54" i="6"/>
  <c r="F53" i="6"/>
  <c r="F52" i="6"/>
  <c r="F51" i="6"/>
  <c r="F50" i="6"/>
  <c r="F49" i="6"/>
  <c r="F48" i="6"/>
  <c r="F45" i="6"/>
  <c r="F44" i="6"/>
  <c r="F43" i="6"/>
  <c r="F39" i="6"/>
  <c r="F37" i="6"/>
  <c r="F36" i="6"/>
  <c r="F34" i="6"/>
  <c r="F33" i="6"/>
  <c r="D114" i="6"/>
  <c r="D113" i="6"/>
  <c r="D112" i="6"/>
  <c r="D111" i="6"/>
  <c r="D110" i="6"/>
  <c r="D109" i="6"/>
  <c r="D108" i="6"/>
  <c r="D107" i="6"/>
  <c r="D106" i="6"/>
  <c r="D105" i="6"/>
  <c r="D102" i="6"/>
  <c r="D101" i="6"/>
  <c r="D100" i="6"/>
  <c r="D96" i="6"/>
  <c r="D94" i="6"/>
  <c r="D93" i="6"/>
  <c r="D92" i="6"/>
  <c r="D91" i="6"/>
  <c r="D90" i="6"/>
  <c r="D89" i="6"/>
  <c r="D88" i="6"/>
  <c r="D87" i="6"/>
  <c r="D86" i="6"/>
  <c r="D84" i="6"/>
  <c r="D83" i="6"/>
  <c r="D81" i="6"/>
  <c r="D80" i="6"/>
  <c r="D79" i="6"/>
  <c r="D78" i="6"/>
  <c r="D77" i="6"/>
  <c r="D76" i="6"/>
  <c r="D75" i="6"/>
  <c r="D73" i="6"/>
  <c r="D72" i="6"/>
  <c r="D71" i="6"/>
  <c r="D70" i="6"/>
  <c r="D68" i="6"/>
  <c r="D67" i="6"/>
  <c r="D66" i="6"/>
  <c r="D65" i="6"/>
  <c r="D64" i="6"/>
  <c r="D63" i="6"/>
  <c r="D62" i="6"/>
  <c r="D61" i="6"/>
  <c r="D60" i="6"/>
  <c r="D57" i="6"/>
  <c r="D56" i="6"/>
  <c r="D55" i="6"/>
  <c r="D54" i="6"/>
  <c r="D53" i="6"/>
  <c r="D52" i="6"/>
  <c r="D51" i="6"/>
  <c r="D50" i="6"/>
  <c r="D49" i="6"/>
  <c r="D48" i="6"/>
  <c r="D45" i="6"/>
  <c r="D44" i="6"/>
  <c r="D43" i="6"/>
  <c r="D39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8" i="6"/>
  <c r="D16" i="6"/>
  <c r="D15" i="6"/>
  <c r="D14" i="6"/>
  <c r="D13" i="6"/>
  <c r="D11" i="6"/>
  <c r="D10" i="6"/>
  <c r="D9" i="6"/>
  <c r="D8" i="6"/>
  <c r="D7" i="6"/>
  <c r="D6" i="6"/>
  <c r="D5" i="6"/>
  <c r="D4" i="6"/>
  <c r="D3" i="6"/>
  <c r="L255" i="2"/>
  <c r="L252" i="2"/>
  <c r="L251" i="2"/>
  <c r="L246" i="2"/>
  <c r="L231" i="2"/>
  <c r="L230" i="2"/>
  <c r="L228" i="2"/>
  <c r="L227" i="2"/>
  <c r="L222" i="2"/>
  <c r="L220" i="2"/>
  <c r="L217" i="2"/>
  <c r="L210" i="2"/>
  <c r="L209" i="2"/>
  <c r="L193" i="2"/>
  <c r="L192" i="2"/>
  <c r="L191" i="2"/>
  <c r="L190" i="2"/>
  <c r="L189" i="2"/>
  <c r="L179" i="2"/>
  <c r="L178" i="2"/>
  <c r="L177" i="2"/>
  <c r="L112" i="2"/>
  <c r="L111" i="2"/>
  <c r="L109" i="2"/>
  <c r="L89" i="2"/>
  <c r="L65" i="2"/>
  <c r="L57" i="2"/>
  <c r="L55" i="2"/>
  <c r="L54" i="2"/>
  <c r="L49" i="2"/>
  <c r="L45" i="2"/>
  <c r="L290" i="3"/>
  <c r="L254" i="3"/>
  <c r="L253" i="3"/>
  <c r="L252" i="3"/>
  <c r="L251" i="3"/>
  <c r="L257" i="3"/>
  <c r="L250" i="3"/>
  <c r="H296" i="3"/>
  <c r="H295" i="3"/>
  <c r="AB356" i="4"/>
  <c r="AB212" i="4"/>
  <c r="AB211" i="4"/>
  <c r="AB185" i="4"/>
  <c r="AB122" i="4"/>
  <c r="AB121" i="4"/>
  <c r="AB75" i="4"/>
  <c r="AB56" i="4"/>
  <c r="AB55" i="4"/>
  <c r="AB54" i="4"/>
  <c r="AB43" i="4"/>
  <c r="X360" i="4"/>
  <c r="X357" i="4"/>
  <c r="X355" i="4"/>
  <c r="X354" i="4"/>
  <c r="Z60" i="4"/>
  <c r="T60" i="4"/>
  <c r="U60" i="4" s="1"/>
  <c r="V60" i="4" s="1"/>
  <c r="L32" i="2"/>
  <c r="L31" i="2"/>
  <c r="AB353" i="4"/>
  <c r="AB175" i="4"/>
  <c r="AB309" i="4"/>
  <c r="D120" i="6" l="1"/>
  <c r="N290" i="3"/>
  <c r="M290" i="3"/>
  <c r="L256" i="3"/>
  <c r="M256" i="3" s="1"/>
  <c r="AB27" i="4"/>
  <c r="AB242" i="4"/>
  <c r="AD242" i="4" s="1"/>
  <c r="AB284" i="4"/>
  <c r="L288" i="3"/>
  <c r="AB206" i="4"/>
  <c r="AC206" i="4" s="1"/>
  <c r="AB15" i="4"/>
  <c r="L197" i="3"/>
  <c r="N197" i="3" s="1"/>
  <c r="L194" i="3"/>
  <c r="N194" i="3" s="1"/>
  <c r="L186" i="3"/>
  <c r="N186" i="3" s="1"/>
  <c r="L165" i="3"/>
  <c r="L108" i="2"/>
  <c r="L200" i="3"/>
  <c r="N200" i="3" s="1"/>
  <c r="L83" i="3"/>
  <c r="AB233" i="4"/>
  <c r="L200" i="2"/>
  <c r="AB253" i="4"/>
  <c r="AD253" i="4" s="1"/>
  <c r="AB307" i="4"/>
  <c r="AD307" i="4" s="1"/>
  <c r="AB318" i="4"/>
  <c r="AB268" i="4"/>
  <c r="AB296" i="4"/>
  <c r="AD296" i="4" s="1"/>
  <c r="AB331" i="4"/>
  <c r="AD331" i="4" s="1"/>
  <c r="AB334" i="4"/>
  <c r="AD334" i="4" s="1"/>
  <c r="M257" i="3"/>
  <c r="M254" i="3"/>
  <c r="M253" i="3"/>
  <c r="M252" i="3"/>
  <c r="M251" i="3"/>
  <c r="M250" i="3"/>
  <c r="AB321" i="4"/>
  <c r="L44" i="2"/>
  <c r="M44" i="2" s="1"/>
  <c r="L95" i="2"/>
  <c r="M95" i="2" s="1"/>
  <c r="L19" i="3"/>
  <c r="M19" i="3" s="1"/>
  <c r="L70" i="3"/>
  <c r="M70" i="3" s="1"/>
  <c r="AB274" i="4"/>
  <c r="AD274" i="4" s="1"/>
  <c r="L182" i="2"/>
  <c r="M182" i="2" s="1"/>
  <c r="AC309" i="4"/>
  <c r="AD309" i="4"/>
  <c r="L90" i="2"/>
  <c r="AD175" i="4"/>
  <c r="AC175" i="4"/>
  <c r="AB278" i="4"/>
  <c r="AD278" i="4" s="1"/>
  <c r="AB286" i="4"/>
  <c r="AB262" i="4"/>
  <c r="AD262" i="4" s="1"/>
  <c r="AB259" i="4"/>
  <c r="AD259" i="4" s="1"/>
  <c r="AB316" i="4"/>
  <c r="AD316" i="4" s="1"/>
  <c r="AB323" i="4"/>
  <c r="AD323" i="4" s="1"/>
  <c r="AB337" i="4"/>
  <c r="AD337" i="4" s="1"/>
  <c r="AB338" i="4"/>
  <c r="AB303" i="4"/>
  <c r="AD303" i="4" s="1"/>
  <c r="AB311" i="4"/>
  <c r="AB261" i="4"/>
  <c r="AD261" i="4" s="1"/>
  <c r="AB339" i="4"/>
  <c r="AD339" i="4" s="1"/>
  <c r="AB292" i="4"/>
  <c r="AD292" i="4" s="1"/>
  <c r="AB299" i="4"/>
  <c r="AD299" i="4" s="1"/>
  <c r="AB313" i="4"/>
  <c r="AD313" i="4" s="1"/>
  <c r="AB340" i="4"/>
  <c r="AD340" i="4" s="1"/>
  <c r="AB325" i="4"/>
  <c r="AD325" i="4" s="1"/>
  <c r="AB271" i="4"/>
  <c r="AD271" i="4" s="1"/>
  <c r="AB263" i="4"/>
  <c r="AD263" i="4" s="1"/>
  <c r="AB319" i="4"/>
  <c r="AB310" i="4"/>
  <c r="AB341" i="4"/>
  <c r="AD341" i="4" s="1"/>
  <c r="AB264" i="4"/>
  <c r="AD264" i="4" s="1"/>
  <c r="L204" i="2"/>
  <c r="AB241" i="4"/>
  <c r="AD241" i="4" s="1"/>
  <c r="AB244" i="4"/>
  <c r="AD244" i="4" s="1"/>
  <c r="AB276" i="4"/>
  <c r="AD276" i="4" s="1"/>
  <c r="AB289" i="4"/>
  <c r="AD289" i="4" s="1"/>
  <c r="AB293" i="4"/>
  <c r="AD293" i="4" s="1"/>
  <c r="AB300" i="4"/>
  <c r="AD300" i="4" s="1"/>
  <c r="AB322" i="4"/>
  <c r="AB327" i="4"/>
  <c r="AD327" i="4" s="1"/>
  <c r="AB291" i="4"/>
  <c r="AD291" i="4" s="1"/>
  <c r="AB305" i="4"/>
  <c r="AD305" i="4" s="1"/>
  <c r="AB326" i="4"/>
  <c r="AD326" i="4" s="1"/>
  <c r="AB254" i="4"/>
  <c r="AD254" i="4" s="1"/>
  <c r="AB275" i="4"/>
  <c r="AD275" i="4" s="1"/>
  <c r="AB290" i="4"/>
  <c r="AD290" i="4" s="1"/>
  <c r="AB294" i="4"/>
  <c r="AD294" i="4" s="1"/>
  <c r="AB301" i="4"/>
  <c r="AD301" i="4" s="1"/>
  <c r="AB304" i="4"/>
  <c r="AD304" i="4" s="1"/>
  <c r="AB324" i="4"/>
  <c r="AD324" i="4" s="1"/>
  <c r="AB302" i="4"/>
  <c r="AD302" i="4" s="1"/>
  <c r="AB335" i="4"/>
  <c r="AD335" i="4" s="1"/>
  <c r="AB252" i="4"/>
  <c r="AD252" i="4" s="1"/>
  <c r="AB258" i="4"/>
  <c r="AD258" i="4" s="1"/>
  <c r="AB288" i="4"/>
  <c r="AD288" i="4" s="1"/>
  <c r="AB297" i="4"/>
  <c r="AD297" i="4" s="1"/>
  <c r="AB315" i="4"/>
  <c r="AD315" i="4" s="1"/>
  <c r="AB336" i="4"/>
  <c r="AD336" i="4" s="1"/>
  <c r="AB328" i="4"/>
  <c r="AD328" i="4" s="1"/>
  <c r="AB255" i="4"/>
  <c r="AD255" i="4" s="1"/>
  <c r="AB287" i="4"/>
  <c r="AD287" i="4" s="1"/>
  <c r="AB270" i="4"/>
  <c r="AD270" i="4" s="1"/>
  <c r="AB230" i="4"/>
  <c r="AB256" i="4"/>
  <c r="AB272" i="4"/>
  <c r="AD272" i="4" s="1"/>
  <c r="AB285" i="4"/>
  <c r="AB273" i="4"/>
  <c r="AD273" i="4" s="1"/>
  <c r="AB269" i="4"/>
  <c r="AD269" i="4" s="1"/>
  <c r="AB142" i="4"/>
  <c r="L81" i="2"/>
  <c r="M81" i="2" s="1"/>
  <c r="L56" i="3"/>
  <c r="M56" i="3" s="1"/>
  <c r="L249" i="3"/>
  <c r="M249" i="3" s="1"/>
  <c r="AB228" i="4"/>
  <c r="L116" i="2"/>
  <c r="M116" i="2" s="1"/>
  <c r="L94" i="2"/>
  <c r="M94" i="2" s="1"/>
  <c r="L69" i="3"/>
  <c r="M69" i="3" s="1"/>
  <c r="L91" i="3"/>
  <c r="M91" i="3" s="1"/>
  <c r="AB94" i="4"/>
  <c r="L206" i="2"/>
  <c r="AB33" i="4"/>
  <c r="L18" i="3"/>
  <c r="M18" i="3" s="1"/>
  <c r="L43" i="2"/>
  <c r="M43" i="2" s="1"/>
  <c r="L68" i="3"/>
  <c r="M68" i="3" s="1"/>
  <c r="L93" i="2"/>
  <c r="M93" i="2" s="1"/>
  <c r="AB36" i="4"/>
  <c r="AB40" i="4"/>
  <c r="AB143" i="4"/>
  <c r="L253" i="2"/>
  <c r="L57" i="3"/>
  <c r="M57" i="3" s="1"/>
  <c r="L82" i="2"/>
  <c r="M82" i="2" s="1"/>
  <c r="AB100" i="4"/>
  <c r="AB39" i="4"/>
  <c r="AB35" i="4"/>
  <c r="AB37" i="4"/>
  <c r="AB177" i="4"/>
  <c r="AB172" i="4"/>
  <c r="AB176" i="4"/>
  <c r="AB44" i="4"/>
  <c r="AB72" i="4"/>
  <c r="AB45" i="4"/>
  <c r="AB47" i="4"/>
  <c r="AB34" i="4"/>
  <c r="AB3" i="4"/>
  <c r="AB38" i="4"/>
  <c r="L93" i="3"/>
  <c r="M93" i="3" s="1"/>
  <c r="L92" i="3"/>
  <c r="M92" i="3" s="1"/>
  <c r="L90" i="3"/>
  <c r="M90" i="3" s="1"/>
  <c r="L46" i="3"/>
  <c r="L117" i="2"/>
  <c r="M117" i="2" s="1"/>
  <c r="L115" i="2"/>
  <c r="M115" i="2" s="1"/>
  <c r="L71" i="2"/>
  <c r="M71" i="2" s="1"/>
  <c r="L118" i="2"/>
  <c r="M118" i="2" s="1"/>
  <c r="AB57" i="4"/>
  <c r="AB213" i="4"/>
  <c r="L255" i="3"/>
  <c r="M255" i="3" s="1"/>
  <c r="L51" i="2"/>
  <c r="L60" i="2"/>
  <c r="L113" i="2"/>
  <c r="L232" i="2"/>
  <c r="L235" i="2"/>
  <c r="L62" i="3"/>
  <c r="M62" i="3" s="1"/>
  <c r="L87" i="2"/>
  <c r="M87" i="2" s="1"/>
  <c r="L50" i="2"/>
  <c r="L221" i="2"/>
  <c r="L229" i="2"/>
  <c r="L33" i="2"/>
  <c r="L5" i="2"/>
  <c r="L17" i="2"/>
  <c r="L15" i="2"/>
  <c r="L19" i="2"/>
  <c r="L4" i="2"/>
  <c r="L10" i="2"/>
  <c r="M10" i="2" s="1"/>
  <c r="L8" i="2"/>
  <c r="M8" i="2" s="1"/>
  <c r="L9" i="2"/>
  <c r="M9" i="2" s="1"/>
  <c r="L7" i="2"/>
  <c r="M7" i="2" s="1"/>
  <c r="L16" i="2"/>
  <c r="L11" i="2"/>
  <c r="L29" i="2"/>
  <c r="AB51" i="4"/>
  <c r="L28" i="2"/>
  <c r="L35" i="2"/>
  <c r="M35" i="2" s="1"/>
  <c r="L34" i="2"/>
  <c r="M34" i="2" s="1"/>
  <c r="L30" i="2"/>
  <c r="L289" i="2"/>
  <c r="L269" i="2"/>
  <c r="L185" i="2"/>
  <c r="L164" i="2"/>
  <c r="L160" i="2"/>
  <c r="L152" i="2"/>
  <c r="L122" i="2"/>
  <c r="L181" i="2"/>
  <c r="L120" i="2"/>
  <c r="L277" i="3"/>
  <c r="M277" i="3" s="1"/>
  <c r="L75" i="2"/>
  <c r="L72" i="2"/>
  <c r="L289" i="3"/>
  <c r="AB358" i="4"/>
  <c r="AB216" i="4"/>
  <c r="AB195" i="4"/>
  <c r="AB192" i="4"/>
  <c r="AB148" i="4"/>
  <c r="AB124" i="4"/>
  <c r="AB119" i="4"/>
  <c r="AB92" i="4"/>
  <c r="AB85" i="4"/>
  <c r="AB359" i="4"/>
  <c r="AB193" i="4"/>
  <c r="AB146" i="4"/>
  <c r="AB86" i="4"/>
  <c r="AB184" i="4"/>
  <c r="AB180" i="4"/>
  <c r="AB178" i="4"/>
  <c r="AB173" i="4"/>
  <c r="AB170" i="4"/>
  <c r="AB168" i="4"/>
  <c r="AB166" i="4"/>
  <c r="AB164" i="4"/>
  <c r="AB161" i="4"/>
  <c r="AB159" i="4"/>
  <c r="AB157" i="4"/>
  <c r="AB155" i="4"/>
  <c r="AB153" i="4"/>
  <c r="AB150" i="4"/>
  <c r="AB183" i="4"/>
  <c r="AB181" i="4"/>
  <c r="AB179" i="4"/>
  <c r="AB174" i="4"/>
  <c r="AB171" i="4"/>
  <c r="AB169" i="4"/>
  <c r="AB167" i="4"/>
  <c r="AB165" i="4"/>
  <c r="AB162" i="4"/>
  <c r="AB160" i="4"/>
  <c r="AB158" i="4"/>
  <c r="AB156" i="4"/>
  <c r="AB154" i="4"/>
  <c r="AB151" i="4"/>
  <c r="AB149" i="4"/>
  <c r="L256" i="2"/>
  <c r="L226" i="2"/>
  <c r="L225" i="2"/>
  <c r="L223" i="2"/>
  <c r="L219" i="2"/>
  <c r="L216" i="2"/>
  <c r="L203" i="2"/>
  <c r="L201" i="2"/>
  <c r="L121" i="2"/>
  <c r="L242" i="2"/>
  <c r="L240" i="2"/>
  <c r="L224" i="2"/>
  <c r="L214" i="2"/>
  <c r="L202" i="2"/>
  <c r="L114" i="2"/>
  <c r="L110" i="2"/>
  <c r="L102" i="2"/>
  <c r="L66" i="2"/>
  <c r="L63" i="2"/>
  <c r="L61" i="2"/>
  <c r="L58" i="2"/>
  <c r="L92" i="2"/>
  <c r="L64" i="2"/>
  <c r="L59" i="2"/>
  <c r="L258" i="3"/>
  <c r="M258" i="3" s="1"/>
  <c r="AB224" i="4"/>
  <c r="AB182" i="4"/>
  <c r="AB117" i="4"/>
  <c r="AB115" i="4"/>
  <c r="AB113" i="4"/>
  <c r="AB109" i="4"/>
  <c r="AB95" i="4"/>
  <c r="AB118" i="4"/>
  <c r="AB116" i="4"/>
  <c r="AB114" i="4"/>
  <c r="AB102" i="4"/>
  <c r="L153" i="2"/>
  <c r="L58" i="3"/>
  <c r="L83" i="2"/>
  <c r="AB105" i="4"/>
  <c r="L268" i="2"/>
  <c r="M268" i="2" s="1"/>
  <c r="L266" i="2"/>
  <c r="M266" i="2" s="1"/>
  <c r="L263" i="2"/>
  <c r="M263" i="2" s="1"/>
  <c r="L205" i="2"/>
  <c r="M205" i="2" s="1"/>
  <c r="L171" i="2"/>
  <c r="M171" i="2" s="1"/>
  <c r="L168" i="2"/>
  <c r="M168" i="2" s="1"/>
  <c r="L166" i="2"/>
  <c r="M166" i="2" s="1"/>
  <c r="L135" i="2"/>
  <c r="M135" i="2" s="1"/>
  <c r="L132" i="2"/>
  <c r="M132" i="2" s="1"/>
  <c r="L130" i="2"/>
  <c r="M130" i="2" s="1"/>
  <c r="L128" i="2"/>
  <c r="M128" i="2" s="1"/>
  <c r="L125" i="2"/>
  <c r="M125" i="2" s="1"/>
  <c r="L267" i="2"/>
  <c r="M267" i="2" s="1"/>
  <c r="L264" i="2"/>
  <c r="M264" i="2" s="1"/>
  <c r="L243" i="2"/>
  <c r="M243" i="2" s="1"/>
  <c r="L237" i="2"/>
  <c r="M237" i="2" s="1"/>
  <c r="L213" i="2"/>
  <c r="M213" i="2" s="1"/>
  <c r="L212" i="2"/>
  <c r="M212" i="2" s="1"/>
  <c r="L172" i="2"/>
  <c r="M172" i="2" s="1"/>
  <c r="L167" i="2"/>
  <c r="M167" i="2" s="1"/>
  <c r="L165" i="2"/>
  <c r="M165" i="2" s="1"/>
  <c r="L161" i="2"/>
  <c r="M161" i="2" s="1"/>
  <c r="L134" i="2"/>
  <c r="M134" i="2" s="1"/>
  <c r="L131" i="2"/>
  <c r="M131" i="2" s="1"/>
  <c r="L124" i="2"/>
  <c r="M124" i="2" s="1"/>
  <c r="L101" i="2"/>
  <c r="M101" i="2" s="1"/>
  <c r="L99" i="2"/>
  <c r="M99" i="2" s="1"/>
  <c r="L97" i="2"/>
  <c r="M97" i="2" s="1"/>
  <c r="L74" i="2"/>
  <c r="M74" i="2" s="1"/>
  <c r="L69" i="2"/>
  <c r="M69" i="2" s="1"/>
  <c r="L68" i="2"/>
  <c r="M68" i="2" s="1"/>
  <c r="L56" i="2"/>
  <c r="M56" i="2" s="1"/>
  <c r="L66" i="3"/>
  <c r="L100" i="2"/>
  <c r="M100" i="2" s="1"/>
  <c r="L98" i="2"/>
  <c r="M98" i="2" s="1"/>
  <c r="L96" i="2"/>
  <c r="M96" i="2" s="1"/>
  <c r="L91" i="2"/>
  <c r="M91" i="2" s="1"/>
  <c r="L85" i="2"/>
  <c r="M85" i="2" s="1"/>
  <c r="L76" i="2"/>
  <c r="M76" i="2" s="1"/>
  <c r="L73" i="2"/>
  <c r="M73" i="2" s="1"/>
  <c r="L67" i="2"/>
  <c r="M67" i="2" s="1"/>
  <c r="L52" i="2"/>
  <c r="M52" i="2" s="1"/>
  <c r="AB360" i="4"/>
  <c r="AB354" i="4"/>
  <c r="AB139" i="4"/>
  <c r="AB138" i="4"/>
  <c r="AB127" i="4"/>
  <c r="AB99" i="4"/>
  <c r="AB97" i="4"/>
  <c r="AB87" i="4"/>
  <c r="AB73" i="4"/>
  <c r="AB69" i="4"/>
  <c r="AB68" i="4"/>
  <c r="AB357" i="4"/>
  <c r="AB355" i="4"/>
  <c r="AB225" i="4"/>
  <c r="AB217" i="4"/>
  <c r="AB214" i="4"/>
  <c r="AB210" i="4"/>
  <c r="AB141" i="4"/>
  <c r="AB140" i="4"/>
  <c r="AB135" i="4"/>
  <c r="AB128" i="4"/>
  <c r="AB125" i="4"/>
  <c r="AB112" i="4"/>
  <c r="AB107" i="4"/>
  <c r="AB106" i="4"/>
  <c r="AB98" i="4"/>
  <c r="AB96" i="4"/>
  <c r="AB93" i="4"/>
  <c r="AB90" i="4"/>
  <c r="AB84" i="4"/>
  <c r="AB78" i="4"/>
  <c r="AB77" i="4"/>
  <c r="AB76" i="4"/>
  <c r="L38" i="2"/>
  <c r="AB88" i="4"/>
  <c r="L239" i="2"/>
  <c r="AB197" i="4"/>
  <c r="AB91" i="4"/>
  <c r="L169" i="2"/>
  <c r="L163" i="2"/>
  <c r="L159" i="2"/>
  <c r="L37" i="2"/>
  <c r="L292" i="2"/>
  <c r="L249" i="2"/>
  <c r="L247" i="2"/>
  <c r="L188" i="2"/>
  <c r="L176" i="2"/>
  <c r="L173" i="2"/>
  <c r="L162" i="2"/>
  <c r="L154" i="2"/>
  <c r="L133" i="2"/>
  <c r="L250" i="2"/>
  <c r="L245" i="2"/>
  <c r="L174" i="2"/>
  <c r="L170" i="2"/>
  <c r="L129" i="2"/>
  <c r="L86" i="2"/>
  <c r="L78" i="2"/>
  <c r="L46" i="2"/>
  <c r="L36" i="2"/>
  <c r="L88" i="2"/>
  <c r="AB136" i="4"/>
  <c r="AB134" i="4"/>
  <c r="AB132" i="4"/>
  <c r="AB130" i="4"/>
  <c r="AB101" i="4"/>
  <c r="AB223" i="4"/>
  <c r="AB137" i="4"/>
  <c r="AB133" i="4"/>
  <c r="AB131" i="4"/>
  <c r="AB120" i="4"/>
  <c r="AB103" i="4"/>
  <c r="L295" i="3"/>
  <c r="L296" i="3"/>
  <c r="AB42" i="4"/>
  <c r="AB46" i="4"/>
  <c r="AB50" i="4"/>
  <c r="AB61" i="4"/>
  <c r="AB67" i="4"/>
  <c r="AB74" i="4"/>
  <c r="AB196" i="4"/>
  <c r="AB194" i="4"/>
  <c r="L156" i="2"/>
  <c r="L126" i="2"/>
  <c r="L157" i="2"/>
  <c r="L293" i="2"/>
  <c r="L265" i="2"/>
  <c r="L259" i="2"/>
  <c r="L261" i="2"/>
  <c r="L258" i="2"/>
  <c r="L241" i="2"/>
  <c r="L187" i="2"/>
  <c r="L180" i="2"/>
  <c r="L158" i="2"/>
  <c r="L260" i="2"/>
  <c r="L248" i="2"/>
  <c r="L208" i="2"/>
  <c r="L184" i="2"/>
  <c r="L155" i="2"/>
  <c r="L148" i="2"/>
  <c r="L127" i="2"/>
  <c r="L123" i="2"/>
  <c r="L84" i="2"/>
  <c r="L80" i="2"/>
  <c r="L41" i="2"/>
  <c r="L39" i="2"/>
  <c r="L79" i="2"/>
  <c r="L77" i="2"/>
  <c r="L40" i="2"/>
  <c r="AB222" i="4"/>
  <c r="AB111" i="4"/>
  <c r="AB108" i="4"/>
  <c r="AB89" i="4"/>
  <c r="AB83" i="4"/>
  <c r="AB81" i="4"/>
  <c r="AB79" i="4"/>
  <c r="AB221" i="4"/>
  <c r="AB123" i="4"/>
  <c r="AB110" i="4"/>
  <c r="AB104" i="4"/>
  <c r="AB82" i="4"/>
  <c r="AB80" i="4"/>
  <c r="AB41" i="4"/>
  <c r="AB48" i="4"/>
  <c r="AB49" i="4"/>
  <c r="AB52" i="4"/>
  <c r="AB53" i="4"/>
  <c r="AB58" i="4"/>
  <c r="AB59" i="4"/>
  <c r="AB60" i="4"/>
  <c r="AB62" i="4"/>
  <c r="AB65" i="4"/>
  <c r="AB66" i="4"/>
  <c r="AB71" i="4"/>
  <c r="O290" i="3" l="1"/>
  <c r="AD192" i="4"/>
  <c r="AD194" i="4"/>
  <c r="AD193" i="4"/>
  <c r="AD195" i="4"/>
  <c r="AD196" i="4"/>
  <c r="AD197" i="4"/>
  <c r="N288" i="3"/>
  <c r="M288" i="3"/>
  <c r="N289" i="3"/>
  <c r="M289" i="3"/>
  <c r="AC40" i="4"/>
  <c r="AD172" i="4"/>
  <c r="AD338" i="4"/>
  <c r="AC338" i="4"/>
  <c r="AD322" i="4"/>
  <c r="AC27" i="4"/>
  <c r="AD27" i="4"/>
  <c r="N83" i="3"/>
  <c r="M83" i="3"/>
  <c r="AD15" i="4"/>
  <c r="AC15" i="4"/>
  <c r="AD268" i="4"/>
  <c r="AC268" i="4"/>
  <c r="M200" i="2"/>
  <c r="N200" i="2"/>
  <c r="M108" i="2"/>
  <c r="N108" i="2"/>
  <c r="AD206" i="4"/>
  <c r="AD318" i="4"/>
  <c r="AC318" i="4"/>
  <c r="AC233" i="4"/>
  <c r="AD233" i="4"/>
  <c r="N165" i="3"/>
  <c r="M165" i="3"/>
  <c r="N46" i="3"/>
  <c r="M46" i="3"/>
  <c r="N93" i="3"/>
  <c r="N70" i="3"/>
  <c r="N58" i="3"/>
  <c r="N62" i="3"/>
  <c r="N92" i="3"/>
  <c r="N69" i="3"/>
  <c r="N68" i="3"/>
  <c r="N18" i="3"/>
  <c r="N19" i="3"/>
  <c r="N56" i="3"/>
  <c r="N66" i="3"/>
  <c r="N90" i="3"/>
  <c r="N57" i="3"/>
  <c r="N91" i="3"/>
  <c r="AC303" i="4"/>
  <c r="AC292" i="4"/>
  <c r="AC299" i="4"/>
  <c r="AE309" i="4"/>
  <c r="N44" i="2"/>
  <c r="N95" i="2"/>
  <c r="AC337" i="4"/>
  <c r="AE175" i="4"/>
  <c r="AD321" i="4"/>
  <c r="AC321" i="4"/>
  <c r="N182" i="2"/>
  <c r="AC313" i="4"/>
  <c r="AC259" i="4"/>
  <c r="AC339" i="4"/>
  <c r="AC340" i="4"/>
  <c r="AD319" i="4"/>
  <c r="AC319" i="4"/>
  <c r="AD311" i="4"/>
  <c r="AC311" i="4"/>
  <c r="AC316" i="4"/>
  <c r="AD230" i="4"/>
  <c r="AC230" i="4"/>
  <c r="AD310" i="4"/>
  <c r="AC310" i="4"/>
  <c r="AC261" i="4"/>
  <c r="AC325" i="4"/>
  <c r="AC323" i="4"/>
  <c r="N81" i="2"/>
  <c r="N94" i="2"/>
  <c r="N116" i="2"/>
  <c r="AD142" i="4"/>
  <c r="AC142" i="4"/>
  <c r="AD228" i="4"/>
  <c r="AC228" i="4"/>
  <c r="AC172" i="4"/>
  <c r="AD33" i="4"/>
  <c r="AC33" i="4"/>
  <c r="AD40" i="4"/>
  <c r="N43" i="2"/>
  <c r="AC100" i="4"/>
  <c r="AD100" i="4"/>
  <c r="AD143" i="4"/>
  <c r="AC143" i="4"/>
  <c r="AC36" i="4"/>
  <c r="AD36" i="4"/>
  <c r="N82" i="2"/>
  <c r="N93" i="2"/>
  <c r="AD34" i="4"/>
  <c r="AC34" i="4"/>
  <c r="AC45" i="4"/>
  <c r="AD45" i="4"/>
  <c r="AC176" i="4"/>
  <c r="AD176" i="4"/>
  <c r="AC177" i="4"/>
  <c r="AD177" i="4"/>
  <c r="AD37" i="4"/>
  <c r="AC37" i="4"/>
  <c r="AC38" i="4"/>
  <c r="AD38" i="4"/>
  <c r="AC3" i="4"/>
  <c r="AD3" i="4"/>
  <c r="AC47" i="4"/>
  <c r="AD47" i="4"/>
  <c r="AC72" i="4"/>
  <c r="AD72" i="4"/>
  <c r="AC44" i="4"/>
  <c r="AD44" i="4"/>
  <c r="AC35" i="4"/>
  <c r="AD35" i="4"/>
  <c r="AD39" i="4"/>
  <c r="AC39" i="4"/>
  <c r="N118" i="2"/>
  <c r="N71" i="2"/>
  <c r="N117" i="2"/>
  <c r="N87" i="2"/>
  <c r="N115" i="2"/>
  <c r="O289" i="3" l="1"/>
  <c r="AE40" i="4"/>
  <c r="O288" i="3"/>
  <c r="AE172" i="4"/>
  <c r="AE338" i="4"/>
  <c r="AE316" i="4"/>
  <c r="AE313" i="4"/>
  <c r="AE292" i="4"/>
  <c r="AE323" i="4"/>
  <c r="AE340" i="4"/>
  <c r="AE325" i="4"/>
  <c r="AE339" i="4"/>
  <c r="AE261" i="4"/>
  <c r="AE259" i="4"/>
  <c r="AE337" i="4"/>
  <c r="AE299" i="4"/>
  <c r="AE303" i="4"/>
  <c r="O83" i="3"/>
  <c r="AE206" i="4"/>
  <c r="AE15" i="4"/>
  <c r="O108" i="2"/>
  <c r="P108" i="2" s="1"/>
  <c r="AE268" i="4"/>
  <c r="AE27" i="4"/>
  <c r="O165" i="3"/>
  <c r="AE318" i="4"/>
  <c r="AE233" i="4"/>
  <c r="O200" i="2"/>
  <c r="P200" i="2" s="1"/>
  <c r="O43" i="2"/>
  <c r="P43" i="2" s="1"/>
  <c r="O19" i="3"/>
  <c r="O18" i="3"/>
  <c r="O118" i="2"/>
  <c r="P118" i="2" s="1"/>
  <c r="O182" i="2"/>
  <c r="P182" i="2" s="1"/>
  <c r="O62" i="3"/>
  <c r="O70" i="3"/>
  <c r="O71" i="2"/>
  <c r="P71" i="2" s="1"/>
  <c r="O93" i="3"/>
  <c r="O95" i="2"/>
  <c r="P95" i="2" s="1"/>
  <c r="O57" i="3"/>
  <c r="O87" i="2"/>
  <c r="P87" i="2" s="1"/>
  <c r="O90" i="3"/>
  <c r="O94" i="2"/>
  <c r="P94" i="2" s="1"/>
  <c r="O68" i="3"/>
  <c r="O44" i="2"/>
  <c r="P44" i="2" s="1"/>
  <c r="O69" i="3"/>
  <c r="O81" i="2"/>
  <c r="P81" i="2" s="1"/>
  <c r="O92" i="3"/>
  <c r="O56" i="3"/>
  <c r="O93" i="2"/>
  <c r="P93" i="2" s="1"/>
  <c r="AE321" i="4"/>
  <c r="O116" i="2"/>
  <c r="P116" i="2" s="1"/>
  <c r="AE310" i="4"/>
  <c r="AE311" i="4"/>
  <c r="AE319" i="4"/>
  <c r="AE230" i="4"/>
  <c r="AE142" i="4"/>
  <c r="AE228" i="4"/>
  <c r="O91" i="3"/>
  <c r="AE33" i="4"/>
  <c r="AE36" i="4"/>
  <c r="AE100" i="4"/>
  <c r="O82" i="2"/>
  <c r="P82" i="2" s="1"/>
  <c r="AE143" i="4"/>
  <c r="AE35" i="4"/>
  <c r="AE44" i="4"/>
  <c r="AE47" i="4"/>
  <c r="AE72" i="4"/>
  <c r="AE176" i="4"/>
  <c r="AE34" i="4"/>
  <c r="AE3" i="4"/>
  <c r="AE38" i="4"/>
  <c r="AE177" i="4"/>
  <c r="AE39" i="4"/>
  <c r="AE37" i="4"/>
  <c r="AE45" i="4"/>
  <c r="O115" i="2"/>
  <c r="P115" i="2" s="1"/>
  <c r="O117" i="2"/>
  <c r="P117" i="2" s="1"/>
  <c r="O46" i="3"/>
  <c r="T174" i="4"/>
  <c r="U174" i="4" s="1"/>
  <c r="AC60" i="4"/>
  <c r="V174" i="4" l="1"/>
  <c r="X174" i="4" s="1"/>
  <c r="H11" i="8"/>
  <c r="H74" i="6"/>
  <c r="AD60" i="4"/>
  <c r="AE60" i="4" s="1"/>
  <c r="AD41" i="4" l="1"/>
  <c r="AD46" i="4"/>
  <c r="T41" i="4"/>
  <c r="U41" i="4" s="1"/>
  <c r="V41" i="4" s="1"/>
  <c r="T46" i="4"/>
  <c r="U46" i="4" s="1"/>
  <c r="V46" i="4" s="1"/>
  <c r="D16" i="8" l="1"/>
  <c r="X46" i="4"/>
  <c r="AC46" i="4" s="1"/>
  <c r="AE46" i="4" s="1"/>
  <c r="X41" i="4" l="1"/>
  <c r="E16" i="8"/>
  <c r="G16" i="8" s="1"/>
  <c r="Z46" i="4"/>
  <c r="AD174" i="4" l="1"/>
  <c r="AC174" i="4"/>
  <c r="T336" i="4"/>
  <c r="U336" i="4" s="1"/>
  <c r="V336" i="4" s="1"/>
  <c r="T313" i="4"/>
  <c r="U313" i="4" s="1"/>
  <c r="V313" i="4" s="1"/>
  <c r="Z313" i="4"/>
  <c r="T290" i="4"/>
  <c r="U290" i="4" s="1"/>
  <c r="V290" i="4" s="1"/>
  <c r="T289" i="4"/>
  <c r="U289" i="4" s="1"/>
  <c r="V289" i="4" s="1"/>
  <c r="T288" i="4"/>
  <c r="U288" i="4" s="1"/>
  <c r="V288" i="4" s="1"/>
  <c r="T287" i="4"/>
  <c r="U287" i="4" s="1"/>
  <c r="V287" i="4" s="1"/>
  <c r="T285" i="4"/>
  <c r="U285" i="4" s="1"/>
  <c r="V285" i="4" s="1"/>
  <c r="T284" i="4"/>
  <c r="U284" i="4" s="1"/>
  <c r="V284" i="4" s="1"/>
  <c r="AC283" i="4"/>
  <c r="T283" i="4"/>
  <c r="U283" i="4" s="1"/>
  <c r="V283" i="4" s="1"/>
  <c r="T282" i="4"/>
  <c r="U282" i="4" s="1"/>
  <c r="V282" i="4" s="1"/>
  <c r="T281" i="4"/>
  <c r="U281" i="4" s="1"/>
  <c r="V281" i="4" s="1"/>
  <c r="T280" i="4"/>
  <c r="U280" i="4" s="1"/>
  <c r="V280" i="4" s="1"/>
  <c r="T279" i="4"/>
  <c r="U279" i="4" s="1"/>
  <c r="V279" i="4" s="1"/>
  <c r="AE283" i="4" l="1"/>
  <c r="X280" i="4"/>
  <c r="X281" i="4"/>
  <c r="AC281" i="4" s="1"/>
  <c r="X282" i="4"/>
  <c r="Z282" i="4" s="1"/>
  <c r="X284" i="4"/>
  <c r="X287" i="4"/>
  <c r="AC287" i="4" s="1"/>
  <c r="X288" i="4"/>
  <c r="X289" i="4"/>
  <c r="AC289" i="4" s="1"/>
  <c r="X290" i="4"/>
  <c r="AC290" i="4" s="1"/>
  <c r="X279" i="4"/>
  <c r="AC279" i="4" s="1"/>
  <c r="X336" i="4"/>
  <c r="AC336" i="4" s="1"/>
  <c r="AC285" i="4"/>
  <c r="AE174" i="4"/>
  <c r="Z174" i="4"/>
  <c r="Z283" i="4"/>
  <c r="T254" i="4"/>
  <c r="U254" i="4" s="1"/>
  <c r="V254" i="4" s="1"/>
  <c r="AE336" i="4" l="1"/>
  <c r="AE281" i="4"/>
  <c r="AE279" i="4"/>
  <c r="AE287" i="4"/>
  <c r="AE290" i="4"/>
  <c r="AE289" i="4"/>
  <c r="Z290" i="4"/>
  <c r="AC282" i="4"/>
  <c r="Z284" i="4"/>
  <c r="AC284" i="4"/>
  <c r="Z288" i="4"/>
  <c r="AC288" i="4"/>
  <c r="AC280" i="4"/>
  <c r="Z280" i="4"/>
  <c r="X254" i="4"/>
  <c r="AC254" i="4" s="1"/>
  <c r="Z289" i="4"/>
  <c r="Z285" i="4"/>
  <c r="Z287" i="4"/>
  <c r="Z281" i="4"/>
  <c r="Z279" i="4"/>
  <c r="Z336" i="4"/>
  <c r="AD285" i="4"/>
  <c r="AE285" i="4" s="1"/>
  <c r="AD284" i="4"/>
  <c r="F84" i="8"/>
  <c r="AE280" i="4" l="1"/>
  <c r="AE282" i="4"/>
  <c r="AE288" i="4"/>
  <c r="AE254" i="4"/>
  <c r="AE284" i="4"/>
  <c r="Z254" i="4"/>
  <c r="A27" i="3"/>
  <c r="B27" i="3"/>
  <c r="C27" i="3"/>
  <c r="D27" i="3"/>
  <c r="E27" i="3"/>
  <c r="K27" i="3"/>
  <c r="L27" i="3" s="1"/>
  <c r="N27" i="3" s="1"/>
  <c r="A106" i="3"/>
  <c r="B106" i="3"/>
  <c r="C106" i="3"/>
  <c r="D106" i="3"/>
  <c r="E106" i="3"/>
  <c r="K106" i="3"/>
  <c r="L106" i="3" s="1"/>
  <c r="N106" i="3" s="1"/>
  <c r="A102" i="3"/>
  <c r="B102" i="3"/>
  <c r="C102" i="3"/>
  <c r="D102" i="3"/>
  <c r="E102" i="3"/>
  <c r="K102" i="3"/>
  <c r="L102" i="3" s="1"/>
  <c r="A97" i="3"/>
  <c r="B97" i="3"/>
  <c r="C97" i="3"/>
  <c r="D97" i="3"/>
  <c r="E97" i="3"/>
  <c r="K97" i="3"/>
  <c r="A16" i="3"/>
  <c r="B16" i="3"/>
  <c r="C16" i="3"/>
  <c r="D16" i="3"/>
  <c r="E16" i="3"/>
  <c r="K16" i="3"/>
  <c r="L16" i="3" s="1"/>
  <c r="A179" i="3"/>
  <c r="B179" i="3"/>
  <c r="C179" i="3"/>
  <c r="D179" i="3"/>
  <c r="E179" i="3"/>
  <c r="G179" i="3" s="1"/>
  <c r="A168" i="3"/>
  <c r="B168" i="3"/>
  <c r="C168" i="3"/>
  <c r="D168" i="3"/>
  <c r="E168" i="3"/>
  <c r="G168" i="3" s="1"/>
  <c r="A154" i="3"/>
  <c r="B154" i="3"/>
  <c r="C154" i="3"/>
  <c r="D154" i="3"/>
  <c r="E154" i="3"/>
  <c r="G154" i="3" s="1"/>
  <c r="A155" i="3"/>
  <c r="B155" i="3"/>
  <c r="C155" i="3"/>
  <c r="D155" i="3"/>
  <c r="E155" i="3"/>
  <c r="G155" i="3" s="1"/>
  <c r="A156" i="3"/>
  <c r="B156" i="3"/>
  <c r="C156" i="3"/>
  <c r="D156" i="3"/>
  <c r="E156" i="3"/>
  <c r="G156" i="3" s="1"/>
  <c r="A157" i="3"/>
  <c r="B157" i="3"/>
  <c r="C157" i="3"/>
  <c r="D157" i="3"/>
  <c r="E157" i="3"/>
  <c r="G157" i="3" s="1"/>
  <c r="A158" i="3"/>
  <c r="B158" i="3"/>
  <c r="C158" i="3"/>
  <c r="D158" i="3"/>
  <c r="E158" i="3"/>
  <c r="G158" i="3" s="1"/>
  <c r="A125" i="3"/>
  <c r="B125" i="3"/>
  <c r="C125" i="3"/>
  <c r="D125" i="3"/>
  <c r="E125" i="3"/>
  <c r="K125" i="3"/>
  <c r="L125" i="3" s="1"/>
  <c r="A126" i="3"/>
  <c r="B126" i="3"/>
  <c r="C126" i="3"/>
  <c r="D126" i="3"/>
  <c r="E126" i="3"/>
  <c r="G126" i="3" s="1"/>
  <c r="K126" i="3"/>
  <c r="L126" i="3" s="1"/>
  <c r="G161" i="2"/>
  <c r="N161" i="2"/>
  <c r="G125" i="3" l="1"/>
  <c r="H125" i="3" s="1"/>
  <c r="M125" i="3" s="1"/>
  <c r="H16" i="3"/>
  <c r="M16" i="3" s="1"/>
  <c r="G16" i="3"/>
  <c r="G102" i="3"/>
  <c r="H102" i="3" s="1"/>
  <c r="M102" i="3" s="1"/>
  <c r="H27" i="3"/>
  <c r="M27" i="3" s="1"/>
  <c r="G27" i="3"/>
  <c r="G97" i="3"/>
  <c r="H97" i="3" s="1"/>
  <c r="H106" i="3"/>
  <c r="M106" i="3" s="1"/>
  <c r="G106" i="3"/>
  <c r="H158" i="3"/>
  <c r="M158" i="3" s="1"/>
  <c r="O158" i="3" s="1"/>
  <c r="H154" i="3"/>
  <c r="J154" i="3" s="1"/>
  <c r="H126" i="3"/>
  <c r="M126" i="3" s="1"/>
  <c r="H157" i="3"/>
  <c r="M157" i="3" s="1"/>
  <c r="O157" i="3" s="1"/>
  <c r="H168" i="3"/>
  <c r="M168" i="3" s="1"/>
  <c r="O168" i="3" s="1"/>
  <c r="H156" i="3"/>
  <c r="J156" i="3" s="1"/>
  <c r="H179" i="3"/>
  <c r="M179" i="3" s="1"/>
  <c r="O179" i="3" s="1"/>
  <c r="H155" i="3"/>
  <c r="M155" i="3" s="1"/>
  <c r="O155" i="3" s="1"/>
  <c r="L97" i="3"/>
  <c r="N97" i="3" s="1"/>
  <c r="N16" i="3"/>
  <c r="N102" i="3"/>
  <c r="N126" i="3"/>
  <c r="N125" i="3"/>
  <c r="O161" i="2"/>
  <c r="N214" i="2"/>
  <c r="G214" i="2"/>
  <c r="H214" i="2" s="1"/>
  <c r="N203" i="2"/>
  <c r="G203" i="2"/>
  <c r="H203" i="2" s="1"/>
  <c r="N189" i="2"/>
  <c r="N190" i="2"/>
  <c r="N191" i="2"/>
  <c r="N192" i="2"/>
  <c r="N193" i="2"/>
  <c r="G193" i="2"/>
  <c r="H193" i="2" s="1"/>
  <c r="G192" i="2"/>
  <c r="H192" i="2" s="1"/>
  <c r="G191" i="2"/>
  <c r="H191" i="2" s="1"/>
  <c r="G190" i="2"/>
  <c r="H190" i="2" s="1"/>
  <c r="G189" i="2"/>
  <c r="H189" i="2" s="1"/>
  <c r="N160" i="2"/>
  <c r="G160" i="2"/>
  <c r="H160" i="2" s="1"/>
  <c r="J157" i="3" l="1"/>
  <c r="J155" i="3"/>
  <c r="J168" i="3"/>
  <c r="J179" i="3"/>
  <c r="M156" i="3"/>
  <c r="O156" i="3" s="1"/>
  <c r="M154" i="3"/>
  <c r="O154" i="3" s="1"/>
  <c r="J126" i="3"/>
  <c r="J158" i="3"/>
  <c r="M97" i="3"/>
  <c r="O97" i="3" s="1"/>
  <c r="J203" i="2"/>
  <c r="M203" i="2"/>
  <c r="O203" i="2" s="1"/>
  <c r="P203" i="2" s="1"/>
  <c r="J193" i="2"/>
  <c r="M193" i="2"/>
  <c r="J214" i="2"/>
  <c r="M214" i="2"/>
  <c r="J190" i="2"/>
  <c r="M190" i="2"/>
  <c r="O190" i="2" s="1"/>
  <c r="P190" i="2" s="1"/>
  <c r="J189" i="2"/>
  <c r="M189" i="2"/>
  <c r="J191" i="2"/>
  <c r="M191" i="2"/>
  <c r="J192" i="2"/>
  <c r="M192" i="2"/>
  <c r="O192" i="2" s="1"/>
  <c r="P192" i="2" s="1"/>
  <c r="J160" i="2"/>
  <c r="M160" i="2"/>
  <c r="O160" i="2" s="1"/>
  <c r="O102" i="3"/>
  <c r="O16" i="3"/>
  <c r="O27" i="3"/>
  <c r="J125" i="3"/>
  <c r="O125" i="3"/>
  <c r="P161" i="2"/>
  <c r="O106" i="3"/>
  <c r="O126" i="3"/>
  <c r="G131" i="2"/>
  <c r="N127" i="2"/>
  <c r="G127" i="2"/>
  <c r="H127" i="2" s="1"/>
  <c r="N122" i="2"/>
  <c r="G122" i="2"/>
  <c r="H122" i="2" s="1"/>
  <c r="N52" i="2"/>
  <c r="G52" i="2"/>
  <c r="N41" i="2"/>
  <c r="G41" i="2"/>
  <c r="H41" i="2" s="1"/>
  <c r="P160" i="2" l="1"/>
  <c r="J122" i="2"/>
  <c r="M122" i="2"/>
  <c r="O122" i="2" s="1"/>
  <c r="P122" i="2" s="1"/>
  <c r="J127" i="2"/>
  <c r="M127" i="2"/>
  <c r="J41" i="2"/>
  <c r="M41" i="2"/>
  <c r="O41" i="2" s="1"/>
  <c r="P41" i="2" s="1"/>
  <c r="O214" i="2"/>
  <c r="P214" i="2" s="1"/>
  <c r="J16" i="3"/>
  <c r="J102" i="3"/>
  <c r="J27" i="3"/>
  <c r="J97" i="3"/>
  <c r="J106" i="3"/>
  <c r="O193" i="2"/>
  <c r="P193" i="2" s="1"/>
  <c r="O189" i="2"/>
  <c r="P189" i="2" s="1"/>
  <c r="O191" i="2"/>
  <c r="P191" i="2" s="1"/>
  <c r="H94" i="6"/>
  <c r="O52" i="2"/>
  <c r="P52" i="2" s="1"/>
  <c r="N131" i="2"/>
  <c r="H78" i="6" l="1"/>
  <c r="O127" i="2"/>
  <c r="P127" i="2" s="1"/>
  <c r="AC41" i="4"/>
  <c r="AE41" i="4" s="1"/>
  <c r="O131" i="2"/>
  <c r="P131" i="2" s="1"/>
  <c r="H16" i="8" l="1"/>
  <c r="Z41" i="4"/>
  <c r="Z125" i="4" l="1"/>
  <c r="T125" i="4" l="1"/>
  <c r="U125" i="4" s="1"/>
  <c r="V125" i="4" s="1"/>
  <c r="G269" i="2" l="1"/>
  <c r="H269" i="2" s="1"/>
  <c r="J269" i="2" l="1"/>
  <c r="M269" i="2"/>
  <c r="E100" i="8" l="1"/>
  <c r="E99" i="8"/>
  <c r="E97" i="8"/>
  <c r="E93" i="8"/>
  <c r="E86" i="8"/>
  <c r="E77" i="8"/>
  <c r="E74" i="8"/>
  <c r="E73" i="8"/>
  <c r="E67" i="8"/>
  <c r="E63" i="8"/>
  <c r="E56" i="8"/>
  <c r="E54" i="8"/>
  <c r="E47" i="8"/>
  <c r="E44" i="8"/>
  <c r="E42" i="8"/>
  <c r="E41" i="8"/>
  <c r="E40" i="8"/>
  <c r="E38" i="8"/>
  <c r="E37" i="8"/>
  <c r="E36" i="8"/>
  <c r="E35" i="8"/>
  <c r="E34" i="8"/>
  <c r="E33" i="8"/>
  <c r="E32" i="8"/>
  <c r="E31" i="8"/>
  <c r="E30" i="8"/>
  <c r="E27" i="8"/>
  <c r="E24" i="8"/>
  <c r="E18" i="8"/>
  <c r="E17" i="8"/>
  <c r="E11" i="8"/>
  <c r="E4" i="8"/>
  <c r="E21" i="8"/>
  <c r="AC125" i="4" l="1"/>
  <c r="AD125" i="4"/>
  <c r="N269" i="2" l="1"/>
  <c r="AE125" i="4"/>
  <c r="S347" i="4"/>
  <c r="S348" i="4"/>
  <c r="S349" i="4"/>
  <c r="O269" i="2" l="1"/>
  <c r="P269" i="2" s="1"/>
  <c r="T291" i="4"/>
  <c r="U291" i="4" s="1"/>
  <c r="V291" i="4" s="1"/>
  <c r="T286" i="4"/>
  <c r="U286" i="4" s="1"/>
  <c r="V286" i="4" s="1"/>
  <c r="T278" i="4"/>
  <c r="U278" i="4" s="1"/>
  <c r="V278" i="4" s="1"/>
  <c r="AD73" i="4"/>
  <c r="T73" i="4"/>
  <c r="U73" i="4" s="1"/>
  <c r="V73" i="4" s="1"/>
  <c r="AD42" i="4"/>
  <c r="T42" i="4"/>
  <c r="U42" i="4" s="1"/>
  <c r="V42" i="4" s="1"/>
  <c r="X286" i="4" l="1"/>
  <c r="AC286" i="4" s="1"/>
  <c r="X291" i="4"/>
  <c r="AC291" i="4" s="1"/>
  <c r="X278" i="4"/>
  <c r="AC278" i="4" s="1"/>
  <c r="AC73" i="4"/>
  <c r="AE73" i="4" s="1"/>
  <c r="Z73" i="4"/>
  <c r="AE278" i="4" l="1"/>
  <c r="AE291" i="4"/>
  <c r="Z278" i="4"/>
  <c r="X42" i="4"/>
  <c r="AC42" i="4" s="1"/>
  <c r="AE42" i="4" s="1"/>
  <c r="F94" i="8"/>
  <c r="AD286" i="4"/>
  <c r="AE286" i="4" s="1"/>
  <c r="Z291" i="4"/>
  <c r="Z286" i="4"/>
  <c r="Z42" i="4" l="1"/>
  <c r="T335" i="4"/>
  <c r="U335" i="4" s="1"/>
  <c r="V335" i="4" s="1"/>
  <c r="AD211" i="4"/>
  <c r="AD212" i="4"/>
  <c r="AD213" i="4"/>
  <c r="T211" i="4"/>
  <c r="U211" i="4" s="1"/>
  <c r="V211" i="4" s="1"/>
  <c r="T212" i="4"/>
  <c r="U212" i="4" s="1"/>
  <c r="V212" i="4" s="1"/>
  <c r="T213" i="4"/>
  <c r="U213" i="4" s="1"/>
  <c r="V213" i="4" s="1"/>
  <c r="X335" i="4" l="1"/>
  <c r="AC335" i="4" s="1"/>
  <c r="AE335" i="4" l="1"/>
  <c r="X211" i="4"/>
  <c r="X212" i="4"/>
  <c r="Z212" i="4" s="1"/>
  <c r="X213" i="4"/>
  <c r="Z213" i="4" s="1"/>
  <c r="Z335" i="4"/>
  <c r="Z211" i="4" l="1"/>
  <c r="AC213" i="4"/>
  <c r="AC212" i="4"/>
  <c r="AC211" i="4"/>
  <c r="AE211" i="4" l="1"/>
  <c r="AE212" i="4"/>
  <c r="AE213" i="4"/>
  <c r="A170" i="3"/>
  <c r="B170" i="3"/>
  <c r="C170" i="3"/>
  <c r="D170" i="3"/>
  <c r="E170" i="3"/>
  <c r="G170" i="3" s="1"/>
  <c r="A232" i="3"/>
  <c r="B232" i="3"/>
  <c r="C232" i="3"/>
  <c r="D232" i="3"/>
  <c r="E232" i="3"/>
  <c r="G232" i="3" s="1"/>
  <c r="A167" i="3"/>
  <c r="B167" i="3"/>
  <c r="C167" i="3"/>
  <c r="D167" i="3"/>
  <c r="E167" i="3"/>
  <c r="G167" i="3" s="1"/>
  <c r="A166" i="3"/>
  <c r="B166" i="3"/>
  <c r="C166" i="3"/>
  <c r="D166" i="3"/>
  <c r="E166" i="3"/>
  <c r="G166" i="3" s="1"/>
  <c r="A153" i="3"/>
  <c r="B153" i="3"/>
  <c r="C153" i="3"/>
  <c r="D153" i="3"/>
  <c r="E153" i="3"/>
  <c r="G153" i="3" s="1"/>
  <c r="A110" i="3"/>
  <c r="B110" i="3"/>
  <c r="C110" i="3"/>
  <c r="D110" i="3"/>
  <c r="E110" i="3"/>
  <c r="K110" i="3"/>
  <c r="L110" i="3" s="1"/>
  <c r="N110" i="3" s="1"/>
  <c r="C98" i="3"/>
  <c r="G267" i="2"/>
  <c r="G205" i="2"/>
  <c r="G202" i="2"/>
  <c r="H202" i="2" s="1"/>
  <c r="G201" i="2"/>
  <c r="H201" i="2" s="1"/>
  <c r="N201" i="2"/>
  <c r="N202" i="2"/>
  <c r="N188" i="2"/>
  <c r="G188" i="2"/>
  <c r="H188" i="2" s="1"/>
  <c r="H110" i="3" l="1"/>
  <c r="M110" i="3" s="1"/>
  <c r="G110" i="3"/>
  <c r="H166" i="3"/>
  <c r="M166" i="3" s="1"/>
  <c r="O166" i="3" s="1"/>
  <c r="H167" i="3"/>
  <c r="M167" i="3" s="1"/>
  <c r="O167" i="3" s="1"/>
  <c r="H232" i="3"/>
  <c r="J232" i="3" s="1"/>
  <c r="H153" i="3"/>
  <c r="M153" i="3" s="1"/>
  <c r="O153" i="3" s="1"/>
  <c r="H170" i="3"/>
  <c r="M170" i="3" s="1"/>
  <c r="O170" i="3" s="1"/>
  <c r="J202" i="2"/>
  <c r="M202" i="2"/>
  <c r="J201" i="2"/>
  <c r="M201" i="2"/>
  <c r="J188" i="2"/>
  <c r="M188" i="2"/>
  <c r="N267" i="2"/>
  <c r="N205" i="2"/>
  <c r="G135" i="2"/>
  <c r="J167" i="3" l="1"/>
  <c r="J170" i="3"/>
  <c r="J166" i="3"/>
  <c r="J153" i="3"/>
  <c r="M232" i="3"/>
  <c r="O232" i="3" s="1"/>
  <c r="J110" i="3"/>
  <c r="O267" i="2"/>
  <c r="P267" i="2" s="1"/>
  <c r="O201" i="2"/>
  <c r="P201" i="2" s="1"/>
  <c r="O202" i="2"/>
  <c r="P202" i="2" s="1"/>
  <c r="O188" i="2"/>
  <c r="P188" i="2" s="1"/>
  <c r="O110" i="3"/>
  <c r="O205" i="2"/>
  <c r="P205" i="2" s="1"/>
  <c r="N135" i="2"/>
  <c r="O135" i="2" l="1"/>
  <c r="P135" i="2" s="1"/>
  <c r="A21" i="3"/>
  <c r="B21" i="3"/>
  <c r="C21" i="3"/>
  <c r="D21" i="3"/>
  <c r="E21" i="3"/>
  <c r="K21" i="3"/>
  <c r="L21" i="3" s="1"/>
  <c r="G46" i="2"/>
  <c r="H46" i="2" s="1"/>
  <c r="N46" i="2"/>
  <c r="G21" i="3" l="1"/>
  <c r="H21" i="3" s="1"/>
  <c r="M21" i="3" s="1"/>
  <c r="J46" i="2"/>
  <c r="M46" i="2"/>
  <c r="N21" i="3"/>
  <c r="O21" i="3" l="1"/>
  <c r="J21" i="3"/>
  <c r="O46" i="2"/>
  <c r="P46" i="2" s="1"/>
  <c r="T315" i="4" l="1"/>
  <c r="U315" i="4" s="1"/>
  <c r="V315" i="4" s="1"/>
  <c r="T316" i="4"/>
  <c r="U316" i="4" s="1"/>
  <c r="V316" i="4" s="1"/>
  <c r="T224" i="4"/>
  <c r="U224" i="4" s="1"/>
  <c r="V224" i="4" s="1"/>
  <c r="T225" i="4"/>
  <c r="U225" i="4" s="1"/>
  <c r="V225" i="4" s="1"/>
  <c r="AD121" i="4"/>
  <c r="AD122" i="4"/>
  <c r="X315" i="4" l="1"/>
  <c r="T149" i="4"/>
  <c r="U149" i="4" s="1"/>
  <c r="V149" i="4" s="1"/>
  <c r="X149" i="4" s="1"/>
  <c r="T329" i="4"/>
  <c r="U329" i="4" s="1"/>
  <c r="V329" i="4" s="1"/>
  <c r="T330" i="4"/>
  <c r="U330" i="4" s="1"/>
  <c r="V330" i="4" s="1"/>
  <c r="T331" i="4"/>
  <c r="U331" i="4" s="1"/>
  <c r="V331" i="4" s="1"/>
  <c r="T332" i="4"/>
  <c r="U332" i="4" s="1"/>
  <c r="V332" i="4" s="1"/>
  <c r="T333" i="4"/>
  <c r="U333" i="4" s="1"/>
  <c r="V333" i="4" s="1"/>
  <c r="T334" i="4"/>
  <c r="U334" i="4" s="1"/>
  <c r="V334" i="4" s="1"/>
  <c r="X224" i="4" l="1"/>
  <c r="X332" i="4"/>
  <c r="AC332" i="4" s="1"/>
  <c r="X330" i="4"/>
  <c r="AC330" i="4" s="1"/>
  <c r="X334" i="4"/>
  <c r="AC334" i="4" s="1"/>
  <c r="X329" i="4"/>
  <c r="AC329" i="4" s="1"/>
  <c r="X333" i="4"/>
  <c r="AC333" i="4" s="1"/>
  <c r="X331" i="4"/>
  <c r="AC331" i="4" s="1"/>
  <c r="Z316" i="4"/>
  <c r="T154" i="4"/>
  <c r="U154" i="4" s="1"/>
  <c r="V154" i="4" s="1"/>
  <c r="X154" i="4" s="1"/>
  <c r="AE334" i="4" l="1"/>
  <c r="AE331" i="4"/>
  <c r="AE330" i="4"/>
  <c r="AE333" i="4"/>
  <c r="AE332" i="4"/>
  <c r="AE329" i="4"/>
  <c r="AC149" i="4"/>
  <c r="Z329" i="4"/>
  <c r="Z149" i="4"/>
  <c r="Z330" i="4"/>
  <c r="Z332" i="4"/>
  <c r="Z333" i="4"/>
  <c r="Z334" i="4"/>
  <c r="Z331" i="4"/>
  <c r="Z225" i="4"/>
  <c r="Z224" i="4"/>
  <c r="Z154" i="4" l="1"/>
  <c r="Z210" i="4"/>
  <c r="T210" i="4"/>
  <c r="AD154" i="4" l="1"/>
  <c r="U210" i="4"/>
  <c r="T121" i="4"/>
  <c r="U121" i="4" s="1"/>
  <c r="T122" i="4"/>
  <c r="U122" i="4" s="1"/>
  <c r="V122" i="4" s="1"/>
  <c r="S346" i="4"/>
  <c r="S350" i="4" s="1"/>
  <c r="V210" i="4" l="1"/>
  <c r="V121" i="4"/>
  <c r="X121" i="4" s="1"/>
  <c r="X122" i="4"/>
  <c r="T359" i="4"/>
  <c r="U359" i="4" s="1"/>
  <c r="V359" i="4" s="1"/>
  <c r="A192" i="3"/>
  <c r="B192" i="3"/>
  <c r="C192" i="3"/>
  <c r="D192" i="3"/>
  <c r="E192" i="3"/>
  <c r="G192" i="3" s="1"/>
  <c r="A193" i="3"/>
  <c r="B193" i="3"/>
  <c r="C193" i="3"/>
  <c r="D193" i="3"/>
  <c r="E193" i="3"/>
  <c r="G193" i="3" s="1"/>
  <c r="A194" i="3"/>
  <c r="B194" i="3"/>
  <c r="C194" i="3"/>
  <c r="D194" i="3"/>
  <c r="E194" i="3"/>
  <c r="G194" i="3" s="1"/>
  <c r="A195" i="3"/>
  <c r="B195" i="3"/>
  <c r="C195" i="3"/>
  <c r="D195" i="3"/>
  <c r="E195" i="3"/>
  <c r="G195" i="3" s="1"/>
  <c r="A196" i="3"/>
  <c r="B196" i="3"/>
  <c r="C196" i="3"/>
  <c r="D196" i="3"/>
  <c r="E196" i="3"/>
  <c r="G196" i="3" s="1"/>
  <c r="A197" i="3"/>
  <c r="B197" i="3"/>
  <c r="C197" i="3"/>
  <c r="D197" i="3"/>
  <c r="E197" i="3"/>
  <c r="G197" i="3" s="1"/>
  <c r="A200" i="3"/>
  <c r="B200" i="3"/>
  <c r="C200" i="3"/>
  <c r="D200" i="3"/>
  <c r="E200" i="3"/>
  <c r="G200" i="3" s="1"/>
  <c r="A173" i="3"/>
  <c r="B173" i="3"/>
  <c r="C173" i="3"/>
  <c r="D173" i="3"/>
  <c r="E173" i="3"/>
  <c r="G173" i="3" s="1"/>
  <c r="X359" i="4" l="1"/>
  <c r="Z359" i="4" s="1"/>
  <c r="H173" i="3"/>
  <c r="M173" i="3" s="1"/>
  <c r="O173" i="3" s="1"/>
  <c r="H195" i="3"/>
  <c r="M195" i="3" s="1"/>
  <c r="O195" i="3" s="1"/>
  <c r="H194" i="3"/>
  <c r="M194" i="3" s="1"/>
  <c r="O194" i="3" s="1"/>
  <c r="H197" i="3"/>
  <c r="M197" i="3" s="1"/>
  <c r="O197" i="3" s="1"/>
  <c r="H193" i="3"/>
  <c r="M193" i="3" s="1"/>
  <c r="O193" i="3" s="1"/>
  <c r="H200" i="3"/>
  <c r="J200" i="3" s="1"/>
  <c r="H196" i="3"/>
  <c r="M196" i="3" s="1"/>
  <c r="O196" i="3" s="1"/>
  <c r="H192" i="3"/>
  <c r="J192" i="3" s="1"/>
  <c r="Z121" i="4"/>
  <c r="AC121" i="4"/>
  <c r="AE121" i="4" s="1"/>
  <c r="AC122" i="4"/>
  <c r="AE122" i="4" s="1"/>
  <c r="Z122" i="4"/>
  <c r="G227" i="2"/>
  <c r="H227" i="2" s="1"/>
  <c r="N227" i="2"/>
  <c r="G228" i="2"/>
  <c r="H228" i="2" s="1"/>
  <c r="N228" i="2"/>
  <c r="G229" i="2"/>
  <c r="H229" i="2" s="1"/>
  <c r="G230" i="2"/>
  <c r="H230" i="2" s="1"/>
  <c r="N230" i="2"/>
  <c r="G231" i="2"/>
  <c r="H231" i="2" s="1"/>
  <c r="N231" i="2"/>
  <c r="G232" i="2"/>
  <c r="H232" i="2" s="1"/>
  <c r="G235" i="2"/>
  <c r="H235" i="2" s="1"/>
  <c r="G208" i="2"/>
  <c r="H208" i="2" s="1"/>
  <c r="B40" i="3"/>
  <c r="C40" i="3"/>
  <c r="D40" i="3"/>
  <c r="E40" i="3"/>
  <c r="K40" i="3"/>
  <c r="L40" i="3" s="1"/>
  <c r="A40" i="3"/>
  <c r="G40" i="3" l="1"/>
  <c r="H40" i="3" s="1"/>
  <c r="M40" i="3" s="1"/>
  <c r="J193" i="3"/>
  <c r="J194" i="3"/>
  <c r="J197" i="3"/>
  <c r="J196" i="3"/>
  <c r="J195" i="3"/>
  <c r="M192" i="3"/>
  <c r="O192" i="3" s="1"/>
  <c r="M200" i="3"/>
  <c r="O200" i="3" s="1"/>
  <c r="J173" i="3"/>
  <c r="J235" i="2"/>
  <c r="M235" i="2"/>
  <c r="J232" i="2"/>
  <c r="M232" i="2"/>
  <c r="J231" i="2"/>
  <c r="M231" i="2"/>
  <c r="J230" i="2"/>
  <c r="M230" i="2"/>
  <c r="J229" i="2"/>
  <c r="M229" i="2"/>
  <c r="J228" i="2"/>
  <c r="M228" i="2"/>
  <c r="J227" i="2"/>
  <c r="M227" i="2"/>
  <c r="J208" i="2"/>
  <c r="M208" i="2"/>
  <c r="N40" i="3"/>
  <c r="G65" i="2"/>
  <c r="H65" i="2" s="1"/>
  <c r="N65" i="2"/>
  <c r="J65" i="2" l="1"/>
  <c r="M65" i="2"/>
  <c r="O40" i="3"/>
  <c r="J40" i="3"/>
  <c r="O227" i="2"/>
  <c r="P227" i="2" s="1"/>
  <c r="O231" i="2"/>
  <c r="P231" i="2" s="1"/>
  <c r="O228" i="2"/>
  <c r="P228" i="2" s="1"/>
  <c r="O230" i="2"/>
  <c r="P230" i="2" s="1"/>
  <c r="G293" i="2"/>
  <c r="G292" i="2"/>
  <c r="G289" i="2"/>
  <c r="O65" i="2" l="1"/>
  <c r="P65" i="2" s="1"/>
  <c r="N232" i="2" l="1"/>
  <c r="N235" i="2"/>
  <c r="N229" i="2"/>
  <c r="F297" i="3"/>
  <c r="F291" i="3"/>
  <c r="I26" i="2"/>
  <c r="F18" i="2"/>
  <c r="O229" i="2" l="1"/>
  <c r="P229" i="2" s="1"/>
  <c r="O235" i="2"/>
  <c r="P235" i="2" s="1"/>
  <c r="O232" i="2"/>
  <c r="P232" i="2" s="1"/>
  <c r="T358" i="4" l="1"/>
  <c r="U358" i="4" s="1"/>
  <c r="V358" i="4" s="1"/>
  <c r="D110" i="8" l="1"/>
  <c r="E110" i="8" s="1"/>
  <c r="X358" i="4"/>
  <c r="Z358" i="4" s="1"/>
  <c r="E99" i="6" l="1"/>
  <c r="G99" i="6" s="1"/>
  <c r="E104" i="6" l="1"/>
  <c r="G104" i="6" s="1"/>
  <c r="H99" i="6"/>
  <c r="R197" i="4" l="1"/>
  <c r="Q197" i="4"/>
  <c r="O197" i="4"/>
  <c r="N197" i="4"/>
  <c r="R196" i="4"/>
  <c r="Q196" i="4"/>
  <c r="O196" i="4"/>
  <c r="N196" i="4"/>
  <c r="R195" i="4"/>
  <c r="Q195" i="4"/>
  <c r="O195" i="4"/>
  <c r="N195" i="4"/>
  <c r="R194" i="4"/>
  <c r="Q194" i="4"/>
  <c r="O194" i="4"/>
  <c r="N194" i="4"/>
  <c r="R193" i="4"/>
  <c r="Q193" i="4"/>
  <c r="O193" i="4"/>
  <c r="N193" i="4"/>
  <c r="R192" i="4"/>
  <c r="Q192" i="4"/>
  <c r="O192" i="4"/>
  <c r="N192" i="4"/>
  <c r="G148" i="2"/>
  <c r="H148" i="2" l="1"/>
  <c r="T192" i="4"/>
  <c r="U192" i="4" s="1"/>
  <c r="T194" i="4"/>
  <c r="U194" i="4" s="1"/>
  <c r="T196" i="4"/>
  <c r="T193" i="4"/>
  <c r="U193" i="4" s="1"/>
  <c r="T195" i="4"/>
  <c r="U195" i="4" s="1"/>
  <c r="T197" i="4"/>
  <c r="U197" i="4" s="1"/>
  <c r="E47" i="6"/>
  <c r="G47" i="6" s="1"/>
  <c r="V195" i="4" l="1"/>
  <c r="X195" i="4" s="1"/>
  <c r="AC195" i="4" s="1"/>
  <c r="V193" i="4"/>
  <c r="X193" i="4" s="1"/>
  <c r="AC193" i="4" s="1"/>
  <c r="V194" i="4"/>
  <c r="X194" i="4" s="1"/>
  <c r="AC194" i="4" s="1"/>
  <c r="V197" i="4"/>
  <c r="X197" i="4" s="1"/>
  <c r="AC197" i="4" s="1"/>
  <c r="V192" i="4"/>
  <c r="X192" i="4" s="1"/>
  <c r="AC192" i="4" s="1"/>
  <c r="U196" i="4"/>
  <c r="J148" i="2"/>
  <c r="M148" i="2"/>
  <c r="Z197" i="4" l="1"/>
  <c r="Z192" i="4"/>
  <c r="Z195" i="4"/>
  <c r="V196" i="4"/>
  <c r="X196" i="4" s="1"/>
  <c r="AC196" i="4" s="1"/>
  <c r="D61" i="8"/>
  <c r="E61" i="8" s="1"/>
  <c r="Z194" i="4"/>
  <c r="AE194" i="4"/>
  <c r="Z196" i="4" l="1"/>
  <c r="AE195" i="4"/>
  <c r="AE192" i="4"/>
  <c r="AE193" i="4"/>
  <c r="Z193" i="4"/>
  <c r="D60" i="8" l="1"/>
  <c r="D71" i="8"/>
  <c r="D65" i="8"/>
  <c r="D70" i="8"/>
  <c r="E65" i="8" l="1"/>
  <c r="G65" i="8" s="1"/>
  <c r="E60" i="8"/>
  <c r="G60" i="8" s="1"/>
  <c r="E70" i="8"/>
  <c r="E71" i="8"/>
  <c r="AC315" i="4" l="1"/>
  <c r="AE315" i="4" l="1"/>
  <c r="T337" i="4"/>
  <c r="U337" i="4" s="1"/>
  <c r="V337" i="4" s="1"/>
  <c r="T338" i="4"/>
  <c r="U338" i="4" s="1"/>
  <c r="V338" i="4" s="1"/>
  <c r="Z338" i="4"/>
  <c r="Z337" i="4"/>
  <c r="Z315" i="4"/>
  <c r="T71" i="4"/>
  <c r="U71" i="4" s="1"/>
  <c r="V71" i="4" s="1"/>
  <c r="X71" i="4" l="1"/>
  <c r="Z71" i="4" s="1"/>
  <c r="T339" i="4"/>
  <c r="U339" i="4" s="1"/>
  <c r="V339" i="4" s="1"/>
  <c r="T340" i="4"/>
  <c r="U340" i="4" s="1"/>
  <c r="V340" i="4" s="1"/>
  <c r="Z340" i="4" l="1"/>
  <c r="Z339" i="4"/>
  <c r="T307" i="4" l="1"/>
  <c r="U307" i="4" s="1"/>
  <c r="V307" i="4" s="1"/>
  <c r="X307" i="4" l="1"/>
  <c r="AC307" i="4" s="1"/>
  <c r="T123" i="4"/>
  <c r="U123" i="4" s="1"/>
  <c r="V123" i="4" s="1"/>
  <c r="T159" i="4"/>
  <c r="U159" i="4" s="1"/>
  <c r="T160" i="4"/>
  <c r="U160" i="4" s="1"/>
  <c r="AE307" i="4" l="1"/>
  <c r="V159" i="4"/>
  <c r="X159" i="4" s="1"/>
  <c r="V160" i="4"/>
  <c r="X160" i="4" s="1"/>
  <c r="Z307" i="4"/>
  <c r="Z123" i="4"/>
  <c r="Z159" i="4" l="1"/>
  <c r="Z160" i="4"/>
  <c r="A51" i="3"/>
  <c r="B51" i="3"/>
  <c r="C51" i="3"/>
  <c r="D51" i="3"/>
  <c r="K51" i="3"/>
  <c r="L51" i="3" s="1"/>
  <c r="A36" i="3"/>
  <c r="B36" i="3"/>
  <c r="C36" i="3"/>
  <c r="D36" i="3"/>
  <c r="E36" i="3"/>
  <c r="K36" i="3"/>
  <c r="L36" i="3" s="1"/>
  <c r="A211" i="3"/>
  <c r="B211" i="3"/>
  <c r="C211" i="3"/>
  <c r="D211" i="3"/>
  <c r="E211" i="3"/>
  <c r="G211" i="3" s="1"/>
  <c r="G36" i="3" l="1"/>
  <c r="H36" i="3" s="1"/>
  <c r="M36" i="3" s="1"/>
  <c r="H211" i="3"/>
  <c r="M211" i="3" s="1"/>
  <c r="O211" i="3" s="1"/>
  <c r="N51" i="3"/>
  <c r="M51" i="3"/>
  <c r="N36" i="3"/>
  <c r="J211" i="3" l="1"/>
  <c r="A191" i="3"/>
  <c r="B191" i="3"/>
  <c r="C191" i="3"/>
  <c r="D191" i="3"/>
  <c r="E191" i="3"/>
  <c r="G191" i="3" s="1"/>
  <c r="A186" i="3"/>
  <c r="B186" i="3"/>
  <c r="C186" i="3"/>
  <c r="D186" i="3"/>
  <c r="E186" i="3"/>
  <c r="G186" i="3" s="1"/>
  <c r="A185" i="3"/>
  <c r="B185" i="3"/>
  <c r="C185" i="3"/>
  <c r="D185" i="3"/>
  <c r="E185" i="3"/>
  <c r="G185" i="3" s="1"/>
  <c r="A146" i="3"/>
  <c r="B146" i="3"/>
  <c r="C146" i="3"/>
  <c r="D146" i="3"/>
  <c r="E146" i="3"/>
  <c r="G146" i="3" s="1"/>
  <c r="A103" i="3"/>
  <c r="C103" i="3"/>
  <c r="D103" i="3"/>
  <c r="E103" i="3"/>
  <c r="K103" i="3"/>
  <c r="L103" i="3" s="1"/>
  <c r="N103" i="3" s="1"/>
  <c r="A41" i="3"/>
  <c r="C41" i="3"/>
  <c r="D41" i="3"/>
  <c r="E41" i="3"/>
  <c r="K41" i="3"/>
  <c r="L41" i="3" s="1"/>
  <c r="N246" i="2"/>
  <c r="G246" i="2"/>
  <c r="H246" i="2" s="1"/>
  <c r="G220" i="2"/>
  <c r="H220" i="2" s="1"/>
  <c r="G226" i="2"/>
  <c r="H226" i="2" s="1"/>
  <c r="G221" i="2"/>
  <c r="H221" i="2" s="1"/>
  <c r="G181" i="2"/>
  <c r="H181" i="2" s="1"/>
  <c r="G41" i="3" l="1"/>
  <c r="H41" i="3" s="1"/>
  <c r="M41" i="3" s="1"/>
  <c r="H103" i="3"/>
  <c r="M103" i="3" s="1"/>
  <c r="G103" i="3"/>
  <c r="H146" i="3"/>
  <c r="M146" i="3" s="1"/>
  <c r="O146" i="3" s="1"/>
  <c r="H185" i="3"/>
  <c r="J185" i="3" s="1"/>
  <c r="H186" i="3"/>
  <c r="M186" i="3" s="1"/>
  <c r="O186" i="3" s="1"/>
  <c r="H191" i="3"/>
  <c r="M191" i="3" s="1"/>
  <c r="O191" i="3" s="1"/>
  <c r="J246" i="2"/>
  <c r="M246" i="2"/>
  <c r="J226" i="2"/>
  <c r="M226" i="2"/>
  <c r="J221" i="2"/>
  <c r="M221" i="2"/>
  <c r="J220" i="2"/>
  <c r="M220" i="2"/>
  <c r="J181" i="2"/>
  <c r="M181" i="2"/>
  <c r="N41" i="3"/>
  <c r="N220" i="2"/>
  <c r="J186" i="3" l="1"/>
  <c r="J146" i="3"/>
  <c r="J191" i="3"/>
  <c r="M185" i="3"/>
  <c r="O185" i="3" s="1"/>
  <c r="O220" i="2"/>
  <c r="P220" i="2" s="1"/>
  <c r="O246" i="2"/>
  <c r="P246" i="2" l="1"/>
  <c r="G61" i="2"/>
  <c r="H61" i="2" s="1"/>
  <c r="G76" i="2"/>
  <c r="G128" i="2"/>
  <c r="B103" i="3"/>
  <c r="G66" i="2"/>
  <c r="H66" i="2" s="1"/>
  <c r="B41" i="3"/>
  <c r="G28" i="2"/>
  <c r="G153" i="2"/>
  <c r="H153" i="2" s="1"/>
  <c r="G154" i="2"/>
  <c r="H154" i="2" s="1"/>
  <c r="G155" i="2"/>
  <c r="H155" i="2" s="1"/>
  <c r="G156" i="2"/>
  <c r="H156" i="2" s="1"/>
  <c r="G157" i="2"/>
  <c r="H157" i="2" s="1"/>
  <c r="G158" i="2"/>
  <c r="H158" i="2" s="1"/>
  <c r="G159" i="2"/>
  <c r="H159" i="2" s="1"/>
  <c r="G162" i="2"/>
  <c r="H162" i="2" s="1"/>
  <c r="G163" i="2"/>
  <c r="H163" i="2" s="1"/>
  <c r="G164" i="2"/>
  <c r="H164" i="2" s="1"/>
  <c r="G165" i="2"/>
  <c r="G166" i="2"/>
  <c r="G167" i="2"/>
  <c r="G168" i="2"/>
  <c r="G169" i="2"/>
  <c r="H169" i="2" s="1"/>
  <c r="G170" i="2"/>
  <c r="H170" i="2" s="1"/>
  <c r="G171" i="2"/>
  <c r="G172" i="2"/>
  <c r="G173" i="2"/>
  <c r="H173" i="2" s="1"/>
  <c r="G174" i="2"/>
  <c r="H174" i="2" s="1"/>
  <c r="G176" i="2"/>
  <c r="H176" i="2" s="1"/>
  <c r="G177" i="2"/>
  <c r="H177" i="2" s="1"/>
  <c r="G178" i="2"/>
  <c r="H178" i="2" s="1"/>
  <c r="G179" i="2"/>
  <c r="H179" i="2" s="1"/>
  <c r="G180" i="2"/>
  <c r="H180" i="2" s="1"/>
  <c r="G184" i="2"/>
  <c r="H184" i="2" s="1"/>
  <c r="G185" i="2"/>
  <c r="H185" i="2" s="1"/>
  <c r="G187" i="2"/>
  <c r="H187" i="2" s="1"/>
  <c r="I187" i="2" s="1"/>
  <c r="I281" i="2" s="1"/>
  <c r="G204" i="2"/>
  <c r="H204" i="2" s="1"/>
  <c r="G206" i="2"/>
  <c r="H206" i="2" s="1"/>
  <c r="G209" i="2"/>
  <c r="H209" i="2" s="1"/>
  <c r="G210" i="2"/>
  <c r="H210" i="2" s="1"/>
  <c r="G212" i="2"/>
  <c r="G213" i="2"/>
  <c r="G216" i="2"/>
  <c r="H216" i="2" s="1"/>
  <c r="G217" i="2"/>
  <c r="H217" i="2" s="1"/>
  <c r="G219" i="2"/>
  <c r="H219" i="2" s="1"/>
  <c r="G222" i="2"/>
  <c r="H222" i="2" s="1"/>
  <c r="G223" i="2"/>
  <c r="H223" i="2" s="1"/>
  <c r="G224" i="2"/>
  <c r="H224" i="2" s="1"/>
  <c r="G225" i="2"/>
  <c r="H225" i="2" s="1"/>
  <c r="G237" i="2"/>
  <c r="G239" i="2"/>
  <c r="H239" i="2" s="1"/>
  <c r="G240" i="2"/>
  <c r="H240" i="2" s="1"/>
  <c r="G241" i="2"/>
  <c r="H241" i="2" s="1"/>
  <c r="G242" i="2"/>
  <c r="H242" i="2" s="1"/>
  <c r="G243" i="2"/>
  <c r="G245" i="2"/>
  <c r="H245" i="2" s="1"/>
  <c r="G247" i="2"/>
  <c r="H247" i="2" s="1"/>
  <c r="G248" i="2"/>
  <c r="H248" i="2" s="1"/>
  <c r="G249" i="2"/>
  <c r="H249" i="2" s="1"/>
  <c r="G250" i="2"/>
  <c r="H250" i="2" s="1"/>
  <c r="G251" i="2"/>
  <c r="H251" i="2" s="1"/>
  <c r="G252" i="2"/>
  <c r="H252" i="2" s="1"/>
  <c r="G253" i="2"/>
  <c r="H253" i="2" s="1"/>
  <c r="G255" i="2"/>
  <c r="H255" i="2" s="1"/>
  <c r="G256" i="2"/>
  <c r="H256" i="2" s="1"/>
  <c r="G258" i="2"/>
  <c r="H258" i="2" s="1"/>
  <c r="G259" i="2"/>
  <c r="H259" i="2" s="1"/>
  <c r="G260" i="2"/>
  <c r="H260" i="2" s="1"/>
  <c r="G261" i="2"/>
  <c r="H261" i="2" s="1"/>
  <c r="G263" i="2"/>
  <c r="G264" i="2"/>
  <c r="G265" i="2"/>
  <c r="H265" i="2" s="1"/>
  <c r="G266" i="2"/>
  <c r="G268" i="2"/>
  <c r="G152" i="2"/>
  <c r="D82" i="6"/>
  <c r="G134" i="2"/>
  <c r="G133" i="2"/>
  <c r="H133" i="2" s="1"/>
  <c r="G132" i="2"/>
  <c r="G130" i="2"/>
  <c r="G129" i="2"/>
  <c r="H129" i="2" s="1"/>
  <c r="G126" i="2"/>
  <c r="H126" i="2" s="1"/>
  <c r="G125" i="2"/>
  <c r="G124" i="2"/>
  <c r="G123" i="2"/>
  <c r="H123" i="2" s="1"/>
  <c r="G121" i="2"/>
  <c r="H121" i="2" s="1"/>
  <c r="G120" i="2"/>
  <c r="H120" i="2" s="1"/>
  <c r="G114" i="2"/>
  <c r="H114" i="2" s="1"/>
  <c r="G113" i="2"/>
  <c r="H113" i="2" s="1"/>
  <c r="G112" i="2"/>
  <c r="H112" i="2" s="1"/>
  <c r="G111" i="2"/>
  <c r="H111" i="2" s="1"/>
  <c r="G110" i="2"/>
  <c r="H110" i="2" s="1"/>
  <c r="G109" i="2"/>
  <c r="H109" i="2" s="1"/>
  <c r="G102" i="2"/>
  <c r="H102" i="2" s="1"/>
  <c r="G101" i="2"/>
  <c r="G100" i="2"/>
  <c r="G99" i="2"/>
  <c r="G98" i="2"/>
  <c r="G97" i="2"/>
  <c r="G96" i="2"/>
  <c r="G92" i="2"/>
  <c r="H92" i="2" s="1"/>
  <c r="G91" i="2"/>
  <c r="G90" i="2"/>
  <c r="H90" i="2" s="1"/>
  <c r="G89" i="2"/>
  <c r="H89" i="2" s="1"/>
  <c r="G88" i="2"/>
  <c r="H88" i="2" s="1"/>
  <c r="G86" i="2"/>
  <c r="H86" i="2" s="1"/>
  <c r="G85" i="2"/>
  <c r="G84" i="2"/>
  <c r="H84" i="2" s="1"/>
  <c r="I84" i="2" s="1"/>
  <c r="G83" i="2"/>
  <c r="H83" i="2" s="1"/>
  <c r="G80" i="2"/>
  <c r="H80" i="2" s="1"/>
  <c r="G79" i="2"/>
  <c r="H79" i="2" s="1"/>
  <c r="G78" i="2"/>
  <c r="H78" i="2" s="1"/>
  <c r="G77" i="2"/>
  <c r="H77" i="2" s="1"/>
  <c r="G75" i="2"/>
  <c r="H75" i="2" s="1"/>
  <c r="G74" i="2"/>
  <c r="G73" i="2"/>
  <c r="G72" i="2"/>
  <c r="H72" i="2" s="1"/>
  <c r="G69" i="2"/>
  <c r="G68" i="2"/>
  <c r="G67" i="2"/>
  <c r="G64" i="2"/>
  <c r="H64" i="2" s="1"/>
  <c r="G63" i="2"/>
  <c r="H63" i="2" s="1"/>
  <c r="G60" i="2"/>
  <c r="H60" i="2" s="1"/>
  <c r="G59" i="2"/>
  <c r="H59" i="2" s="1"/>
  <c r="G58" i="2"/>
  <c r="H58" i="2" s="1"/>
  <c r="G57" i="2"/>
  <c r="H57" i="2" s="1"/>
  <c r="G56" i="2"/>
  <c r="G55" i="2"/>
  <c r="H55" i="2" s="1"/>
  <c r="G54" i="2"/>
  <c r="H54" i="2" s="1"/>
  <c r="G51" i="2"/>
  <c r="H51" i="2" s="1"/>
  <c r="G50" i="2"/>
  <c r="H50" i="2" s="1"/>
  <c r="G49" i="2"/>
  <c r="H49" i="2" s="1"/>
  <c r="I49" i="2" s="1"/>
  <c r="I24" i="3" s="1"/>
  <c r="G45" i="2"/>
  <c r="H45" i="2" s="1"/>
  <c r="I45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G34" i="2"/>
  <c r="G33" i="2"/>
  <c r="H33" i="2" s="1"/>
  <c r="G32" i="2"/>
  <c r="H32" i="2" s="1"/>
  <c r="G31" i="2"/>
  <c r="H31" i="2" s="1"/>
  <c r="G30" i="2"/>
  <c r="H30" i="2" s="1"/>
  <c r="G29" i="2"/>
  <c r="H29" i="2" s="1"/>
  <c r="G25" i="2"/>
  <c r="G23" i="2"/>
  <c r="G22" i="2"/>
  <c r="G21" i="2"/>
  <c r="H21" i="2" s="1"/>
  <c r="M21" i="2" s="1"/>
  <c r="O21" i="2" s="1"/>
  <c r="P21" i="2" s="1"/>
  <c r="G19" i="2"/>
  <c r="H19" i="2" s="1"/>
  <c r="G5" i="2"/>
  <c r="H5" i="2" s="1"/>
  <c r="G7" i="2"/>
  <c r="G8" i="2"/>
  <c r="G9" i="2"/>
  <c r="G10" i="2"/>
  <c r="G11" i="2"/>
  <c r="H11" i="2" s="1"/>
  <c r="G15" i="2"/>
  <c r="H15" i="2" s="1"/>
  <c r="G16" i="2"/>
  <c r="H16" i="2" s="1"/>
  <c r="G17" i="2"/>
  <c r="H17" i="2" s="1"/>
  <c r="G4" i="2"/>
  <c r="H4" i="2" s="1"/>
  <c r="G3" i="2"/>
  <c r="G151" i="2" l="1"/>
  <c r="I151" i="2"/>
  <c r="H152" i="2"/>
  <c r="H281" i="2" s="1"/>
  <c r="G281" i="2"/>
  <c r="H28" i="2"/>
  <c r="H151" i="2" s="1"/>
  <c r="I20" i="3"/>
  <c r="I152" i="3"/>
  <c r="F112" i="6"/>
  <c r="F35" i="6"/>
  <c r="I59" i="3"/>
  <c r="F55" i="6"/>
  <c r="J3" i="2"/>
  <c r="H3" i="2"/>
  <c r="J259" i="2"/>
  <c r="M259" i="2"/>
  <c r="J265" i="2"/>
  <c r="M265" i="2"/>
  <c r="J260" i="2"/>
  <c r="M260" i="2"/>
  <c r="J255" i="2"/>
  <c r="M255" i="2"/>
  <c r="J251" i="2"/>
  <c r="M251" i="2"/>
  <c r="J247" i="2"/>
  <c r="M247" i="2"/>
  <c r="J250" i="2"/>
  <c r="M250" i="2"/>
  <c r="J258" i="2"/>
  <c r="M258" i="2"/>
  <c r="J249" i="2"/>
  <c r="M249" i="2"/>
  <c r="J253" i="2"/>
  <c r="M253" i="2"/>
  <c r="J245" i="2"/>
  <c r="M245" i="2"/>
  <c r="J261" i="2"/>
  <c r="M261" i="2"/>
  <c r="J256" i="2"/>
  <c r="M256" i="2"/>
  <c r="J252" i="2"/>
  <c r="M252" i="2"/>
  <c r="J248" i="2"/>
  <c r="M248" i="2"/>
  <c r="J242" i="2"/>
  <c r="M242" i="2"/>
  <c r="J241" i="2"/>
  <c r="M241" i="2"/>
  <c r="J240" i="2"/>
  <c r="M240" i="2"/>
  <c r="J239" i="2"/>
  <c r="M239" i="2"/>
  <c r="J225" i="2"/>
  <c r="M225" i="2"/>
  <c r="J219" i="2"/>
  <c r="M219" i="2"/>
  <c r="J204" i="2"/>
  <c r="M204" i="2"/>
  <c r="J187" i="2"/>
  <c r="M187" i="2"/>
  <c r="J224" i="2"/>
  <c r="M224" i="2"/>
  <c r="J210" i="2"/>
  <c r="M210" i="2"/>
  <c r="J216" i="2"/>
  <c r="M216" i="2"/>
  <c r="J217" i="2"/>
  <c r="M217" i="2"/>
  <c r="J223" i="2"/>
  <c r="M223" i="2"/>
  <c r="J209" i="2"/>
  <c r="M209" i="2"/>
  <c r="J222" i="2"/>
  <c r="M222" i="2"/>
  <c r="J206" i="2"/>
  <c r="M206" i="2"/>
  <c r="J185" i="2"/>
  <c r="M185" i="2"/>
  <c r="J184" i="2"/>
  <c r="M184" i="2"/>
  <c r="J180" i="2"/>
  <c r="M180" i="2"/>
  <c r="J179" i="2"/>
  <c r="M179" i="2"/>
  <c r="J178" i="2"/>
  <c r="M178" i="2"/>
  <c r="J177" i="2"/>
  <c r="M177" i="2"/>
  <c r="J176" i="2"/>
  <c r="M176" i="2"/>
  <c r="J174" i="2"/>
  <c r="M174" i="2"/>
  <c r="J173" i="2"/>
  <c r="M173" i="2"/>
  <c r="J169" i="2"/>
  <c r="M169" i="2"/>
  <c r="J164" i="2"/>
  <c r="M164" i="2"/>
  <c r="J163" i="2"/>
  <c r="M163" i="2"/>
  <c r="J162" i="2"/>
  <c r="M162" i="2"/>
  <c r="J159" i="2"/>
  <c r="M159" i="2"/>
  <c r="J158" i="2"/>
  <c r="M158" i="2"/>
  <c r="J170" i="2"/>
  <c r="M170" i="2"/>
  <c r="J157" i="2"/>
  <c r="M157" i="2"/>
  <c r="J156" i="2"/>
  <c r="M156" i="2"/>
  <c r="J155" i="2"/>
  <c r="M155" i="2"/>
  <c r="J154" i="2"/>
  <c r="M154" i="2"/>
  <c r="J153" i="2"/>
  <c r="M153" i="2"/>
  <c r="J133" i="2"/>
  <c r="M133" i="2"/>
  <c r="J129" i="2"/>
  <c r="M129" i="2"/>
  <c r="J120" i="2"/>
  <c r="M120" i="2"/>
  <c r="J121" i="2"/>
  <c r="M121" i="2"/>
  <c r="J123" i="2"/>
  <c r="M123" i="2"/>
  <c r="J102" i="2"/>
  <c r="M102" i="2"/>
  <c r="J126" i="2"/>
  <c r="M126" i="2"/>
  <c r="J114" i="2"/>
  <c r="M114" i="2"/>
  <c r="J113" i="2"/>
  <c r="M113" i="2"/>
  <c r="J112" i="2"/>
  <c r="M112" i="2"/>
  <c r="J111" i="2"/>
  <c r="M111" i="2"/>
  <c r="J110" i="2"/>
  <c r="M110" i="2"/>
  <c r="J109" i="2"/>
  <c r="M109" i="2"/>
  <c r="J92" i="2"/>
  <c r="M92" i="2"/>
  <c r="J90" i="2"/>
  <c r="M90" i="2"/>
  <c r="J89" i="2"/>
  <c r="M89" i="2"/>
  <c r="J88" i="2"/>
  <c r="M88" i="2"/>
  <c r="J86" i="2"/>
  <c r="M86" i="2"/>
  <c r="J84" i="2"/>
  <c r="M84" i="2"/>
  <c r="J83" i="2"/>
  <c r="M83" i="2"/>
  <c r="J80" i="2"/>
  <c r="M80" i="2"/>
  <c r="J79" i="2"/>
  <c r="M79" i="2"/>
  <c r="J78" i="2"/>
  <c r="M78" i="2"/>
  <c r="J77" i="2"/>
  <c r="M77" i="2"/>
  <c r="J75" i="2"/>
  <c r="M75" i="2"/>
  <c r="J72" i="2"/>
  <c r="M72" i="2"/>
  <c r="J50" i="2"/>
  <c r="M50" i="2"/>
  <c r="J58" i="2"/>
  <c r="M58" i="2"/>
  <c r="J64" i="2"/>
  <c r="M64" i="2"/>
  <c r="J51" i="2"/>
  <c r="M51" i="2"/>
  <c r="J55" i="2"/>
  <c r="M55" i="2"/>
  <c r="J59" i="2"/>
  <c r="M59" i="2"/>
  <c r="J60" i="2"/>
  <c r="M60" i="2"/>
  <c r="J66" i="2"/>
  <c r="M66" i="2"/>
  <c r="J61" i="2"/>
  <c r="M61" i="2"/>
  <c r="J49" i="2"/>
  <c r="M49" i="2"/>
  <c r="J54" i="2"/>
  <c r="M54" i="2"/>
  <c r="J57" i="2"/>
  <c r="M57" i="2"/>
  <c r="J63" i="2"/>
  <c r="M63" i="2"/>
  <c r="J45" i="2"/>
  <c r="M45" i="2"/>
  <c r="J40" i="2"/>
  <c r="M40" i="2"/>
  <c r="J39" i="2"/>
  <c r="M39" i="2"/>
  <c r="J38" i="2"/>
  <c r="M38" i="2"/>
  <c r="J37" i="2"/>
  <c r="M37" i="2"/>
  <c r="J36" i="2"/>
  <c r="M36" i="2"/>
  <c r="J33" i="2"/>
  <c r="M33" i="2"/>
  <c r="J32" i="2"/>
  <c r="M32" i="2"/>
  <c r="J31" i="2"/>
  <c r="M31" i="2"/>
  <c r="J30" i="2"/>
  <c r="M30" i="2"/>
  <c r="J29" i="2"/>
  <c r="M29" i="2"/>
  <c r="J4" i="2"/>
  <c r="M4" i="2"/>
  <c r="M15" i="2"/>
  <c r="J15" i="2"/>
  <c r="J21" i="2"/>
  <c r="M16" i="2"/>
  <c r="J16" i="2"/>
  <c r="M19" i="2"/>
  <c r="J19" i="2"/>
  <c r="H26" i="2"/>
  <c r="M11" i="2"/>
  <c r="J11" i="2"/>
  <c r="M17" i="2"/>
  <c r="J17" i="2"/>
  <c r="M5" i="2"/>
  <c r="H18" i="2"/>
  <c r="J5" i="2"/>
  <c r="J41" i="3"/>
  <c r="J103" i="3"/>
  <c r="J36" i="3"/>
  <c r="J51" i="3"/>
  <c r="F26" i="2"/>
  <c r="M152" i="2" l="1"/>
  <c r="J152" i="2"/>
  <c r="J281" i="2" s="1"/>
  <c r="M281" i="2"/>
  <c r="N152" i="3"/>
  <c r="I247" i="3"/>
  <c r="J28" i="2"/>
  <c r="J151" i="2" s="1"/>
  <c r="I116" i="3"/>
  <c r="M28" i="2"/>
  <c r="M151" i="2" s="1"/>
  <c r="H282" i="2"/>
  <c r="H27" i="2"/>
  <c r="N221" i="2"/>
  <c r="H283" i="2" l="1"/>
  <c r="H284" i="2" s="1"/>
  <c r="H285" i="2" s="1"/>
  <c r="H296" i="2" s="1"/>
  <c r="O221" i="2"/>
  <c r="H93" i="6" s="1"/>
  <c r="P221" i="2" l="1"/>
  <c r="F282" i="2" l="1"/>
  <c r="T146" i="4"/>
  <c r="U146" i="4" l="1"/>
  <c r="V146" i="4" s="1"/>
  <c r="X146" i="4" l="1"/>
  <c r="Z146" i="4" s="1"/>
  <c r="AD149" i="4"/>
  <c r="AD225" i="4"/>
  <c r="AC225" i="4"/>
  <c r="H60" i="8"/>
  <c r="N208" i="2"/>
  <c r="AD224" i="4"/>
  <c r="AC224" i="4"/>
  <c r="AC154" i="4"/>
  <c r="AD359" i="4"/>
  <c r="AC359" i="4"/>
  <c r="AD210" i="4"/>
  <c r="AC210" i="4"/>
  <c r="N148" i="2"/>
  <c r="AD358" i="4"/>
  <c r="AC358" i="4"/>
  <c r="AE196" i="4"/>
  <c r="AE197" i="4"/>
  <c r="N128" i="2"/>
  <c r="AD123" i="4"/>
  <c r="AC123" i="4"/>
  <c r="N66" i="2"/>
  <c r="AD160" i="4"/>
  <c r="AC160" i="4"/>
  <c r="AD159" i="4"/>
  <c r="AC159" i="4"/>
  <c r="N181" i="2"/>
  <c r="AD71" i="4"/>
  <c r="AC71" i="4"/>
  <c r="N76" i="2"/>
  <c r="N61" i="2"/>
  <c r="N226" i="2"/>
  <c r="AD146" i="4"/>
  <c r="AE210" i="4" l="1"/>
  <c r="AC146" i="4"/>
  <c r="AE146" i="4" s="1"/>
  <c r="AE359" i="4"/>
  <c r="AE154" i="4"/>
  <c r="AE224" i="4"/>
  <c r="AE225" i="4"/>
  <c r="AE149" i="4"/>
  <c r="O208" i="2"/>
  <c r="P208" i="2" s="1"/>
  <c r="AE358" i="4"/>
  <c r="H71" i="8"/>
  <c r="H70" i="8"/>
  <c r="H65" i="8"/>
  <c r="H101" i="6"/>
  <c r="O148" i="2"/>
  <c r="P148" i="2" s="1"/>
  <c r="O36" i="3"/>
  <c r="O226" i="2"/>
  <c r="P226" i="2" s="1"/>
  <c r="O41" i="3"/>
  <c r="O61" i="2"/>
  <c r="P61" i="2" s="1"/>
  <c r="O51" i="3"/>
  <c r="O76" i="2"/>
  <c r="P76" i="2" s="1"/>
  <c r="O128" i="2"/>
  <c r="P128" i="2" s="1"/>
  <c r="AE71" i="4"/>
  <c r="O181" i="2"/>
  <c r="AE159" i="4"/>
  <c r="AE160" i="4"/>
  <c r="O66" i="2"/>
  <c r="P66" i="2" s="1"/>
  <c r="AE123" i="4"/>
  <c r="O103" i="3"/>
  <c r="H61" i="8" l="1"/>
  <c r="H47" i="6"/>
  <c r="H104" i="6"/>
  <c r="H110" i="8"/>
  <c r="H44" i="6"/>
  <c r="P181" i="2"/>
  <c r="A134" i="3" l="1"/>
  <c r="T341" i="4" l="1"/>
  <c r="U341" i="4" s="1"/>
  <c r="V341" i="4" s="1"/>
  <c r="X341" i="4" l="1"/>
  <c r="AC341" i="4" l="1"/>
  <c r="Z341" i="4"/>
  <c r="D215" i="3"/>
  <c r="AE341" i="4" l="1"/>
  <c r="P349" i="4"/>
  <c r="P348" i="4"/>
  <c r="P347" i="4"/>
  <c r="D212" i="3" l="1"/>
  <c r="D213" i="3"/>
  <c r="D214" i="3"/>
  <c r="AD43" i="4" l="1"/>
  <c r="T328" i="4" l="1"/>
  <c r="U328" i="4" s="1"/>
  <c r="V328" i="4" s="1"/>
  <c r="T43" i="4"/>
  <c r="U43" i="4" s="1"/>
  <c r="V43" i="4" s="1"/>
  <c r="T48" i="4"/>
  <c r="U48" i="4" s="1"/>
  <c r="V48" i="4" s="1"/>
  <c r="T306" i="4"/>
  <c r="U306" i="4" s="1"/>
  <c r="V306" i="4" s="1"/>
  <c r="X328" i="4" l="1"/>
  <c r="X306" i="4"/>
  <c r="A204" i="3"/>
  <c r="B204" i="3"/>
  <c r="C204" i="3"/>
  <c r="D204" i="3"/>
  <c r="E204" i="3"/>
  <c r="G204" i="3" s="1"/>
  <c r="A205" i="3"/>
  <c r="B205" i="3"/>
  <c r="C205" i="3"/>
  <c r="D205" i="3"/>
  <c r="E205" i="3"/>
  <c r="G205" i="3" s="1"/>
  <c r="A89" i="3"/>
  <c r="B89" i="3"/>
  <c r="C89" i="3"/>
  <c r="D89" i="3"/>
  <c r="E89" i="3"/>
  <c r="K89" i="3"/>
  <c r="L89" i="3" s="1"/>
  <c r="G89" i="3" l="1"/>
  <c r="H89" i="3" s="1"/>
  <c r="M89" i="3" s="1"/>
  <c r="AC328" i="4"/>
  <c r="Z328" i="4"/>
  <c r="Z306" i="4"/>
  <c r="AC306" i="4"/>
  <c r="X48" i="4"/>
  <c r="Z48" i="4" s="1"/>
  <c r="H204" i="3"/>
  <c r="M204" i="3" s="1"/>
  <c r="O204" i="3" s="1"/>
  <c r="H205" i="3"/>
  <c r="J205" i="3" s="1"/>
  <c r="N89" i="3"/>
  <c r="AE328" i="4" l="1"/>
  <c r="AE306" i="4"/>
  <c r="J204" i="3"/>
  <c r="M205" i="3"/>
  <c r="O205" i="3" s="1"/>
  <c r="Z43" i="4"/>
  <c r="AC43" i="4"/>
  <c r="AE43" i="4" s="1"/>
  <c r="J89" i="3"/>
  <c r="N257" i="3" l="1"/>
  <c r="D105" i="3"/>
  <c r="D59" i="8" l="1"/>
  <c r="E59" i="8" s="1"/>
  <c r="G59" i="8" s="1"/>
  <c r="K109" i="3" l="1"/>
  <c r="L109" i="3" s="1"/>
  <c r="N109" i="3" s="1"/>
  <c r="E109" i="3"/>
  <c r="D109" i="3"/>
  <c r="C109" i="3"/>
  <c r="B109" i="3"/>
  <c r="A109" i="3"/>
  <c r="H109" i="3" l="1"/>
  <c r="M109" i="3" s="1"/>
  <c r="G109" i="3"/>
  <c r="E104" i="3"/>
  <c r="J109" i="3" l="1"/>
  <c r="G104" i="3"/>
  <c r="H104" i="3" s="1"/>
  <c r="D52" i="3"/>
  <c r="Y361" i="4" l="1"/>
  <c r="C111" i="8" l="1"/>
  <c r="C110" i="8"/>
  <c r="C109" i="8"/>
  <c r="F115" i="8" l="1"/>
  <c r="F112" i="8"/>
  <c r="T355" i="4" l="1"/>
  <c r="U355" i="4" s="1"/>
  <c r="V355" i="4" s="1"/>
  <c r="T356" i="4"/>
  <c r="U356" i="4" s="1"/>
  <c r="V356" i="4" s="1"/>
  <c r="T357" i="4"/>
  <c r="U357" i="4" s="1"/>
  <c r="V357" i="4" s="1"/>
  <c r="AD356" i="4"/>
  <c r="AD54" i="4"/>
  <c r="AD92" i="4"/>
  <c r="D109" i="8" l="1"/>
  <c r="X356" i="4"/>
  <c r="AD50" i="4"/>
  <c r="AD139" i="4"/>
  <c r="AD140" i="4"/>
  <c r="AD128" i="4"/>
  <c r="AD65" i="4"/>
  <c r="AD355" i="4"/>
  <c r="AD357" i="4"/>
  <c r="AD59" i="4"/>
  <c r="AD138" i="4"/>
  <c r="AD49" i="4"/>
  <c r="AD52" i="4"/>
  <c r="N86" i="2"/>
  <c r="AD141" i="4"/>
  <c r="AD74" i="4"/>
  <c r="E109" i="8" l="1"/>
  <c r="G109" i="8" s="1"/>
  <c r="N114" i="2"/>
  <c r="AD48" i="4"/>
  <c r="AC48" i="4"/>
  <c r="N15" i="2"/>
  <c r="N134" i="2"/>
  <c r="G110" i="8"/>
  <c r="Z139" i="4"/>
  <c r="AC139" i="4"/>
  <c r="AE139" i="4" s="1"/>
  <c r="Z141" i="4"/>
  <c r="AC141" i="4"/>
  <c r="AE141" i="4" s="1"/>
  <c r="Z128" i="4"/>
  <c r="AC128" i="4"/>
  <c r="AE128" i="4" s="1"/>
  <c r="Z138" i="4"/>
  <c r="AC138" i="4"/>
  <c r="AE138" i="4" s="1"/>
  <c r="Z140" i="4"/>
  <c r="AC140" i="4"/>
  <c r="AE140" i="4" s="1"/>
  <c r="AC356" i="4" l="1"/>
  <c r="Z356" i="4"/>
  <c r="O114" i="2"/>
  <c r="P114" i="2" s="1"/>
  <c r="O89" i="3"/>
  <c r="AE48" i="4"/>
  <c r="H59" i="8"/>
  <c r="O15" i="2"/>
  <c r="P15" i="2" s="1"/>
  <c r="O134" i="2"/>
  <c r="P134" i="2" s="1"/>
  <c r="O109" i="3"/>
  <c r="Z355" i="4"/>
  <c r="AC355" i="4"/>
  <c r="Z357" i="4"/>
  <c r="AC357" i="4"/>
  <c r="AE355" i="4" l="1"/>
  <c r="AE357" i="4"/>
  <c r="AE356" i="4"/>
  <c r="H109" i="8" s="1"/>
  <c r="R201" i="4"/>
  <c r="Q201" i="4"/>
  <c r="R347" i="4"/>
  <c r="Q347" i="4"/>
  <c r="O201" i="4"/>
  <c r="N201" i="4"/>
  <c r="O347" i="4"/>
  <c r="N347" i="4"/>
  <c r="N346" i="4"/>
  <c r="R342" i="4" l="1"/>
  <c r="Q342" i="4"/>
  <c r="R348" i="4"/>
  <c r="Q348" i="4"/>
  <c r="O348" i="4"/>
  <c r="N348" i="4"/>
  <c r="T161" i="4"/>
  <c r="U161" i="4" s="1"/>
  <c r="V161" i="4" s="1"/>
  <c r="X161" i="4" s="1"/>
  <c r="N147" i="4"/>
  <c r="O349" i="4"/>
  <c r="R349" i="4"/>
  <c r="N349" i="4"/>
  <c r="Q349" i="4"/>
  <c r="F23" i="8" l="1"/>
  <c r="O346" i="4"/>
  <c r="O350" i="4" s="1"/>
  <c r="N350" i="4"/>
  <c r="O147" i="4"/>
  <c r="T119" i="4"/>
  <c r="U119" i="4" s="1"/>
  <c r="V119" i="4" s="1"/>
  <c r="W119" i="4" s="1"/>
  <c r="W346" i="4" l="1"/>
  <c r="W147" i="4"/>
  <c r="AD161" i="4"/>
  <c r="D15" i="8"/>
  <c r="AC161" i="4"/>
  <c r="P147" i="4"/>
  <c r="P346" i="4"/>
  <c r="P350" i="4" s="1"/>
  <c r="Z161" i="4" l="1"/>
  <c r="AE161" i="4"/>
  <c r="X119" i="4"/>
  <c r="E15" i="8"/>
  <c r="S147" i="4"/>
  <c r="Q346" i="4"/>
  <c r="Q350" i="4" s="1"/>
  <c r="Q147" i="4"/>
  <c r="R147" i="4"/>
  <c r="R346" i="4"/>
  <c r="R350" i="4" s="1"/>
  <c r="T50" i="4"/>
  <c r="U50" i="4" s="1"/>
  <c r="T132" i="4"/>
  <c r="U132" i="4" s="1"/>
  <c r="V132" i="4" s="1"/>
  <c r="F15" i="8" l="1"/>
  <c r="G15" i="8" s="1"/>
  <c r="V50" i="4"/>
  <c r="X50" i="4" s="1"/>
  <c r="AD119" i="4"/>
  <c r="AC119" i="4"/>
  <c r="Z119" i="4"/>
  <c r="X132" i="4"/>
  <c r="T140" i="4"/>
  <c r="U140" i="4" s="1"/>
  <c r="V140" i="4" s="1"/>
  <c r="T138" i="4"/>
  <c r="U138" i="4" s="1"/>
  <c r="V138" i="4" s="1"/>
  <c r="T141" i="4"/>
  <c r="U141" i="4" s="1"/>
  <c r="V141" i="4" s="1"/>
  <c r="T139" i="4"/>
  <c r="U139" i="4" s="1"/>
  <c r="V139" i="4" s="1"/>
  <c r="T216" i="4"/>
  <c r="U216" i="4" s="1"/>
  <c r="V216" i="4" s="1"/>
  <c r="T183" i="4"/>
  <c r="U183" i="4" s="1"/>
  <c r="T181" i="4"/>
  <c r="U181" i="4" s="1"/>
  <c r="T179" i="4"/>
  <c r="U179" i="4" s="1"/>
  <c r="T173" i="4"/>
  <c r="U173" i="4" s="1"/>
  <c r="T170" i="4"/>
  <c r="U170" i="4" s="1"/>
  <c r="T168" i="4"/>
  <c r="U168" i="4" s="1"/>
  <c r="T166" i="4"/>
  <c r="U166" i="4" s="1"/>
  <c r="T164" i="4"/>
  <c r="U164" i="4" s="1"/>
  <c r="T157" i="4"/>
  <c r="U157" i="4" s="1"/>
  <c r="T155" i="4"/>
  <c r="U155" i="4" s="1"/>
  <c r="T151" i="4"/>
  <c r="U151" i="4" s="1"/>
  <c r="T148" i="4"/>
  <c r="T222" i="4"/>
  <c r="U222" i="4" s="1"/>
  <c r="V222" i="4" s="1"/>
  <c r="T324" i="4"/>
  <c r="U324" i="4" s="1"/>
  <c r="V324" i="4" s="1"/>
  <c r="T323" i="4"/>
  <c r="U323" i="4" s="1"/>
  <c r="V323" i="4" s="1"/>
  <c r="T305" i="4"/>
  <c r="U305" i="4" s="1"/>
  <c r="V305" i="4" s="1"/>
  <c r="T301" i="4"/>
  <c r="U301" i="4" s="1"/>
  <c r="V301" i="4" s="1"/>
  <c r="T299" i="4"/>
  <c r="U299" i="4" s="1"/>
  <c r="V299" i="4" s="1"/>
  <c r="T242" i="4"/>
  <c r="U242" i="4" s="1"/>
  <c r="V242" i="4" s="1"/>
  <c r="T130" i="4"/>
  <c r="U130" i="4" s="1"/>
  <c r="T127" i="4"/>
  <c r="U127" i="4" s="1"/>
  <c r="V127" i="4" s="1"/>
  <c r="T118" i="4"/>
  <c r="U118" i="4" s="1"/>
  <c r="V118" i="4" s="1"/>
  <c r="T114" i="4"/>
  <c r="U114" i="4" s="1"/>
  <c r="V114" i="4" s="1"/>
  <c r="T110" i="4"/>
  <c r="U110" i="4" s="1"/>
  <c r="V110" i="4" s="1"/>
  <c r="T107" i="4"/>
  <c r="U107" i="4" s="1"/>
  <c r="V107" i="4" s="1"/>
  <c r="T105" i="4"/>
  <c r="U105" i="4" s="1"/>
  <c r="V105" i="4" s="1"/>
  <c r="T104" i="4"/>
  <c r="U104" i="4" s="1"/>
  <c r="V104" i="4" s="1"/>
  <c r="T103" i="4"/>
  <c r="U103" i="4" s="1"/>
  <c r="V103" i="4" s="1"/>
  <c r="T97" i="4"/>
  <c r="U97" i="4" s="1"/>
  <c r="V97" i="4" s="1"/>
  <c r="T94" i="4"/>
  <c r="U94" i="4" s="1"/>
  <c r="V94" i="4" s="1"/>
  <c r="T87" i="4"/>
  <c r="U87" i="4" s="1"/>
  <c r="V87" i="4" s="1"/>
  <c r="T83" i="4"/>
  <c r="U83" i="4" s="1"/>
  <c r="V83" i="4" s="1"/>
  <c r="T79" i="4"/>
  <c r="U79" i="4" s="1"/>
  <c r="V79" i="4" s="1"/>
  <c r="T66" i="4"/>
  <c r="U66" i="4" s="1"/>
  <c r="V66" i="4" s="1"/>
  <c r="T61" i="4"/>
  <c r="U61" i="4" s="1"/>
  <c r="V61" i="4" s="1"/>
  <c r="T58" i="4"/>
  <c r="U58" i="4" s="1"/>
  <c r="V58" i="4" s="1"/>
  <c r="T51" i="4"/>
  <c r="U51" i="4" s="1"/>
  <c r="V51" i="4" s="1"/>
  <c r="T223" i="4"/>
  <c r="U223" i="4" s="1"/>
  <c r="V223" i="4" s="1"/>
  <c r="T327" i="4"/>
  <c r="U327" i="4" s="1"/>
  <c r="V327" i="4" s="1"/>
  <c r="T326" i="4"/>
  <c r="U326" i="4" s="1"/>
  <c r="V326" i="4" s="1"/>
  <c r="T325" i="4"/>
  <c r="U325" i="4" s="1"/>
  <c r="V325" i="4" s="1"/>
  <c r="T322" i="4"/>
  <c r="U322" i="4" s="1"/>
  <c r="V322" i="4" s="1"/>
  <c r="T314" i="4"/>
  <c r="U314" i="4" s="1"/>
  <c r="V314" i="4" s="1"/>
  <c r="T304" i="4"/>
  <c r="U304" i="4" s="1"/>
  <c r="V304" i="4" s="1"/>
  <c r="T303" i="4"/>
  <c r="U303" i="4" s="1"/>
  <c r="V303" i="4" s="1"/>
  <c r="T302" i="4"/>
  <c r="U302" i="4" s="1"/>
  <c r="V302" i="4" s="1"/>
  <c r="T300" i="4"/>
  <c r="U300" i="4" s="1"/>
  <c r="V300" i="4" s="1"/>
  <c r="T221" i="4"/>
  <c r="U221" i="4" s="1"/>
  <c r="V221" i="4" s="1"/>
  <c r="T217" i="4"/>
  <c r="U217" i="4" s="1"/>
  <c r="V217" i="4" s="1"/>
  <c r="T185" i="4"/>
  <c r="U185" i="4" s="1"/>
  <c r="T184" i="4"/>
  <c r="U184" i="4" s="1"/>
  <c r="T182" i="4"/>
  <c r="U182" i="4" s="1"/>
  <c r="T180" i="4"/>
  <c r="U180" i="4" s="1"/>
  <c r="T178" i="4"/>
  <c r="U178" i="4" s="1"/>
  <c r="T171" i="4"/>
  <c r="U171" i="4" s="1"/>
  <c r="T169" i="4"/>
  <c r="U169" i="4" s="1"/>
  <c r="T167" i="4"/>
  <c r="U167" i="4" s="1"/>
  <c r="T165" i="4"/>
  <c r="U165" i="4" s="1"/>
  <c r="T162" i="4"/>
  <c r="U162" i="4" s="1"/>
  <c r="T158" i="4"/>
  <c r="U158" i="4" s="1"/>
  <c r="T156" i="4"/>
  <c r="U156" i="4" s="1"/>
  <c r="T153" i="4"/>
  <c r="U153" i="4" s="1"/>
  <c r="T150" i="4"/>
  <c r="U150" i="4" s="1"/>
  <c r="V150" i="4" s="1"/>
  <c r="X150" i="4" s="1"/>
  <c r="T124" i="4"/>
  <c r="U124" i="4" s="1"/>
  <c r="V124" i="4" s="1"/>
  <c r="T116" i="4"/>
  <c r="U116" i="4" s="1"/>
  <c r="V116" i="4" s="1"/>
  <c r="T112" i="4"/>
  <c r="U112" i="4" s="1"/>
  <c r="V112" i="4" s="1"/>
  <c r="T106" i="4"/>
  <c r="U106" i="4" s="1"/>
  <c r="V106" i="4" s="1"/>
  <c r="T102" i="4"/>
  <c r="U102" i="4" s="1"/>
  <c r="V102" i="4" s="1"/>
  <c r="T95" i="4"/>
  <c r="U95" i="4" s="1"/>
  <c r="V95" i="4" s="1"/>
  <c r="T92" i="4"/>
  <c r="U92" i="4" s="1"/>
  <c r="V92" i="4" s="1"/>
  <c r="T85" i="4"/>
  <c r="U85" i="4" s="1"/>
  <c r="V85" i="4" s="1"/>
  <c r="T81" i="4"/>
  <c r="U81" i="4" s="1"/>
  <c r="T65" i="4"/>
  <c r="U65" i="4" s="1"/>
  <c r="V65" i="4" s="1"/>
  <c r="T59" i="4"/>
  <c r="U59" i="4" s="1"/>
  <c r="V59" i="4" s="1"/>
  <c r="T56" i="4"/>
  <c r="U56" i="4" s="1"/>
  <c r="V56" i="4" s="1"/>
  <c r="T49" i="4"/>
  <c r="U49" i="4" s="1"/>
  <c r="T133" i="4"/>
  <c r="U133" i="4" s="1"/>
  <c r="V133" i="4" s="1"/>
  <c r="T297" i="4"/>
  <c r="U297" i="4" s="1"/>
  <c r="V297" i="4" s="1"/>
  <c r="T135" i="4"/>
  <c r="U135" i="4" s="1"/>
  <c r="V135" i="4" s="1"/>
  <c r="T137" i="4"/>
  <c r="U137" i="4" s="1"/>
  <c r="V137" i="4" s="1"/>
  <c r="T136" i="4"/>
  <c r="U136" i="4" s="1"/>
  <c r="T134" i="4"/>
  <c r="U134" i="4" s="1"/>
  <c r="T131" i="4"/>
  <c r="U131" i="4" s="1"/>
  <c r="V131" i="4" s="1"/>
  <c r="T128" i="4"/>
  <c r="U128" i="4" s="1"/>
  <c r="V128" i="4" s="1"/>
  <c r="T120" i="4"/>
  <c r="U120" i="4" s="1"/>
  <c r="V120" i="4" s="1"/>
  <c r="T117" i="4"/>
  <c r="U117" i="4" s="1"/>
  <c r="T115" i="4"/>
  <c r="U115" i="4" s="1"/>
  <c r="V115" i="4" s="1"/>
  <c r="T113" i="4"/>
  <c r="U113" i="4" s="1"/>
  <c r="T111" i="4"/>
  <c r="U111" i="4" s="1"/>
  <c r="V111" i="4" s="1"/>
  <c r="T109" i="4"/>
  <c r="U109" i="4" s="1"/>
  <c r="T108" i="4"/>
  <c r="U108" i="4" s="1"/>
  <c r="V108" i="4" s="1"/>
  <c r="T101" i="4"/>
  <c r="U101" i="4" s="1"/>
  <c r="T99" i="4"/>
  <c r="U99" i="4" s="1"/>
  <c r="V99" i="4" s="1"/>
  <c r="T98" i="4"/>
  <c r="U98" i="4" s="1"/>
  <c r="V98" i="4" s="1"/>
  <c r="T96" i="4"/>
  <c r="U96" i="4" s="1"/>
  <c r="V96" i="4" s="1"/>
  <c r="T93" i="4"/>
  <c r="U93" i="4" s="1"/>
  <c r="V93" i="4" s="1"/>
  <c r="T91" i="4"/>
  <c r="U91" i="4" s="1"/>
  <c r="V91" i="4" s="1"/>
  <c r="T90" i="4"/>
  <c r="U90" i="4" s="1"/>
  <c r="V90" i="4" s="1"/>
  <c r="T88" i="4"/>
  <c r="U88" i="4" s="1"/>
  <c r="V88" i="4" s="1"/>
  <c r="T86" i="4"/>
  <c r="U86" i="4" s="1"/>
  <c r="V86" i="4" s="1"/>
  <c r="T84" i="4"/>
  <c r="U84" i="4" s="1"/>
  <c r="V84" i="4" s="1"/>
  <c r="T82" i="4"/>
  <c r="U82" i="4" s="1"/>
  <c r="V82" i="4" s="1"/>
  <c r="T80" i="4"/>
  <c r="U80" i="4" s="1"/>
  <c r="V80" i="4" s="1"/>
  <c r="T78" i="4"/>
  <c r="U78" i="4" s="1"/>
  <c r="V78" i="4" s="1"/>
  <c r="T77" i="4"/>
  <c r="U77" i="4" s="1"/>
  <c r="V77" i="4" s="1"/>
  <c r="T76" i="4"/>
  <c r="U76" i="4" s="1"/>
  <c r="V76" i="4" s="1"/>
  <c r="T75" i="4"/>
  <c r="U75" i="4" s="1"/>
  <c r="V75" i="4" s="1"/>
  <c r="T74" i="4"/>
  <c r="U74" i="4" s="1"/>
  <c r="V74" i="4" s="1"/>
  <c r="T69" i="4"/>
  <c r="U69" i="4" s="1"/>
  <c r="V69" i="4" s="1"/>
  <c r="T68" i="4"/>
  <c r="U68" i="4" s="1"/>
  <c r="V68" i="4" s="1"/>
  <c r="T67" i="4"/>
  <c r="U67" i="4" s="1"/>
  <c r="T62" i="4"/>
  <c r="U62" i="4" s="1"/>
  <c r="V62" i="4" s="1"/>
  <c r="T57" i="4"/>
  <c r="U57" i="4" s="1"/>
  <c r="V57" i="4" s="1"/>
  <c r="T55" i="4"/>
  <c r="U55" i="4" s="1"/>
  <c r="V55" i="4" s="1"/>
  <c r="T53" i="4"/>
  <c r="U53" i="4" s="1"/>
  <c r="V53" i="4" s="1"/>
  <c r="T52" i="4"/>
  <c r="U52" i="4" s="1"/>
  <c r="V52" i="4" s="1"/>
  <c r="T214" i="4"/>
  <c r="T241" i="4"/>
  <c r="U241" i="4" s="1"/>
  <c r="V241" i="4" s="1"/>
  <c r="T296" i="4"/>
  <c r="U296" i="4" s="1"/>
  <c r="V296" i="4" s="1"/>
  <c r="T295" i="4"/>
  <c r="U295" i="4" s="1"/>
  <c r="V295" i="4" s="1"/>
  <c r="T294" i="4"/>
  <c r="U294" i="4" s="1"/>
  <c r="V294" i="4" s="1"/>
  <c r="T293" i="4"/>
  <c r="U293" i="4" s="1"/>
  <c r="V293" i="4" s="1"/>
  <c r="T292" i="4"/>
  <c r="U292" i="4" s="1"/>
  <c r="V292" i="4" s="1"/>
  <c r="T277" i="4"/>
  <c r="U277" i="4" s="1"/>
  <c r="V277" i="4" s="1"/>
  <c r="T276" i="4"/>
  <c r="U276" i="4" s="1"/>
  <c r="V276" i="4" s="1"/>
  <c r="T275" i="4"/>
  <c r="U275" i="4" s="1"/>
  <c r="V275" i="4" s="1"/>
  <c r="T274" i="4"/>
  <c r="U274" i="4" s="1"/>
  <c r="V274" i="4" s="1"/>
  <c r="T273" i="4"/>
  <c r="U273" i="4" s="1"/>
  <c r="V273" i="4" s="1"/>
  <c r="T272" i="4"/>
  <c r="U272" i="4" s="1"/>
  <c r="V272" i="4" s="1"/>
  <c r="T271" i="4"/>
  <c r="U271" i="4" s="1"/>
  <c r="V271" i="4" s="1"/>
  <c r="T270" i="4"/>
  <c r="U270" i="4" s="1"/>
  <c r="V270" i="4" s="1"/>
  <c r="T269" i="4"/>
  <c r="U269" i="4" s="1"/>
  <c r="V269" i="4" s="1"/>
  <c r="T267" i="4"/>
  <c r="U267" i="4" s="1"/>
  <c r="V267" i="4" s="1"/>
  <c r="T266" i="4"/>
  <c r="U266" i="4" s="1"/>
  <c r="V266" i="4" s="1"/>
  <c r="T265" i="4"/>
  <c r="U265" i="4" s="1"/>
  <c r="V265" i="4" s="1"/>
  <c r="T264" i="4"/>
  <c r="U264" i="4" s="1"/>
  <c r="V264" i="4" s="1"/>
  <c r="T263" i="4"/>
  <c r="U263" i="4" s="1"/>
  <c r="V263" i="4" s="1"/>
  <c r="T262" i="4"/>
  <c r="U262" i="4" s="1"/>
  <c r="V262" i="4" s="1"/>
  <c r="T261" i="4"/>
  <c r="U261" i="4" s="1"/>
  <c r="V261" i="4" s="1"/>
  <c r="T260" i="4"/>
  <c r="U260" i="4" s="1"/>
  <c r="V260" i="4" s="1"/>
  <c r="T259" i="4"/>
  <c r="U259" i="4" s="1"/>
  <c r="V259" i="4" s="1"/>
  <c r="T258" i="4"/>
  <c r="U258" i="4" s="1"/>
  <c r="V258" i="4" s="1"/>
  <c r="T257" i="4"/>
  <c r="U257" i="4" s="1"/>
  <c r="V257" i="4" s="1"/>
  <c r="T256" i="4"/>
  <c r="U256" i="4" s="1"/>
  <c r="V256" i="4" s="1"/>
  <c r="T255" i="4"/>
  <c r="U255" i="4" s="1"/>
  <c r="V255" i="4" s="1"/>
  <c r="T253" i="4"/>
  <c r="U253" i="4" s="1"/>
  <c r="V253" i="4" s="1"/>
  <c r="T252" i="4"/>
  <c r="U252" i="4" s="1"/>
  <c r="V252" i="4" s="1"/>
  <c r="T250" i="4"/>
  <c r="U250" i="4" s="1"/>
  <c r="T249" i="4"/>
  <c r="U249" i="4" s="1"/>
  <c r="V249" i="4" s="1"/>
  <c r="T248" i="4"/>
  <c r="U248" i="4" s="1"/>
  <c r="V248" i="4" s="1"/>
  <c r="T246" i="4"/>
  <c r="U246" i="4" s="1"/>
  <c r="V246" i="4" s="1"/>
  <c r="T245" i="4"/>
  <c r="U245" i="4" s="1"/>
  <c r="V245" i="4" s="1"/>
  <c r="T244" i="4"/>
  <c r="U244" i="4" s="1"/>
  <c r="V244" i="4" s="1"/>
  <c r="T54" i="4"/>
  <c r="U54" i="4" s="1"/>
  <c r="V54" i="4" s="1"/>
  <c r="T226" i="4" l="1"/>
  <c r="T201" i="4"/>
  <c r="U148" i="4"/>
  <c r="U201" i="4" s="1"/>
  <c r="V250" i="4"/>
  <c r="X250" i="4" s="1"/>
  <c r="Y250" i="4" s="1"/>
  <c r="AD250" i="4" s="1"/>
  <c r="V157" i="4"/>
  <c r="X157" i="4" s="1"/>
  <c r="V170" i="4"/>
  <c r="X170" i="4" s="1"/>
  <c r="V183" i="4"/>
  <c r="X183" i="4" s="1"/>
  <c r="V101" i="4"/>
  <c r="X101" i="4" s="1"/>
  <c r="V113" i="4"/>
  <c r="X113" i="4" s="1"/>
  <c r="V49" i="4"/>
  <c r="X49" i="4" s="1"/>
  <c r="V81" i="4"/>
  <c r="X81" i="4" s="1"/>
  <c r="V158" i="4"/>
  <c r="X158" i="4" s="1"/>
  <c r="V169" i="4"/>
  <c r="X169" i="4" s="1"/>
  <c r="V182" i="4"/>
  <c r="X182" i="4" s="1"/>
  <c r="V185" i="4"/>
  <c r="X185" i="4" s="1"/>
  <c r="AC185" i="4" s="1"/>
  <c r="V151" i="4"/>
  <c r="X151" i="4" s="1"/>
  <c r="V166" i="4"/>
  <c r="X166" i="4" s="1"/>
  <c r="V179" i="4"/>
  <c r="X179" i="4" s="1"/>
  <c r="V67" i="4"/>
  <c r="X67" i="4" s="1"/>
  <c r="V162" i="4"/>
  <c r="X162" i="4" s="1"/>
  <c r="V171" i="4"/>
  <c r="X171" i="4" s="1"/>
  <c r="V184" i="4"/>
  <c r="X184" i="4" s="1"/>
  <c r="V155" i="4"/>
  <c r="X155" i="4" s="1"/>
  <c r="V168" i="4"/>
  <c r="X168" i="4" s="1"/>
  <c r="V181" i="4"/>
  <c r="X181" i="4" s="1"/>
  <c r="V109" i="4"/>
  <c r="X109" i="4" s="1"/>
  <c r="V117" i="4"/>
  <c r="X117" i="4" s="1"/>
  <c r="V134" i="4"/>
  <c r="X134" i="4" s="1"/>
  <c r="V153" i="4"/>
  <c r="X153" i="4" s="1"/>
  <c r="V165" i="4"/>
  <c r="X165" i="4" s="1"/>
  <c r="V178" i="4"/>
  <c r="X178" i="4" s="1"/>
  <c r="V136" i="4"/>
  <c r="X136" i="4" s="1"/>
  <c r="V156" i="4"/>
  <c r="X156" i="4" s="1"/>
  <c r="V167" i="4"/>
  <c r="X167" i="4" s="1"/>
  <c r="V180" i="4"/>
  <c r="X180" i="4" s="1"/>
  <c r="V130" i="4"/>
  <c r="X130" i="4" s="1"/>
  <c r="V164" i="4"/>
  <c r="X164" i="4" s="1"/>
  <c r="V173" i="4"/>
  <c r="X173" i="4" s="1"/>
  <c r="AE119" i="4"/>
  <c r="H15" i="8" s="1"/>
  <c r="U214" i="4"/>
  <c r="U226" i="4" s="1"/>
  <c r="X263" i="4"/>
  <c r="X293" i="4"/>
  <c r="X300" i="4"/>
  <c r="X314" i="4"/>
  <c r="X222" i="4"/>
  <c r="X244" i="4"/>
  <c r="X266" i="4"/>
  <c r="X275" i="4"/>
  <c r="X245" i="4"/>
  <c r="X252" i="4"/>
  <c r="X260" i="4"/>
  <c r="X267" i="4"/>
  <c r="X276" i="4"/>
  <c r="X294" i="4"/>
  <c r="X249" i="4"/>
  <c r="X253" i="4"/>
  <c r="D89" i="8"/>
  <c r="X269" i="4"/>
  <c r="X295" i="4"/>
  <c r="X302" i="4"/>
  <c r="X322" i="4"/>
  <c r="AC322" i="4" s="1"/>
  <c r="X326" i="4"/>
  <c r="X301" i="4"/>
  <c r="X248" i="4"/>
  <c r="X297" i="4"/>
  <c r="X304" i="4"/>
  <c r="D57" i="8"/>
  <c r="X255" i="4"/>
  <c r="X258" i="4"/>
  <c r="D87" i="8"/>
  <c r="X265" i="4"/>
  <c r="X274" i="4"/>
  <c r="X296" i="4"/>
  <c r="X221" i="4"/>
  <c r="X327" i="4"/>
  <c r="X305" i="4"/>
  <c r="X324" i="4"/>
  <c r="D58" i="8"/>
  <c r="X114" i="4"/>
  <c r="X57" i="4"/>
  <c r="X120" i="4"/>
  <c r="X133" i="4"/>
  <c r="X85" i="4"/>
  <c r="X118" i="4"/>
  <c r="X54" i="4"/>
  <c r="X86" i="4"/>
  <c r="X137" i="4"/>
  <c r="X92" i="4"/>
  <c r="X79" i="4"/>
  <c r="X82" i="4"/>
  <c r="X56" i="4"/>
  <c r="X102" i="4"/>
  <c r="X124" i="4"/>
  <c r="X75" i="4"/>
  <c r="X80" i="4"/>
  <c r="X115" i="4"/>
  <c r="X131" i="4"/>
  <c r="X95" i="4"/>
  <c r="X116" i="4"/>
  <c r="X83" i="4"/>
  <c r="D14" i="8"/>
  <c r="D19" i="8"/>
  <c r="D88" i="8"/>
  <c r="T342" i="4"/>
  <c r="T347" i="4"/>
  <c r="T147" i="4"/>
  <c r="T349" i="4"/>
  <c r="T346" i="4"/>
  <c r="T348" i="4"/>
  <c r="Z50" i="4"/>
  <c r="AC50" i="4"/>
  <c r="AE50" i="4" s="1"/>
  <c r="V148" i="4" l="1"/>
  <c r="X148" i="4" s="1"/>
  <c r="Z185" i="4"/>
  <c r="V214" i="4"/>
  <c r="V226" i="4" s="1"/>
  <c r="F50" i="8"/>
  <c r="AD182" i="4"/>
  <c r="X262" i="4"/>
  <c r="X55" i="4"/>
  <c r="E87" i="8"/>
  <c r="G87" i="8" s="1"/>
  <c r="E14" i="8"/>
  <c r="G14" i="8" s="1"/>
  <c r="X270" i="4"/>
  <c r="X246" i="4"/>
  <c r="X271" i="4"/>
  <c r="X264" i="4"/>
  <c r="X242" i="4"/>
  <c r="X103" i="4"/>
  <c r="X223" i="4"/>
  <c r="E89" i="8"/>
  <c r="G89" i="8" s="1"/>
  <c r="X257" i="4"/>
  <c r="Y257" i="4" s="1"/>
  <c r="AD257" i="4" s="1"/>
  <c r="E88" i="8"/>
  <c r="G88" i="8" s="1"/>
  <c r="X241" i="4"/>
  <c r="E58" i="8"/>
  <c r="G58" i="8" s="1"/>
  <c r="E57" i="8"/>
  <c r="G57" i="8" s="1"/>
  <c r="X256" i="4"/>
  <c r="Y256" i="4" s="1"/>
  <c r="E19" i="8"/>
  <c r="G19" i="8" s="1"/>
  <c r="X88" i="4"/>
  <c r="X91" i="4"/>
  <c r="X74" i="4"/>
  <c r="X94" i="4"/>
  <c r="X51" i="4"/>
  <c r="Y51" i="4" s="1"/>
  <c r="T227" i="4"/>
  <c r="T343" i="4" s="1"/>
  <c r="T350" i="4"/>
  <c r="Z54" i="4"/>
  <c r="AC54" i="4"/>
  <c r="AE54" i="4" s="1"/>
  <c r="V201" i="4" l="1"/>
  <c r="AD51" i="4"/>
  <c r="Y147" i="4"/>
  <c r="V347" i="4"/>
  <c r="W348" i="4"/>
  <c r="F82" i="8"/>
  <c r="AD256" i="4"/>
  <c r="F98" i="8"/>
  <c r="V342" i="4"/>
  <c r="X216" i="4"/>
  <c r="X226" i="4" s="1"/>
  <c r="V348" i="4"/>
  <c r="V349" i="4"/>
  <c r="V346" i="4"/>
  <c r="V147" i="4"/>
  <c r="AC182" i="4"/>
  <c r="AE182" i="4" s="1"/>
  <c r="V227" i="4" l="1"/>
  <c r="V343" i="4" s="1"/>
  <c r="V350" i="4"/>
  <c r="Z182" i="4"/>
  <c r="T360" i="4"/>
  <c r="U360" i="4" s="1"/>
  <c r="V360" i="4" s="1"/>
  <c r="T353" i="4"/>
  <c r="U353" i="4" s="1"/>
  <c r="T354" i="4"/>
  <c r="U354" i="4" s="1"/>
  <c r="V354" i="4" s="1"/>
  <c r="N361" i="4"/>
  <c r="O361" i="4"/>
  <c r="P361" i="4"/>
  <c r="Q361" i="4"/>
  <c r="R361" i="4"/>
  <c r="S361" i="4"/>
  <c r="AC327" i="4"/>
  <c r="AC326" i="4"/>
  <c r="AE322" i="4"/>
  <c r="AC314" i="4"/>
  <c r="AC305" i="4"/>
  <c r="AC304" i="4"/>
  <c r="AC302" i="4"/>
  <c r="AC301" i="4"/>
  <c r="AC300" i="4"/>
  <c r="AC297" i="4"/>
  <c r="AC296" i="4"/>
  <c r="AC295" i="4"/>
  <c r="AC294" i="4"/>
  <c r="AC293" i="4"/>
  <c r="AC277" i="4"/>
  <c r="AC276" i="4"/>
  <c r="AC275" i="4"/>
  <c r="AC274" i="4"/>
  <c r="AC273" i="4"/>
  <c r="AC272" i="4"/>
  <c r="D90" i="8"/>
  <c r="D96" i="8"/>
  <c r="AC269" i="4"/>
  <c r="AC267" i="4"/>
  <c r="AC266" i="4"/>
  <c r="AC265" i="4"/>
  <c r="AC264" i="4"/>
  <c r="AC262" i="4"/>
  <c r="AC258" i="4"/>
  <c r="AC257" i="4"/>
  <c r="AC253" i="4"/>
  <c r="AC252" i="4"/>
  <c r="AC250" i="4"/>
  <c r="D84" i="8"/>
  <c r="E84" i="8" s="1"/>
  <c r="D49" i="8"/>
  <c r="D48" i="8"/>
  <c r="D46" i="8"/>
  <c r="AE252" i="4" l="1"/>
  <c r="AE262" i="4"/>
  <c r="H87" i="8" s="1"/>
  <c r="AE267" i="4"/>
  <c r="AE272" i="4"/>
  <c r="AE276" i="4"/>
  <c r="AE295" i="4"/>
  <c r="AE301" i="4"/>
  <c r="AE314" i="4"/>
  <c r="AE250" i="4"/>
  <c r="AE258" i="4"/>
  <c r="AE266" i="4"/>
  <c r="AE253" i="4"/>
  <c r="AE264" i="4"/>
  <c r="H89" i="8" s="1"/>
  <c r="AE269" i="4"/>
  <c r="AE273" i="4"/>
  <c r="AE277" i="4"/>
  <c r="AE296" i="4"/>
  <c r="AE302" i="4"/>
  <c r="AE275" i="4"/>
  <c r="AE294" i="4"/>
  <c r="AE300" i="4"/>
  <c r="AE305" i="4"/>
  <c r="AE327" i="4"/>
  <c r="AE257" i="4"/>
  <c r="AE265" i="4"/>
  <c r="AE274" i="4"/>
  <c r="AE293" i="4"/>
  <c r="AE297" i="4"/>
  <c r="AE304" i="4"/>
  <c r="AE326" i="4"/>
  <c r="V353" i="4"/>
  <c r="V361" i="4" s="1"/>
  <c r="AC248" i="4"/>
  <c r="AD248" i="4"/>
  <c r="AC249" i="4"/>
  <c r="AD249" i="4"/>
  <c r="F26" i="8"/>
  <c r="Y346" i="4"/>
  <c r="D66" i="8"/>
  <c r="E66" i="8" s="1"/>
  <c r="D111" i="8"/>
  <c r="AC324" i="4"/>
  <c r="D78" i="8"/>
  <c r="D82" i="8"/>
  <c r="D92" i="8"/>
  <c r="D79" i="8"/>
  <c r="D94" i="8"/>
  <c r="E94" i="8" s="1"/>
  <c r="D76" i="8"/>
  <c r="AC256" i="4"/>
  <c r="D98" i="8"/>
  <c r="D95" i="8"/>
  <c r="E95" i="8" s="1"/>
  <c r="AC241" i="4"/>
  <c r="D62" i="8"/>
  <c r="D68" i="8"/>
  <c r="E68" i="8" s="1"/>
  <c r="D104" i="8"/>
  <c r="E104" i="8" s="1"/>
  <c r="D105" i="8"/>
  <c r="E105" i="8" s="1"/>
  <c r="D107" i="8"/>
  <c r="E107" i="8" s="1"/>
  <c r="D103" i="8"/>
  <c r="D106" i="8"/>
  <c r="E106" i="8" s="1"/>
  <c r="X353" i="4"/>
  <c r="D108" i="8"/>
  <c r="D3" i="8"/>
  <c r="E3" i="8" s="1"/>
  <c r="D25" i="8"/>
  <c r="E25" i="8" s="1"/>
  <c r="D13" i="8"/>
  <c r="E13" i="8" s="1"/>
  <c r="D6" i="8"/>
  <c r="AC74" i="4"/>
  <c r="AE74" i="4" s="1"/>
  <c r="D22" i="8"/>
  <c r="E22" i="8" s="1"/>
  <c r="D10" i="8"/>
  <c r="E10" i="8" s="1"/>
  <c r="D5" i="8"/>
  <c r="E5" i="8" s="1"/>
  <c r="D7" i="8"/>
  <c r="AC242" i="4"/>
  <c r="AC255" i="4"/>
  <c r="AC263" i="4"/>
  <c r="D28" i="8"/>
  <c r="E28" i="8" s="1"/>
  <c r="D9" i="8"/>
  <c r="E9" i="8" s="1"/>
  <c r="D23" i="8"/>
  <c r="D8" i="8"/>
  <c r="AC51" i="4"/>
  <c r="AE51" i="4" s="1"/>
  <c r="D26" i="8"/>
  <c r="D20" i="8"/>
  <c r="D43" i="8"/>
  <c r="E43" i="8" s="1"/>
  <c r="E46" i="8"/>
  <c r="E49" i="8"/>
  <c r="AC244" i="4"/>
  <c r="AC260" i="4"/>
  <c r="AC270" i="4"/>
  <c r="E96" i="8"/>
  <c r="AC271" i="4"/>
  <c r="E90" i="8"/>
  <c r="D52" i="8"/>
  <c r="D51" i="8"/>
  <c r="D53" i="8"/>
  <c r="U347" i="4"/>
  <c r="P227" i="4"/>
  <c r="P343" i="4" s="1"/>
  <c r="R227" i="4"/>
  <c r="R343" i="4" s="1"/>
  <c r="N227" i="4"/>
  <c r="N343" i="4" s="1"/>
  <c r="Q227" i="4"/>
  <c r="Q343" i="4" s="1"/>
  <c r="O227" i="4"/>
  <c r="O343" i="4" s="1"/>
  <c r="E48" i="8"/>
  <c r="Z59" i="4"/>
  <c r="AC59" i="4"/>
  <c r="AE59" i="4" s="1"/>
  <c r="T361" i="4"/>
  <c r="AE242" i="4" l="1"/>
  <c r="H84" i="8" s="1"/>
  <c r="AE324" i="4"/>
  <c r="AE260" i="4"/>
  <c r="AE263" i="4"/>
  <c r="H88" i="8" s="1"/>
  <c r="AE256" i="4"/>
  <c r="AE270" i="4"/>
  <c r="AE271" i="4"/>
  <c r="AE244" i="4"/>
  <c r="AE255" i="4"/>
  <c r="AE241" i="4"/>
  <c r="AE249" i="4"/>
  <c r="AC245" i="4"/>
  <c r="AC246" i="4"/>
  <c r="AE248" i="4"/>
  <c r="D83" i="8"/>
  <c r="E83" i="8" s="1"/>
  <c r="D81" i="8"/>
  <c r="E81" i="8" s="1"/>
  <c r="F62" i="8"/>
  <c r="F43" i="8"/>
  <c r="U342" i="4"/>
  <c r="D80" i="8"/>
  <c r="X342" i="4"/>
  <c r="D50" i="8"/>
  <c r="D69" i="8"/>
  <c r="D72" i="8"/>
  <c r="E108" i="8"/>
  <c r="E103" i="8"/>
  <c r="E8" i="8"/>
  <c r="E78" i="8"/>
  <c r="E62" i="8"/>
  <c r="E20" i="8"/>
  <c r="E23" i="8"/>
  <c r="G23" i="8" s="1"/>
  <c r="E7" i="8"/>
  <c r="E111" i="8"/>
  <c r="G111" i="8" s="1"/>
  <c r="E26" i="8"/>
  <c r="E6" i="8"/>
  <c r="E76" i="8"/>
  <c r="E98" i="8"/>
  <c r="E82" i="8"/>
  <c r="E92" i="8"/>
  <c r="E79" i="8"/>
  <c r="Z51" i="4"/>
  <c r="Z74" i="4"/>
  <c r="Z92" i="4"/>
  <c r="AC49" i="4"/>
  <c r="AE49" i="4" s="1"/>
  <c r="U348" i="4"/>
  <c r="U346" i="4"/>
  <c r="U147" i="4"/>
  <c r="U349" i="4"/>
  <c r="D115" i="8"/>
  <c r="Z327" i="4"/>
  <c r="Z325" i="4"/>
  <c r="Z303" i="4"/>
  <c r="Z326" i="4"/>
  <c r="AC52" i="4"/>
  <c r="AE52" i="4" s="1"/>
  <c r="Z52" i="4"/>
  <c r="Z65" i="4"/>
  <c r="AC65" i="4"/>
  <c r="AE65" i="4" s="1"/>
  <c r="D112" i="8"/>
  <c r="A223" i="3"/>
  <c r="B223" i="3"/>
  <c r="C223" i="3"/>
  <c r="D223" i="3"/>
  <c r="E223" i="3"/>
  <c r="G223" i="3" s="1"/>
  <c r="A221" i="3"/>
  <c r="B221" i="3"/>
  <c r="C221" i="3"/>
  <c r="D221" i="3"/>
  <c r="E221" i="3"/>
  <c r="G221" i="3" s="1"/>
  <c r="A213" i="3"/>
  <c r="B213" i="3"/>
  <c r="C213" i="3"/>
  <c r="E213" i="3"/>
  <c r="G213" i="3" s="1"/>
  <c r="A207" i="3"/>
  <c r="B207" i="3"/>
  <c r="C207" i="3"/>
  <c r="D207" i="3"/>
  <c r="E207" i="3"/>
  <c r="G207" i="3" s="1"/>
  <c r="A202" i="3"/>
  <c r="B202" i="3"/>
  <c r="C202" i="3"/>
  <c r="D202" i="3"/>
  <c r="E202" i="3"/>
  <c r="G202" i="3" s="1"/>
  <c r="A187" i="3"/>
  <c r="B187" i="3"/>
  <c r="C187" i="3"/>
  <c r="D187" i="3"/>
  <c r="E187" i="3"/>
  <c r="G187" i="3" s="1"/>
  <c r="A188" i="3"/>
  <c r="B188" i="3"/>
  <c r="C188" i="3"/>
  <c r="D188" i="3"/>
  <c r="E188" i="3"/>
  <c r="G188" i="3" s="1"/>
  <c r="A189" i="3"/>
  <c r="B189" i="3"/>
  <c r="C189" i="3"/>
  <c r="D189" i="3"/>
  <c r="E189" i="3"/>
  <c r="G189" i="3" s="1"/>
  <c r="A177" i="3"/>
  <c r="B177" i="3"/>
  <c r="C177" i="3"/>
  <c r="D177" i="3"/>
  <c r="E177" i="3"/>
  <c r="G177" i="3" s="1"/>
  <c r="A178" i="3"/>
  <c r="B178" i="3"/>
  <c r="C178" i="3"/>
  <c r="D178" i="3"/>
  <c r="E178" i="3"/>
  <c r="G178" i="3" s="1"/>
  <c r="A149" i="3"/>
  <c r="B149" i="3"/>
  <c r="C149" i="3"/>
  <c r="D149" i="3"/>
  <c r="E149" i="3"/>
  <c r="G149" i="3" s="1"/>
  <c r="A150" i="3"/>
  <c r="B150" i="3"/>
  <c r="C150" i="3"/>
  <c r="D150" i="3"/>
  <c r="E150" i="3"/>
  <c r="G150" i="3" s="1"/>
  <c r="A138" i="3"/>
  <c r="B138" i="3"/>
  <c r="C138" i="3"/>
  <c r="D138" i="3"/>
  <c r="E138" i="3"/>
  <c r="K138" i="3"/>
  <c r="L138" i="3" s="1"/>
  <c r="A137" i="3"/>
  <c r="B137" i="3"/>
  <c r="C137" i="3"/>
  <c r="D137" i="3"/>
  <c r="E137" i="3"/>
  <c r="K137" i="3"/>
  <c r="L137" i="3" s="1"/>
  <c r="A135" i="3"/>
  <c r="B135" i="3"/>
  <c r="C135" i="3"/>
  <c r="D135" i="3"/>
  <c r="E135" i="3"/>
  <c r="K135" i="3"/>
  <c r="L135" i="3" s="1"/>
  <c r="A131" i="3"/>
  <c r="B131" i="3"/>
  <c r="C131" i="3"/>
  <c r="D131" i="3"/>
  <c r="E131" i="3"/>
  <c r="K131" i="3"/>
  <c r="L131" i="3" s="1"/>
  <c r="N170" i="2"/>
  <c r="N171" i="2"/>
  <c r="N172" i="2"/>
  <c r="N173" i="2"/>
  <c r="N174" i="2"/>
  <c r="N176" i="2"/>
  <c r="N177" i="2"/>
  <c r="N178" i="2"/>
  <c r="N179" i="2"/>
  <c r="N180" i="2"/>
  <c r="N184" i="2"/>
  <c r="N185" i="2"/>
  <c r="N187" i="2"/>
  <c r="N204" i="2"/>
  <c r="N206" i="2"/>
  <c r="N209" i="2"/>
  <c r="N210" i="2"/>
  <c r="N212" i="2"/>
  <c r="N213" i="2"/>
  <c r="N216" i="2"/>
  <c r="N217" i="2"/>
  <c r="N219" i="2"/>
  <c r="N222" i="2"/>
  <c r="N223" i="2"/>
  <c r="N224" i="2"/>
  <c r="N225" i="2"/>
  <c r="N237" i="2"/>
  <c r="N239" i="2"/>
  <c r="N240" i="2"/>
  <c r="N242" i="2"/>
  <c r="N243" i="2"/>
  <c r="N245" i="2"/>
  <c r="N247" i="2"/>
  <c r="N248" i="2"/>
  <c r="N249" i="2"/>
  <c r="N250" i="2"/>
  <c r="N251" i="2"/>
  <c r="N252" i="2"/>
  <c r="N253" i="2"/>
  <c r="N255" i="2"/>
  <c r="N256" i="2"/>
  <c r="N258" i="2"/>
  <c r="N259" i="2"/>
  <c r="N260" i="2"/>
  <c r="N261" i="2"/>
  <c r="N263" i="2"/>
  <c r="N264" i="2"/>
  <c r="N266" i="2"/>
  <c r="N268" i="2"/>
  <c r="E97" i="6"/>
  <c r="G97" i="6" s="1"/>
  <c r="A98" i="3"/>
  <c r="B98" i="3"/>
  <c r="D98" i="3"/>
  <c r="E98" i="3"/>
  <c r="K98" i="3"/>
  <c r="L98" i="3" s="1"/>
  <c r="A77" i="3"/>
  <c r="B77" i="3"/>
  <c r="C77" i="3"/>
  <c r="D77" i="3"/>
  <c r="E77" i="3"/>
  <c r="K77" i="3"/>
  <c r="L77" i="3" s="1"/>
  <c r="A84" i="3"/>
  <c r="B84" i="3"/>
  <c r="C84" i="3"/>
  <c r="D84" i="3"/>
  <c r="E84" i="3"/>
  <c r="K84" i="3"/>
  <c r="L84" i="3" s="1"/>
  <c r="A85" i="3"/>
  <c r="B85" i="3"/>
  <c r="C85" i="3"/>
  <c r="D85" i="3"/>
  <c r="E85" i="3"/>
  <c r="K85" i="3"/>
  <c r="L85" i="3" s="1"/>
  <c r="A86" i="3"/>
  <c r="B86" i="3"/>
  <c r="C86" i="3"/>
  <c r="D86" i="3"/>
  <c r="E86" i="3"/>
  <c r="K86" i="3"/>
  <c r="L86" i="3" s="1"/>
  <c r="A87" i="3"/>
  <c r="B87" i="3"/>
  <c r="C87" i="3"/>
  <c r="D87" i="3"/>
  <c r="E87" i="3"/>
  <c r="K87" i="3"/>
  <c r="L87" i="3" s="1"/>
  <c r="A88" i="3"/>
  <c r="B88" i="3"/>
  <c r="C88" i="3"/>
  <c r="D88" i="3"/>
  <c r="E88" i="3"/>
  <c r="K88" i="3"/>
  <c r="L88" i="3" s="1"/>
  <c r="A75" i="3"/>
  <c r="B75" i="3"/>
  <c r="C75" i="3"/>
  <c r="D75" i="3"/>
  <c r="E75" i="3"/>
  <c r="K75" i="3"/>
  <c r="L75" i="3" s="1"/>
  <c r="N75" i="3" s="1"/>
  <c r="A76" i="3"/>
  <c r="B76" i="3"/>
  <c r="C76" i="3"/>
  <c r="D76" i="3"/>
  <c r="E76" i="3"/>
  <c r="K76" i="3"/>
  <c r="L76" i="3" s="1"/>
  <c r="N76" i="3" s="1"/>
  <c r="A73" i="3"/>
  <c r="B73" i="3"/>
  <c r="C73" i="3"/>
  <c r="D73" i="3"/>
  <c r="E73" i="3"/>
  <c r="K73" i="3"/>
  <c r="L73" i="3" s="1"/>
  <c r="N73" i="3" s="1"/>
  <c r="A59" i="3"/>
  <c r="B59" i="3"/>
  <c r="C59" i="3"/>
  <c r="E59" i="3"/>
  <c r="K59" i="3"/>
  <c r="L59" i="3" s="1"/>
  <c r="A60" i="3"/>
  <c r="B60" i="3"/>
  <c r="C60" i="3"/>
  <c r="D60" i="3"/>
  <c r="E60" i="3"/>
  <c r="K60" i="3"/>
  <c r="L60" i="3" s="1"/>
  <c r="N60" i="3" s="1"/>
  <c r="A33" i="3"/>
  <c r="B33" i="3"/>
  <c r="C33" i="3"/>
  <c r="D33" i="3"/>
  <c r="E33" i="3"/>
  <c r="K33" i="3"/>
  <c r="L33" i="3" s="1"/>
  <c r="A34" i="3"/>
  <c r="B34" i="3"/>
  <c r="C34" i="3"/>
  <c r="D34" i="3"/>
  <c r="E34" i="3"/>
  <c r="K34" i="3"/>
  <c r="L34" i="3" s="1"/>
  <c r="A35" i="3"/>
  <c r="B35" i="3"/>
  <c r="C35" i="3"/>
  <c r="D35" i="3"/>
  <c r="E35" i="3"/>
  <c r="K35" i="3"/>
  <c r="L35" i="3" s="1"/>
  <c r="A31" i="3"/>
  <c r="B31" i="3"/>
  <c r="C31" i="3"/>
  <c r="D31" i="3"/>
  <c r="E31" i="3"/>
  <c r="K31" i="3"/>
  <c r="L31" i="3" s="1"/>
  <c r="N31" i="3" s="1"/>
  <c r="A105" i="3"/>
  <c r="B105" i="3"/>
  <c r="C105" i="3"/>
  <c r="E105" i="3"/>
  <c r="K105" i="3"/>
  <c r="L105" i="3" s="1"/>
  <c r="N105" i="3" s="1"/>
  <c r="N99" i="2"/>
  <c r="N120" i="2"/>
  <c r="N80" i="2"/>
  <c r="N84" i="2"/>
  <c r="N88" i="2"/>
  <c r="N89" i="2"/>
  <c r="N90" i="2"/>
  <c r="G35" i="3" l="1"/>
  <c r="H35" i="3" s="1"/>
  <c r="M35" i="3" s="1"/>
  <c r="G87" i="3"/>
  <c r="H87" i="3" s="1"/>
  <c r="M87" i="3" s="1"/>
  <c r="G85" i="3"/>
  <c r="H85" i="3" s="1"/>
  <c r="M85" i="3" s="1"/>
  <c r="G135" i="3"/>
  <c r="H135" i="3" s="1"/>
  <c r="M135" i="3" s="1"/>
  <c r="G138" i="3"/>
  <c r="H138" i="3" s="1"/>
  <c r="M138" i="3" s="1"/>
  <c r="G34" i="3"/>
  <c r="H34" i="3" s="1"/>
  <c r="M34" i="3" s="1"/>
  <c r="H60" i="3"/>
  <c r="J60" i="3" s="1"/>
  <c r="G60" i="3"/>
  <c r="G33" i="3"/>
  <c r="H33" i="3" s="1"/>
  <c r="M33" i="3" s="1"/>
  <c r="G59" i="3"/>
  <c r="H59" i="3" s="1"/>
  <c r="M59" i="3" s="1"/>
  <c r="H105" i="3"/>
  <c r="J105" i="3" s="1"/>
  <c r="G105" i="3"/>
  <c r="H73" i="3"/>
  <c r="J73" i="3" s="1"/>
  <c r="G73" i="3"/>
  <c r="H75" i="3"/>
  <c r="M75" i="3" s="1"/>
  <c r="G75" i="3"/>
  <c r="G77" i="3"/>
  <c r="H77" i="3" s="1"/>
  <c r="M77" i="3" s="1"/>
  <c r="H31" i="3"/>
  <c r="J31" i="3" s="1"/>
  <c r="G31" i="3"/>
  <c r="H76" i="3"/>
  <c r="M76" i="3" s="1"/>
  <c r="G76" i="3"/>
  <c r="G88" i="3"/>
  <c r="H88" i="3" s="1"/>
  <c r="M88" i="3" s="1"/>
  <c r="G86" i="3"/>
  <c r="H86" i="3" s="1"/>
  <c r="M86" i="3" s="1"/>
  <c r="G84" i="3"/>
  <c r="H84" i="3" s="1"/>
  <c r="M84" i="3" s="1"/>
  <c r="G98" i="3"/>
  <c r="H98" i="3" s="1"/>
  <c r="M98" i="3" s="1"/>
  <c r="H131" i="3"/>
  <c r="M131" i="3" s="1"/>
  <c r="G131" i="3"/>
  <c r="H137" i="3"/>
  <c r="J137" i="3" s="1"/>
  <c r="G137" i="3"/>
  <c r="H202" i="3"/>
  <c r="M202" i="3" s="1"/>
  <c r="O202" i="3" s="1"/>
  <c r="H150" i="3"/>
  <c r="M150" i="3" s="1"/>
  <c r="O150" i="3" s="1"/>
  <c r="H189" i="3"/>
  <c r="M189" i="3" s="1"/>
  <c r="O189" i="3" s="1"/>
  <c r="H207" i="3"/>
  <c r="M207" i="3" s="1"/>
  <c r="O207" i="3" s="1"/>
  <c r="H149" i="3"/>
  <c r="M149" i="3" s="1"/>
  <c r="O149" i="3" s="1"/>
  <c r="H188" i="3"/>
  <c r="M188" i="3" s="1"/>
  <c r="O188" i="3" s="1"/>
  <c r="H213" i="3"/>
  <c r="M213" i="3" s="1"/>
  <c r="O213" i="3" s="1"/>
  <c r="H221" i="3"/>
  <c r="M221" i="3" s="1"/>
  <c r="O221" i="3" s="1"/>
  <c r="H177" i="3"/>
  <c r="M177" i="3" s="1"/>
  <c r="O177" i="3" s="1"/>
  <c r="H178" i="3"/>
  <c r="J178" i="3" s="1"/>
  <c r="H187" i="3"/>
  <c r="M187" i="3" s="1"/>
  <c r="O187" i="3" s="1"/>
  <c r="H223" i="3"/>
  <c r="M223" i="3" s="1"/>
  <c r="O223" i="3" s="1"/>
  <c r="M31" i="3"/>
  <c r="AD246" i="4"/>
  <c r="AE246" i="4" s="1"/>
  <c r="F76" i="8"/>
  <c r="AD245" i="4"/>
  <c r="AE245" i="4" s="1"/>
  <c r="F79" i="8"/>
  <c r="Y342" i="4"/>
  <c r="Y349" i="4"/>
  <c r="N88" i="3"/>
  <c r="N84" i="3"/>
  <c r="N131" i="3"/>
  <c r="N35" i="3"/>
  <c r="N59" i="3"/>
  <c r="N34" i="3"/>
  <c r="N86" i="3"/>
  <c r="N98" i="3"/>
  <c r="N137" i="3"/>
  <c r="N33" i="3"/>
  <c r="N87" i="3"/>
  <c r="N85" i="3"/>
  <c r="N77" i="3"/>
  <c r="N135" i="3"/>
  <c r="N138" i="3"/>
  <c r="E69" i="8"/>
  <c r="E50" i="8"/>
  <c r="E72" i="8"/>
  <c r="E52" i="8"/>
  <c r="E53" i="8"/>
  <c r="E51" i="8"/>
  <c r="AC167" i="4"/>
  <c r="E80" i="8"/>
  <c r="AC92" i="4"/>
  <c r="AE92" i="4" s="1"/>
  <c r="N241" i="2"/>
  <c r="Z305" i="4"/>
  <c r="Z151" i="4"/>
  <c r="Z167" i="4"/>
  <c r="Z324" i="4"/>
  <c r="Z49" i="4"/>
  <c r="AC151" i="4"/>
  <c r="Z314" i="4"/>
  <c r="Z304" i="4"/>
  <c r="O268" i="2"/>
  <c r="P268" i="2" s="1"/>
  <c r="O260" i="2"/>
  <c r="P260" i="2" s="1"/>
  <c r="O253" i="2"/>
  <c r="P253" i="2" s="1"/>
  <c r="O247" i="2"/>
  <c r="P247" i="2" s="1"/>
  <c r="O179" i="2"/>
  <c r="O170" i="2"/>
  <c r="O212" i="2"/>
  <c r="P212" i="2" s="1"/>
  <c r="O261" i="2"/>
  <c r="P261" i="2" s="1"/>
  <c r="O225" i="2"/>
  <c r="P225" i="2" s="1"/>
  <c r="O219" i="2"/>
  <c r="P219" i="2" s="1"/>
  <c r="O184" i="2"/>
  <c r="P184" i="2" s="1"/>
  <c r="O180" i="2"/>
  <c r="P180" i="2" s="1"/>
  <c r="O171" i="2"/>
  <c r="P171" i="2" s="1"/>
  <c r="O266" i="2"/>
  <c r="P266" i="2" s="1"/>
  <c r="O255" i="2"/>
  <c r="P255" i="2" s="1"/>
  <c r="O252" i="2"/>
  <c r="P252" i="2" s="1"/>
  <c r="O251" i="2"/>
  <c r="P251" i="2" s="1"/>
  <c r="O250" i="2"/>
  <c r="P250" i="2" s="1"/>
  <c r="O248" i="2"/>
  <c r="P248" i="2" s="1"/>
  <c r="O264" i="2"/>
  <c r="P264" i="2" s="1"/>
  <c r="O223" i="2"/>
  <c r="P223" i="2" s="1"/>
  <c r="O209" i="2"/>
  <c r="P209" i="2" s="1"/>
  <c r="O176" i="2"/>
  <c r="P176" i="2" s="1"/>
  <c r="O173" i="2"/>
  <c r="P173" i="2" s="1"/>
  <c r="O216" i="2"/>
  <c r="P216" i="2" s="1"/>
  <c r="O187" i="2"/>
  <c r="P187" i="2" s="1"/>
  <c r="O185" i="2"/>
  <c r="P185" i="2" s="1"/>
  <c r="H92" i="6"/>
  <c r="O259" i="2"/>
  <c r="P259" i="2" s="1"/>
  <c r="O256" i="2"/>
  <c r="P256" i="2" s="1"/>
  <c r="O243" i="2"/>
  <c r="P243" i="2" s="1"/>
  <c r="O239" i="2"/>
  <c r="O237" i="2"/>
  <c r="O217" i="2"/>
  <c r="P217" i="2" s="1"/>
  <c r="O206" i="2"/>
  <c r="O178" i="2"/>
  <c r="O174" i="2"/>
  <c r="P174" i="2" s="1"/>
  <c r="O263" i="2"/>
  <c r="P263" i="2" s="1"/>
  <c r="O258" i="2"/>
  <c r="P258" i="2" s="1"/>
  <c r="O249" i="2"/>
  <c r="P249" i="2" s="1"/>
  <c r="O245" i="2"/>
  <c r="P245" i="2" s="1"/>
  <c r="O242" i="2"/>
  <c r="P242" i="2" s="1"/>
  <c r="O240" i="2"/>
  <c r="P240" i="2" s="1"/>
  <c r="O224" i="2"/>
  <c r="P224" i="2" s="1"/>
  <c r="O222" i="2"/>
  <c r="P222" i="2" s="1"/>
  <c r="O213" i="2"/>
  <c r="P213" i="2" s="1"/>
  <c r="O210" i="2"/>
  <c r="P210" i="2" s="1"/>
  <c r="O204" i="2"/>
  <c r="P204" i="2" s="1"/>
  <c r="O177" i="2"/>
  <c r="O172" i="2"/>
  <c r="P172" i="2" s="1"/>
  <c r="N265" i="2"/>
  <c r="N166" i="2"/>
  <c r="O99" i="2"/>
  <c r="P99" i="2" s="1"/>
  <c r="N130" i="2"/>
  <c r="O130" i="2" s="1"/>
  <c r="P130" i="2" s="1"/>
  <c r="N123" i="2"/>
  <c r="N113" i="2"/>
  <c r="N112" i="2"/>
  <c r="N111" i="2"/>
  <c r="N110" i="2"/>
  <c r="N109" i="2"/>
  <c r="N102" i="2"/>
  <c r="N101" i="2"/>
  <c r="N100" i="2"/>
  <c r="N98" i="2"/>
  <c r="O84" i="2"/>
  <c r="P84" i="2" s="1"/>
  <c r="N85" i="2"/>
  <c r="N83" i="2"/>
  <c r="N91" i="2"/>
  <c r="AE342" i="4" l="1"/>
  <c r="M73" i="3"/>
  <c r="O73" i="3" s="1"/>
  <c r="J75" i="3"/>
  <c r="M137" i="3"/>
  <c r="O137" i="3" s="1"/>
  <c r="J76" i="3"/>
  <c r="M105" i="3"/>
  <c r="O105" i="3" s="1"/>
  <c r="M60" i="3"/>
  <c r="O60" i="3" s="1"/>
  <c r="J131" i="3"/>
  <c r="J187" i="3"/>
  <c r="J213" i="3"/>
  <c r="J189" i="3"/>
  <c r="J188" i="3"/>
  <c r="J202" i="3"/>
  <c r="J149" i="3"/>
  <c r="J177" i="3"/>
  <c r="J150" i="3"/>
  <c r="J221" i="3"/>
  <c r="J207" i="3"/>
  <c r="J223" i="3"/>
  <c r="M178" i="3"/>
  <c r="O178" i="3" s="1"/>
  <c r="P170" i="2"/>
  <c r="H97" i="6"/>
  <c r="O77" i="3"/>
  <c r="O84" i="3"/>
  <c r="O85" i="3"/>
  <c r="O98" i="3"/>
  <c r="O88" i="3"/>
  <c r="O138" i="3"/>
  <c r="O135" i="3"/>
  <c r="O86" i="3"/>
  <c r="J84" i="3"/>
  <c r="J88" i="3"/>
  <c r="J138" i="3"/>
  <c r="J86" i="3"/>
  <c r="J85" i="3"/>
  <c r="J135" i="3"/>
  <c r="J59" i="3"/>
  <c r="H89" i="6"/>
  <c r="H91" i="6"/>
  <c r="H86" i="6"/>
  <c r="H88" i="6"/>
  <c r="H111" i="6"/>
  <c r="O241" i="2"/>
  <c r="P241" i="2" s="1"/>
  <c r="O265" i="2"/>
  <c r="P265" i="2" s="1"/>
  <c r="AD167" i="4"/>
  <c r="AE167" i="4" s="1"/>
  <c r="AD151" i="4"/>
  <c r="AE151" i="4" s="1"/>
  <c r="P179" i="2"/>
  <c r="J77" i="3"/>
  <c r="J98" i="3"/>
  <c r="O87" i="3"/>
  <c r="J87" i="3"/>
  <c r="O110" i="2"/>
  <c r="P110" i="2" s="1"/>
  <c r="O75" i="3"/>
  <c r="O131" i="3"/>
  <c r="P177" i="2"/>
  <c r="P206" i="2"/>
  <c r="P237" i="2"/>
  <c r="P178" i="2"/>
  <c r="P239" i="2"/>
  <c r="O166" i="2"/>
  <c r="P166" i="2" s="1"/>
  <c r="O76" i="3"/>
  <c r="O59" i="3"/>
  <c r="O123" i="2"/>
  <c r="P123" i="2" s="1"/>
  <c r="O31" i="3"/>
  <c r="O101" i="2"/>
  <c r="P101" i="2" s="1"/>
  <c r="O109" i="2"/>
  <c r="P109" i="2" s="1"/>
  <c r="O113" i="2"/>
  <c r="P113" i="2" s="1"/>
  <c r="O100" i="2"/>
  <c r="P100" i="2" s="1"/>
  <c r="O102" i="2"/>
  <c r="P102" i="2" s="1"/>
  <c r="O112" i="2"/>
  <c r="P112" i="2" s="1"/>
  <c r="O98" i="2"/>
  <c r="P98" i="2" s="1"/>
  <c r="O111" i="2"/>
  <c r="P111" i="2" s="1"/>
  <c r="O85" i="2"/>
  <c r="P85" i="2" s="1"/>
  <c r="H90" i="6" l="1"/>
  <c r="N60" i="2"/>
  <c r="N58" i="2"/>
  <c r="J290" i="3"/>
  <c r="N56" i="2"/>
  <c r="J35" i="3" l="1"/>
  <c r="O35" i="3"/>
  <c r="J34" i="3"/>
  <c r="O34" i="3"/>
  <c r="J33" i="3"/>
  <c r="O33" i="3"/>
  <c r="N59" i="2"/>
  <c r="O60" i="2"/>
  <c r="P60" i="2" s="1"/>
  <c r="O58" i="2"/>
  <c r="P58" i="2" s="1"/>
  <c r="O56" i="2"/>
  <c r="P56" i="2" s="1"/>
  <c r="D38" i="3"/>
  <c r="O59" i="2" l="1"/>
  <c r="P59" i="2" s="1"/>
  <c r="N10" i="2"/>
  <c r="O10" i="2" l="1"/>
  <c r="P10" i="2" s="1"/>
  <c r="AD69" i="4" l="1"/>
  <c r="J296" i="3" l="1"/>
  <c r="N296" i="3"/>
  <c r="I297" i="3"/>
  <c r="M296" i="3" l="1"/>
  <c r="O296" i="3" l="1"/>
  <c r="AD354" i="4" l="1"/>
  <c r="AD353" i="4"/>
  <c r="AD360" i="4"/>
  <c r="AD361" i="4" l="1"/>
  <c r="AD55" i="4"/>
  <c r="AD56" i="4"/>
  <c r="AD58" i="4"/>
  <c r="AD62" i="4"/>
  <c r="AD67" i="4"/>
  <c r="AD79" i="4"/>
  <c r="AD81" i="4"/>
  <c r="AD83" i="4"/>
  <c r="AD85" i="4"/>
  <c r="AD87" i="4"/>
  <c r="AD89" i="4"/>
  <c r="AD93" i="4"/>
  <c r="AD96" i="4"/>
  <c r="AD98" i="4"/>
  <c r="AD99" i="4"/>
  <c r="AD101" i="4"/>
  <c r="AD103" i="4"/>
  <c r="AD104" i="4"/>
  <c r="AD108" i="4"/>
  <c r="AD110" i="4"/>
  <c r="AD112" i="4"/>
  <c r="AD114" i="4"/>
  <c r="AD116" i="4"/>
  <c r="AD118" i="4"/>
  <c r="AD124" i="4"/>
  <c r="AD130" i="4"/>
  <c r="AD132" i="4"/>
  <c r="AD133" i="4"/>
  <c r="AD135" i="4"/>
  <c r="AD214" i="4"/>
  <c r="AD217" i="4"/>
  <c r="AD221" i="4"/>
  <c r="AD223" i="4"/>
  <c r="AD53" i="4"/>
  <c r="AD57" i="4"/>
  <c r="AD61" i="4"/>
  <c r="AD66" i="4"/>
  <c r="AD68" i="4"/>
  <c r="AD75" i="4"/>
  <c r="AD76" i="4"/>
  <c r="AD77" i="4"/>
  <c r="AD78" i="4"/>
  <c r="AD80" i="4"/>
  <c r="AD82" i="4"/>
  <c r="AD84" i="4"/>
  <c r="AD86" i="4"/>
  <c r="AD88" i="4"/>
  <c r="AD90" i="4"/>
  <c r="AD91" i="4"/>
  <c r="AD94" i="4"/>
  <c r="AD95" i="4"/>
  <c r="AD97" i="4"/>
  <c r="AD102" i="4"/>
  <c r="AD105" i="4"/>
  <c r="AD106" i="4"/>
  <c r="AD107" i="4"/>
  <c r="AD109" i="4"/>
  <c r="AD111" i="4"/>
  <c r="AD113" i="4"/>
  <c r="AD115" i="4"/>
  <c r="AD117" i="4"/>
  <c r="AD120" i="4"/>
  <c r="AD127" i="4"/>
  <c r="AD131" i="4"/>
  <c r="AD134" i="4"/>
  <c r="AD136" i="4"/>
  <c r="AD137" i="4"/>
  <c r="AD185" i="4"/>
  <c r="AD216" i="4"/>
  <c r="AD222" i="4"/>
  <c r="Z299" i="4"/>
  <c r="AD226" i="4" l="1"/>
  <c r="AD147" i="4"/>
  <c r="AD162" i="4"/>
  <c r="AC162" i="4"/>
  <c r="Z323" i="4"/>
  <c r="Z162" i="4" l="1"/>
  <c r="AE162" i="4"/>
  <c r="Z300" i="4"/>
  <c r="Z302" i="4"/>
  <c r="Z241" i="4"/>
  <c r="Z301" i="4" l="1"/>
  <c r="AC53" i="4" l="1"/>
  <c r="AE53" i="4" s="1"/>
  <c r="Z360" i="4" l="1"/>
  <c r="AC360" i="4"/>
  <c r="Z354" i="4"/>
  <c r="AC354" i="4"/>
  <c r="Z53" i="4"/>
  <c r="AE354" i="4" l="1"/>
  <c r="AE360" i="4"/>
  <c r="AC57" i="4"/>
  <c r="AE57" i="4" s="1"/>
  <c r="H10" i="8" s="1"/>
  <c r="AC56" i="4"/>
  <c r="AE56" i="4" s="1"/>
  <c r="AC55" i="4"/>
  <c r="AE55" i="4" s="1"/>
  <c r="H5" i="8" s="1"/>
  <c r="H103" i="8"/>
  <c r="Z56" i="4" l="1"/>
  <c r="Z57" i="4"/>
  <c r="Z55" i="4"/>
  <c r="AD346" i="4" l="1"/>
  <c r="H8" i="8"/>
  <c r="H297" i="3" l="1"/>
  <c r="G282" i="2" l="1"/>
  <c r="I291" i="3" l="1"/>
  <c r="F32" i="6" l="1"/>
  <c r="F31" i="6"/>
  <c r="F30" i="6"/>
  <c r="F27" i="6"/>
  <c r="F26" i="6"/>
  <c r="F25" i="6"/>
  <c r="F24" i="6"/>
  <c r="F23" i="6"/>
  <c r="F22" i="6"/>
  <c r="F21" i="6"/>
  <c r="F20" i="6"/>
  <c r="F19" i="6"/>
  <c r="F18" i="6"/>
  <c r="F16" i="6"/>
  <c r="F15" i="6"/>
  <c r="F14" i="6"/>
  <c r="F13" i="6"/>
  <c r="F11" i="6"/>
  <c r="F10" i="6"/>
  <c r="F9" i="6"/>
  <c r="F8" i="6"/>
  <c r="F7" i="6"/>
  <c r="F6" i="6"/>
  <c r="F5" i="6"/>
  <c r="F4" i="6"/>
  <c r="E109" i="6"/>
  <c r="F120" i="6" l="1"/>
  <c r="E4" i="6"/>
  <c r="E6" i="6"/>
  <c r="E5" i="6"/>
  <c r="E61" i="6"/>
  <c r="E63" i="6"/>
  <c r="E65" i="6"/>
  <c r="E67" i="6"/>
  <c r="E70" i="6"/>
  <c r="E72" i="6"/>
  <c r="E8" i="6"/>
  <c r="E10" i="6"/>
  <c r="E9" i="6"/>
  <c r="E11" i="6"/>
  <c r="E78" i="6"/>
  <c r="E83" i="6"/>
  <c r="E44" i="6"/>
  <c r="E56" i="6"/>
  <c r="E94" i="6"/>
  <c r="E100" i="6"/>
  <c r="E111" i="6"/>
  <c r="E114" i="6"/>
  <c r="E37" i="6"/>
  <c r="E30" i="6"/>
  <c r="E60" i="6"/>
  <c r="E62" i="6"/>
  <c r="E64" i="6"/>
  <c r="E66" i="6"/>
  <c r="E68" i="6"/>
  <c r="E71" i="6"/>
  <c r="E73" i="6"/>
  <c r="E79" i="6"/>
  <c r="E81" i="6"/>
  <c r="E84" i="6"/>
  <c r="E87" i="6"/>
  <c r="E96" i="6"/>
  <c r="E106" i="6"/>
  <c r="G4" i="8" l="1"/>
  <c r="G5" i="8"/>
  <c r="G10" i="8"/>
  <c r="G11" i="8"/>
  <c r="G17" i="8"/>
  <c r="G18" i="8"/>
  <c r="G44" i="8"/>
  <c r="G63" i="8"/>
  <c r="G73" i="8"/>
  <c r="G74" i="8"/>
  <c r="G99" i="8"/>
  <c r="G100" i="8"/>
  <c r="G21" i="8"/>
  <c r="G24" i="8"/>
  <c r="G27" i="8"/>
  <c r="G32" i="8"/>
  <c r="G33" i="8"/>
  <c r="G34" i="8"/>
  <c r="G35" i="8"/>
  <c r="G36" i="8"/>
  <c r="G37" i="8"/>
  <c r="G38" i="8"/>
  <c r="G40" i="8"/>
  <c r="G41" i="8"/>
  <c r="G42" i="8"/>
  <c r="G56" i="8"/>
  <c r="G61" i="8"/>
  <c r="G67" i="8"/>
  <c r="G70" i="8"/>
  <c r="G71" i="8"/>
  <c r="G77" i="8"/>
  <c r="G84" i="8"/>
  <c r="G86" i="8"/>
  <c r="G93" i="8"/>
  <c r="G97" i="8"/>
  <c r="D12" i="8"/>
  <c r="D29" i="8" s="1"/>
  <c r="D39" i="8"/>
  <c r="D45" i="8" s="1"/>
  <c r="D55" i="8"/>
  <c r="D75" i="8" s="1"/>
  <c r="D85" i="8"/>
  <c r="D101" i="8" s="1"/>
  <c r="G31" i="8"/>
  <c r="F12" i="8"/>
  <c r="F39" i="8"/>
  <c r="F55" i="8"/>
  <c r="H39" i="8"/>
  <c r="H289" i="2"/>
  <c r="I289" i="2" s="1"/>
  <c r="H292" i="2"/>
  <c r="H293" i="2"/>
  <c r="J293" i="2" l="1"/>
  <c r="M293" i="2"/>
  <c r="J292" i="2"/>
  <c r="M292" i="2"/>
  <c r="J289" i="2"/>
  <c r="M289" i="2"/>
  <c r="H286" i="2"/>
  <c r="H288" i="2" s="1"/>
  <c r="H295" i="2" s="1"/>
  <c r="H297" i="2" s="1"/>
  <c r="D102" i="8"/>
  <c r="D116" i="8" s="1"/>
  <c r="AC217" i="4" l="1"/>
  <c r="AC135" i="4"/>
  <c r="AE135" i="4" s="1"/>
  <c r="AC127" i="4"/>
  <c r="AE127" i="4" s="1"/>
  <c r="AC124" i="4"/>
  <c r="AE124" i="4" s="1"/>
  <c r="AC112" i="4"/>
  <c r="AE112" i="4" s="1"/>
  <c r="AC111" i="4"/>
  <c r="AE111" i="4" s="1"/>
  <c r="AC110" i="4"/>
  <c r="AE110" i="4" s="1"/>
  <c r="AC107" i="4"/>
  <c r="AE107" i="4" s="1"/>
  <c r="AC106" i="4"/>
  <c r="AE106" i="4" s="1"/>
  <c r="AC97" i="4"/>
  <c r="AE97" i="4" s="1"/>
  <c r="AC96" i="4"/>
  <c r="AE96" i="4" s="1"/>
  <c r="AC87" i="4"/>
  <c r="AE87" i="4" s="1"/>
  <c r="AC84" i="4"/>
  <c r="AE84" i="4" s="1"/>
  <c r="AC78" i="4"/>
  <c r="AE78" i="4" s="1"/>
  <c r="AC77" i="4"/>
  <c r="AE77" i="4" s="1"/>
  <c r="AC76" i="4"/>
  <c r="AE76" i="4" s="1"/>
  <c r="AC68" i="4"/>
  <c r="AE68" i="4" s="1"/>
  <c r="AC66" i="4"/>
  <c r="AE66" i="4" s="1"/>
  <c r="AC61" i="4"/>
  <c r="AE61" i="4" s="1"/>
  <c r="S227" i="4"/>
  <c r="S343" i="4" s="1"/>
  <c r="AE217" i="4" l="1"/>
  <c r="AC214" i="4"/>
  <c r="AC58" i="4"/>
  <c r="H105" i="8"/>
  <c r="G105" i="8"/>
  <c r="H107" i="8"/>
  <c r="G107" i="8"/>
  <c r="G108" i="8"/>
  <c r="AC353" i="4"/>
  <c r="G106" i="8"/>
  <c r="H106" i="8"/>
  <c r="AE214" i="4" l="1"/>
  <c r="H104" i="8"/>
  <c r="H111" i="8"/>
  <c r="AC361" i="4"/>
  <c r="AE58" i="4"/>
  <c r="X361" i="4"/>
  <c r="U361" i="4"/>
  <c r="G104" i="8"/>
  <c r="AE353" i="4" l="1"/>
  <c r="H108" i="8" s="1"/>
  <c r="H66" i="8"/>
  <c r="E112" i="8"/>
  <c r="AE361" i="4" l="1"/>
  <c r="H112" i="8"/>
  <c r="G103" i="8"/>
  <c r="G112" i="8" s="1"/>
  <c r="J295" i="3" l="1"/>
  <c r="J297" i="3" s="1"/>
  <c r="N295" i="3" l="1"/>
  <c r="N297" i="3" s="1"/>
  <c r="M295" i="3"/>
  <c r="M297" i="3" s="1"/>
  <c r="N7" i="2" l="1"/>
  <c r="O295" i="3"/>
  <c r="O297" i="3" s="1"/>
  <c r="O7" i="2" l="1"/>
  <c r="P7" i="2" l="1"/>
  <c r="Z259" i="4" l="1"/>
  <c r="Z273" i="4" l="1"/>
  <c r="Z261" i="4"/>
  <c r="Z272" i="4"/>
  <c r="Z292" i="4"/>
  <c r="Z217" i="4" l="1"/>
  <c r="Z214" i="4"/>
  <c r="Z135" i="4" l="1"/>
  <c r="Z112" i="4" l="1"/>
  <c r="Z111" i="4"/>
  <c r="Z110" i="4"/>
  <c r="Z107" i="4"/>
  <c r="Z106" i="4"/>
  <c r="Z97" i="4"/>
  <c r="Z96" i="4"/>
  <c r="Z87" i="4"/>
  <c r="Z84" i="4"/>
  <c r="Z78" i="4"/>
  <c r="Z77" i="4"/>
  <c r="Z76" i="4"/>
  <c r="Z68" i="4"/>
  <c r="Z66" i="4"/>
  <c r="Z124" i="4" l="1"/>
  <c r="Z127" i="4"/>
  <c r="Z61" i="4" l="1"/>
  <c r="Z58" i="4" l="1"/>
  <c r="N277" i="3"/>
  <c r="N256" i="3"/>
  <c r="N255" i="3"/>
  <c r="N254" i="3"/>
  <c r="N253" i="3"/>
  <c r="N258" i="3"/>
  <c r="N252" i="3"/>
  <c r="N251" i="3"/>
  <c r="N250" i="3"/>
  <c r="N249" i="3"/>
  <c r="J249" i="3" l="1"/>
  <c r="O249" i="3"/>
  <c r="E233" i="3" l="1"/>
  <c r="G233" i="3" s="1"/>
  <c r="D233" i="3"/>
  <c r="C233" i="3"/>
  <c r="B233" i="3"/>
  <c r="A233" i="3"/>
  <c r="E231" i="3"/>
  <c r="G231" i="3" s="1"/>
  <c r="D231" i="3"/>
  <c r="C231" i="3"/>
  <c r="B231" i="3"/>
  <c r="A231" i="3"/>
  <c r="H231" i="3" l="1"/>
  <c r="M231" i="3" s="1"/>
  <c r="O231" i="3" s="1"/>
  <c r="H233" i="3"/>
  <c r="M233" i="3" s="1"/>
  <c r="O233" i="3" s="1"/>
  <c r="E230" i="3"/>
  <c r="G230" i="3" s="1"/>
  <c r="D230" i="3"/>
  <c r="C230" i="3"/>
  <c r="B230" i="3"/>
  <c r="A230" i="3"/>
  <c r="E229" i="3"/>
  <c r="G229" i="3" s="1"/>
  <c r="D229" i="3"/>
  <c r="C229" i="3"/>
  <c r="B229" i="3"/>
  <c r="A229" i="3"/>
  <c r="E228" i="3"/>
  <c r="G228" i="3" s="1"/>
  <c r="D228" i="3"/>
  <c r="C228" i="3"/>
  <c r="B228" i="3"/>
  <c r="A228" i="3"/>
  <c r="E226" i="3"/>
  <c r="G226" i="3" s="1"/>
  <c r="D226" i="3"/>
  <c r="C226" i="3"/>
  <c r="B226" i="3"/>
  <c r="A226" i="3"/>
  <c r="E225" i="3"/>
  <c r="G225" i="3" s="1"/>
  <c r="D225" i="3"/>
  <c r="C225" i="3"/>
  <c r="B225" i="3"/>
  <c r="A225" i="3"/>
  <c r="E224" i="3"/>
  <c r="G224" i="3" s="1"/>
  <c r="D224" i="3"/>
  <c r="C224" i="3"/>
  <c r="B224" i="3"/>
  <c r="A224" i="3"/>
  <c r="E220" i="3"/>
  <c r="G220" i="3" s="1"/>
  <c r="D220" i="3"/>
  <c r="C220" i="3"/>
  <c r="B220" i="3"/>
  <c r="A220" i="3"/>
  <c r="E218" i="3"/>
  <c r="G218" i="3" s="1"/>
  <c r="D218" i="3"/>
  <c r="C218" i="3"/>
  <c r="B218" i="3"/>
  <c r="A218" i="3"/>
  <c r="E217" i="3"/>
  <c r="G217" i="3" s="1"/>
  <c r="D217" i="3"/>
  <c r="C217" i="3"/>
  <c r="B217" i="3"/>
  <c r="A217" i="3"/>
  <c r="E216" i="3"/>
  <c r="G216" i="3" s="1"/>
  <c r="D216" i="3"/>
  <c r="C216" i="3"/>
  <c r="B216" i="3"/>
  <c r="A216" i="3"/>
  <c r="E215" i="3"/>
  <c r="G215" i="3" s="1"/>
  <c r="C215" i="3"/>
  <c r="B215" i="3"/>
  <c r="A215" i="3"/>
  <c r="E214" i="3"/>
  <c r="G214" i="3" s="1"/>
  <c r="C214" i="3"/>
  <c r="B214" i="3"/>
  <c r="A214" i="3"/>
  <c r="E212" i="3"/>
  <c r="G212" i="3" s="1"/>
  <c r="C212" i="3"/>
  <c r="B212" i="3"/>
  <c r="A212" i="3"/>
  <c r="H212" i="3" l="1"/>
  <c r="M212" i="3" s="1"/>
  <c r="O212" i="3" s="1"/>
  <c r="H215" i="3"/>
  <c r="M215" i="3" s="1"/>
  <c r="O215" i="3" s="1"/>
  <c r="H218" i="3"/>
  <c r="M218" i="3" s="1"/>
  <c r="O218" i="3" s="1"/>
  <c r="H226" i="3"/>
  <c r="M226" i="3" s="1"/>
  <c r="O226" i="3" s="1"/>
  <c r="H216" i="3"/>
  <c r="J216" i="3" s="1"/>
  <c r="H220" i="3"/>
  <c r="M220" i="3" s="1"/>
  <c r="O220" i="3" s="1"/>
  <c r="H228" i="3"/>
  <c r="M228" i="3" s="1"/>
  <c r="O228" i="3" s="1"/>
  <c r="J233" i="3"/>
  <c r="H214" i="3"/>
  <c r="M214" i="3" s="1"/>
  <c r="O214" i="3" s="1"/>
  <c r="H217" i="3"/>
  <c r="M217" i="3" s="1"/>
  <c r="O217" i="3" s="1"/>
  <c r="H224" i="3"/>
  <c r="J224" i="3" s="1"/>
  <c r="H229" i="3"/>
  <c r="M229" i="3" s="1"/>
  <c r="O229" i="3" s="1"/>
  <c r="H225" i="3"/>
  <c r="M225" i="3" s="1"/>
  <c r="O225" i="3" s="1"/>
  <c r="H230" i="3"/>
  <c r="J230" i="3" s="1"/>
  <c r="J231" i="3"/>
  <c r="E210" i="3"/>
  <c r="G210" i="3" s="1"/>
  <c r="D210" i="3"/>
  <c r="C210" i="3"/>
  <c r="B210" i="3"/>
  <c r="A210" i="3"/>
  <c r="E208" i="3"/>
  <c r="G208" i="3" s="1"/>
  <c r="D208" i="3"/>
  <c r="C208" i="3"/>
  <c r="B208" i="3"/>
  <c r="A208" i="3"/>
  <c r="E206" i="3"/>
  <c r="G206" i="3" s="1"/>
  <c r="D206" i="3"/>
  <c r="C206" i="3"/>
  <c r="B206" i="3"/>
  <c r="A206" i="3"/>
  <c r="E190" i="3"/>
  <c r="G190" i="3" s="1"/>
  <c r="D190" i="3"/>
  <c r="C190" i="3"/>
  <c r="B190" i="3"/>
  <c r="A190" i="3"/>
  <c r="E184" i="3"/>
  <c r="G184" i="3" s="1"/>
  <c r="D184" i="3"/>
  <c r="C184" i="3"/>
  <c r="B184" i="3"/>
  <c r="A184" i="3"/>
  <c r="E182" i="3"/>
  <c r="G182" i="3" s="1"/>
  <c r="D182" i="3"/>
  <c r="C182" i="3"/>
  <c r="B182" i="3"/>
  <c r="A182" i="3"/>
  <c r="E181" i="3"/>
  <c r="G181" i="3" s="1"/>
  <c r="D181" i="3"/>
  <c r="C181" i="3"/>
  <c r="B181" i="3"/>
  <c r="A181" i="3"/>
  <c r="J218" i="3" l="1"/>
  <c r="J215" i="3"/>
  <c r="J212" i="3"/>
  <c r="J228" i="3"/>
  <c r="J220" i="3"/>
  <c r="J217" i="3"/>
  <c r="M216" i="3"/>
  <c r="O216" i="3" s="1"/>
  <c r="J214" i="3"/>
  <c r="H181" i="3"/>
  <c r="M181" i="3" s="1"/>
  <c r="O181" i="3" s="1"/>
  <c r="M230" i="3"/>
  <c r="O230" i="3" s="1"/>
  <c r="M224" i="3"/>
  <c r="O224" i="3" s="1"/>
  <c r="H184" i="3"/>
  <c r="M184" i="3" s="1"/>
  <c r="O184" i="3" s="1"/>
  <c r="H210" i="3"/>
  <c r="J210" i="3" s="1"/>
  <c r="J226" i="3"/>
  <c r="H206" i="3"/>
  <c r="M206" i="3" s="1"/>
  <c r="O206" i="3" s="1"/>
  <c r="H182" i="3"/>
  <c r="J182" i="3" s="1"/>
  <c r="H208" i="3"/>
  <c r="M208" i="3" s="1"/>
  <c r="O208" i="3" s="1"/>
  <c r="H190" i="3"/>
  <c r="J190" i="3" s="1"/>
  <c r="J225" i="3"/>
  <c r="J229" i="3"/>
  <c r="E175" i="3"/>
  <c r="G175" i="3" s="1"/>
  <c r="D175" i="3"/>
  <c r="C175" i="3"/>
  <c r="B175" i="3"/>
  <c r="A175" i="3"/>
  <c r="E174" i="3"/>
  <c r="G174" i="3" s="1"/>
  <c r="D174" i="3"/>
  <c r="C174" i="3"/>
  <c r="B174" i="3"/>
  <c r="A174" i="3"/>
  <c r="E171" i="3"/>
  <c r="G171" i="3" s="1"/>
  <c r="D171" i="3"/>
  <c r="C171" i="3"/>
  <c r="B171" i="3"/>
  <c r="A171" i="3"/>
  <c r="E169" i="3"/>
  <c r="G169" i="3" s="1"/>
  <c r="D169" i="3"/>
  <c r="C169" i="3"/>
  <c r="B169" i="3"/>
  <c r="A169" i="3"/>
  <c r="E152" i="3"/>
  <c r="G152" i="3" s="1"/>
  <c r="C152" i="3"/>
  <c r="B152" i="3"/>
  <c r="A152" i="3"/>
  <c r="E145" i="3"/>
  <c r="G145" i="3" s="1"/>
  <c r="D145" i="3"/>
  <c r="C145" i="3"/>
  <c r="B145" i="3"/>
  <c r="A145" i="3"/>
  <c r="K139" i="3"/>
  <c r="L139" i="3" s="1"/>
  <c r="E139" i="3"/>
  <c r="D139" i="3"/>
  <c r="C139" i="3"/>
  <c r="B139" i="3"/>
  <c r="A139" i="3"/>
  <c r="K136" i="3"/>
  <c r="L136" i="3" s="1"/>
  <c r="E136" i="3"/>
  <c r="D136" i="3"/>
  <c r="C136" i="3"/>
  <c r="B136" i="3"/>
  <c r="A136" i="3"/>
  <c r="K134" i="3"/>
  <c r="L134" i="3" s="1"/>
  <c r="E134" i="3"/>
  <c r="D134" i="3"/>
  <c r="C134" i="3"/>
  <c r="B134" i="3"/>
  <c r="K133" i="3"/>
  <c r="L133" i="3" s="1"/>
  <c r="E133" i="3"/>
  <c r="D133" i="3"/>
  <c r="C133" i="3"/>
  <c r="B133" i="3"/>
  <c r="A133" i="3"/>
  <c r="K132" i="3"/>
  <c r="L132" i="3" s="1"/>
  <c r="E132" i="3"/>
  <c r="D132" i="3"/>
  <c r="C132" i="3"/>
  <c r="B132" i="3"/>
  <c r="A132" i="3"/>
  <c r="K130" i="3"/>
  <c r="L130" i="3" s="1"/>
  <c r="E130" i="3"/>
  <c r="D130" i="3"/>
  <c r="C130" i="3"/>
  <c r="B130" i="3"/>
  <c r="A130" i="3"/>
  <c r="K129" i="3"/>
  <c r="L129" i="3" s="1"/>
  <c r="E129" i="3"/>
  <c r="D129" i="3"/>
  <c r="C129" i="3"/>
  <c r="B129" i="3"/>
  <c r="A129" i="3"/>
  <c r="K128" i="3"/>
  <c r="L128" i="3" s="1"/>
  <c r="E128" i="3"/>
  <c r="D128" i="3"/>
  <c r="C128" i="3"/>
  <c r="B128" i="3"/>
  <c r="A128" i="3"/>
  <c r="K127" i="3"/>
  <c r="L127" i="3" s="1"/>
  <c r="E127" i="3"/>
  <c r="D127" i="3"/>
  <c r="C127" i="3"/>
  <c r="B127" i="3"/>
  <c r="A127" i="3"/>
  <c r="K124" i="3"/>
  <c r="L124" i="3" s="1"/>
  <c r="E124" i="3"/>
  <c r="D124" i="3"/>
  <c r="C124" i="3"/>
  <c r="B124" i="3"/>
  <c r="A124" i="3"/>
  <c r="K123" i="3"/>
  <c r="L123" i="3" s="1"/>
  <c r="N123" i="3" s="1"/>
  <c r="E123" i="3"/>
  <c r="D123" i="3"/>
  <c r="C123" i="3"/>
  <c r="B123" i="3"/>
  <c r="A123" i="3"/>
  <c r="K122" i="3"/>
  <c r="L122" i="3" s="1"/>
  <c r="E122" i="3"/>
  <c r="G122" i="3" s="1"/>
  <c r="H122" i="3" s="1"/>
  <c r="D122" i="3"/>
  <c r="C122" i="3"/>
  <c r="B122" i="3"/>
  <c r="A122" i="3"/>
  <c r="K121" i="3"/>
  <c r="L121" i="3" s="1"/>
  <c r="E121" i="3"/>
  <c r="D121" i="3"/>
  <c r="C121" i="3"/>
  <c r="B121" i="3"/>
  <c r="A121" i="3"/>
  <c r="K120" i="3"/>
  <c r="L120" i="3" s="1"/>
  <c r="E120" i="3"/>
  <c r="G120" i="3" s="1"/>
  <c r="H120" i="3" s="1"/>
  <c r="D120" i="3"/>
  <c r="C120" i="3"/>
  <c r="B120" i="3"/>
  <c r="A120" i="3"/>
  <c r="K119" i="3"/>
  <c r="L119" i="3" s="1"/>
  <c r="E119" i="3"/>
  <c r="G119" i="3" s="1"/>
  <c r="H119" i="3" s="1"/>
  <c r="D119" i="3"/>
  <c r="C119" i="3"/>
  <c r="B119" i="3"/>
  <c r="A119" i="3"/>
  <c r="K118" i="3"/>
  <c r="L118" i="3" s="1"/>
  <c r="E118" i="3"/>
  <c r="G118" i="3" s="1"/>
  <c r="H118" i="3" s="1"/>
  <c r="C118" i="3"/>
  <c r="B118" i="3"/>
  <c r="A118" i="3"/>
  <c r="K117" i="3"/>
  <c r="E117" i="3"/>
  <c r="G117" i="3" s="1"/>
  <c r="D117" i="3"/>
  <c r="C117" i="3"/>
  <c r="B117" i="3"/>
  <c r="A117" i="3"/>
  <c r="F9" i="7" l="1"/>
  <c r="G124" i="3"/>
  <c r="H124" i="3" s="1"/>
  <c r="M124" i="3" s="1"/>
  <c r="G128" i="3"/>
  <c r="H128" i="3" s="1"/>
  <c r="M128" i="3" s="1"/>
  <c r="H130" i="3"/>
  <c r="M130" i="3" s="1"/>
  <c r="G130" i="3"/>
  <c r="H133" i="3"/>
  <c r="M133" i="3" s="1"/>
  <c r="G133" i="3"/>
  <c r="G134" i="3"/>
  <c r="H134" i="3" s="1"/>
  <c r="M134" i="3" s="1"/>
  <c r="G139" i="3"/>
  <c r="H139" i="3" s="1"/>
  <c r="M139" i="3" s="1"/>
  <c r="G123" i="3"/>
  <c r="H123" i="3" s="1"/>
  <c r="M123" i="3" s="1"/>
  <c r="O123" i="3" s="1"/>
  <c r="G127" i="3"/>
  <c r="H127" i="3" s="1"/>
  <c r="M127" i="3" s="1"/>
  <c r="G129" i="3"/>
  <c r="H129" i="3" s="1"/>
  <c r="M129" i="3" s="1"/>
  <c r="H132" i="3"/>
  <c r="M132" i="3" s="1"/>
  <c r="G132" i="3"/>
  <c r="H136" i="3"/>
  <c r="G136" i="3"/>
  <c r="D21" i="7"/>
  <c r="F21" i="7"/>
  <c r="J206" i="3"/>
  <c r="J208" i="3"/>
  <c r="M182" i="3"/>
  <c r="O182" i="3" s="1"/>
  <c r="J181" i="3"/>
  <c r="J184" i="3"/>
  <c r="M190" i="3"/>
  <c r="O190" i="3" s="1"/>
  <c r="H174" i="3"/>
  <c r="M174" i="3" s="1"/>
  <c r="O174" i="3" s="1"/>
  <c r="M210" i="3"/>
  <c r="O210" i="3" s="1"/>
  <c r="H117" i="3"/>
  <c r="G121" i="3"/>
  <c r="H175" i="3"/>
  <c r="M175" i="3" s="1"/>
  <c r="O175" i="3" s="1"/>
  <c r="H171" i="3"/>
  <c r="J171" i="3" s="1"/>
  <c r="H145" i="3"/>
  <c r="M145" i="3" s="1"/>
  <c r="O145" i="3" s="1"/>
  <c r="H152" i="3"/>
  <c r="M152" i="3" s="1"/>
  <c r="O152" i="3" s="1"/>
  <c r="H169" i="3"/>
  <c r="M169" i="3" s="1"/>
  <c r="O169" i="3" s="1"/>
  <c r="D14" i="7"/>
  <c r="D15" i="7"/>
  <c r="D16" i="7"/>
  <c r="D20" i="7"/>
  <c r="F15" i="7"/>
  <c r="F20" i="7"/>
  <c r="F14" i="7"/>
  <c r="F16" i="7"/>
  <c r="H14" i="7"/>
  <c r="M136" i="3"/>
  <c r="N139" i="3"/>
  <c r="F28" i="7"/>
  <c r="F23" i="7"/>
  <c r="F5" i="7"/>
  <c r="F3" i="7"/>
  <c r="F31" i="7"/>
  <c r="F27" i="7"/>
  <c r="F18" i="7"/>
  <c r="F6" i="7"/>
  <c r="F10" i="7"/>
  <c r="F29" i="7"/>
  <c r="F25" i="7"/>
  <c r="F13" i="7"/>
  <c r="F8" i="7"/>
  <c r="F4" i="7"/>
  <c r="F7" i="7"/>
  <c r="F30" i="7"/>
  <c r="F11" i="7"/>
  <c r="F26" i="7"/>
  <c r="F17" i="7"/>
  <c r="F24" i="7"/>
  <c r="F22" i="7"/>
  <c r="F19" i="7"/>
  <c r="N121" i="3"/>
  <c r="N127" i="3"/>
  <c r="N118" i="3"/>
  <c r="N120" i="3"/>
  <c r="N122" i="3"/>
  <c r="N124" i="3"/>
  <c r="N128" i="3"/>
  <c r="N130" i="3"/>
  <c r="N133" i="3"/>
  <c r="N134" i="3"/>
  <c r="N119" i="3"/>
  <c r="N129" i="3"/>
  <c r="N132" i="3"/>
  <c r="N136" i="3"/>
  <c r="D7" i="7"/>
  <c r="D22" i="7"/>
  <c r="D18" i="7"/>
  <c r="H18" i="7"/>
  <c r="H10" i="7"/>
  <c r="D29" i="7"/>
  <c r="D17" i="7"/>
  <c r="H31" i="7"/>
  <c r="D6" i="7"/>
  <c r="H4" i="7"/>
  <c r="H26" i="7"/>
  <c r="H17" i="7"/>
  <c r="D4" i="7"/>
  <c r="D23" i="7"/>
  <c r="H23" i="7"/>
  <c r="D19" i="7"/>
  <c r="D30" i="7"/>
  <c r="H11" i="7"/>
  <c r="D28" i="7"/>
  <c r="D11" i="7"/>
  <c r="D9" i="7"/>
  <c r="D27" i="7"/>
  <c r="D5" i="7"/>
  <c r="D13" i="7"/>
  <c r="H13" i="7"/>
  <c r="D3" i="7"/>
  <c r="D31" i="7"/>
  <c r="D26" i="7"/>
  <c r="D10" i="7"/>
  <c r="D8" i="7"/>
  <c r="M118" i="3"/>
  <c r="M119" i="3"/>
  <c r="M120" i="3"/>
  <c r="M122" i="3"/>
  <c r="L117" i="3"/>
  <c r="G247" i="3" l="1"/>
  <c r="J145" i="3"/>
  <c r="J175" i="3"/>
  <c r="E21" i="7"/>
  <c r="G21" i="7" s="1"/>
  <c r="J169" i="3"/>
  <c r="H121" i="3"/>
  <c r="M121" i="3" s="1"/>
  <c r="O128" i="3"/>
  <c r="J174" i="3"/>
  <c r="E15" i="7"/>
  <c r="G15" i="7" s="1"/>
  <c r="E20" i="7"/>
  <c r="G20" i="7" s="1"/>
  <c r="E14" i="7"/>
  <c r="G14" i="7" s="1"/>
  <c r="E16" i="7"/>
  <c r="G16" i="7" s="1"/>
  <c r="M171" i="3"/>
  <c r="O171" i="3" s="1"/>
  <c r="J152" i="3"/>
  <c r="M117" i="3"/>
  <c r="O133" i="3"/>
  <c r="O136" i="3"/>
  <c r="O130" i="3"/>
  <c r="O132" i="3"/>
  <c r="N117" i="3"/>
  <c r="N247" i="3" s="1"/>
  <c r="J130" i="3"/>
  <c r="J132" i="3"/>
  <c r="J136" i="3"/>
  <c r="J133" i="3"/>
  <c r="K108" i="3" l="1"/>
  <c r="L108" i="3" s="1"/>
  <c r="E108" i="3"/>
  <c r="D108" i="3"/>
  <c r="C108" i="3"/>
  <c r="B108" i="3"/>
  <c r="A108" i="3"/>
  <c r="K107" i="3"/>
  <c r="L107" i="3" s="1"/>
  <c r="N107" i="3" s="1"/>
  <c r="E107" i="3"/>
  <c r="D107" i="3"/>
  <c r="C107" i="3"/>
  <c r="B107" i="3"/>
  <c r="A107" i="3"/>
  <c r="K104" i="3"/>
  <c r="L104" i="3" s="1"/>
  <c r="D104" i="3"/>
  <c r="C104" i="3"/>
  <c r="B104" i="3"/>
  <c r="A104" i="3"/>
  <c r="K101" i="3"/>
  <c r="L101" i="3" s="1"/>
  <c r="E101" i="3"/>
  <c r="D101" i="3"/>
  <c r="C101" i="3"/>
  <c r="B101" i="3"/>
  <c r="A101" i="3"/>
  <c r="K100" i="3"/>
  <c r="L100" i="3" s="1"/>
  <c r="N100" i="3" s="1"/>
  <c r="E100" i="3"/>
  <c r="D100" i="3"/>
  <c r="C100" i="3"/>
  <c r="B100" i="3"/>
  <c r="A100" i="3"/>
  <c r="K99" i="3"/>
  <c r="L99" i="3" s="1"/>
  <c r="N99" i="3" s="1"/>
  <c r="E99" i="3"/>
  <c r="D99" i="3"/>
  <c r="C99" i="3"/>
  <c r="B99" i="3"/>
  <c r="A99" i="3"/>
  <c r="K96" i="3"/>
  <c r="L96" i="3" s="1"/>
  <c r="E96" i="3"/>
  <c r="D96" i="3"/>
  <c r="C96" i="3"/>
  <c r="B96" i="3"/>
  <c r="A96" i="3"/>
  <c r="K95" i="3"/>
  <c r="L95" i="3" s="1"/>
  <c r="E95" i="3"/>
  <c r="D95" i="3"/>
  <c r="C95" i="3"/>
  <c r="B95" i="3"/>
  <c r="A95" i="3"/>
  <c r="K74" i="3"/>
  <c r="L74" i="3" s="1"/>
  <c r="N74" i="3" s="1"/>
  <c r="E74" i="3"/>
  <c r="D74" i="3"/>
  <c r="C74" i="3"/>
  <c r="B74" i="3"/>
  <c r="A74" i="3"/>
  <c r="K72" i="3"/>
  <c r="L72" i="3" s="1"/>
  <c r="N72" i="3" s="1"/>
  <c r="E72" i="3"/>
  <c r="D72" i="3"/>
  <c r="C72" i="3"/>
  <c r="B72" i="3"/>
  <c r="A72" i="3"/>
  <c r="K71" i="3"/>
  <c r="L71" i="3" s="1"/>
  <c r="N71" i="3" s="1"/>
  <c r="E71" i="3"/>
  <c r="D71" i="3"/>
  <c r="C71" i="3"/>
  <c r="B71" i="3"/>
  <c r="A71" i="3"/>
  <c r="K67" i="3"/>
  <c r="L67" i="3" s="1"/>
  <c r="E67" i="3"/>
  <c r="D67" i="3"/>
  <c r="C67" i="3"/>
  <c r="B67" i="3"/>
  <c r="A67" i="3"/>
  <c r="E66" i="3"/>
  <c r="G66" i="3" s="1"/>
  <c r="D66" i="3"/>
  <c r="C66" i="3"/>
  <c r="B66" i="3"/>
  <c r="A66" i="3"/>
  <c r="K65" i="3"/>
  <c r="L65" i="3" s="1"/>
  <c r="E65" i="3"/>
  <c r="D65" i="3"/>
  <c r="C65" i="3"/>
  <c r="B65" i="3"/>
  <c r="A65" i="3"/>
  <c r="K64" i="3"/>
  <c r="L64" i="3" s="1"/>
  <c r="E64" i="3"/>
  <c r="D64" i="3"/>
  <c r="C64" i="3"/>
  <c r="B64" i="3"/>
  <c r="A64" i="3"/>
  <c r="K63" i="3"/>
  <c r="L63" i="3" s="1"/>
  <c r="E63" i="3"/>
  <c r="D63" i="3"/>
  <c r="C63" i="3"/>
  <c r="B63" i="3"/>
  <c r="A63" i="3"/>
  <c r="K61" i="3"/>
  <c r="L61" i="3" s="1"/>
  <c r="E61" i="3"/>
  <c r="D61" i="3"/>
  <c r="C61" i="3"/>
  <c r="B61" i="3"/>
  <c r="A61" i="3"/>
  <c r="M58" i="3"/>
  <c r="D58" i="3"/>
  <c r="C58" i="3"/>
  <c r="B58" i="3"/>
  <c r="A58" i="3"/>
  <c r="K55" i="3"/>
  <c r="L55" i="3" s="1"/>
  <c r="E55" i="3"/>
  <c r="D55" i="3"/>
  <c r="C55" i="3"/>
  <c r="B55" i="3"/>
  <c r="A55" i="3"/>
  <c r="K54" i="3"/>
  <c r="L54" i="3" s="1"/>
  <c r="E54" i="3"/>
  <c r="D54" i="3"/>
  <c r="C54" i="3"/>
  <c r="B54" i="3"/>
  <c r="A54" i="3"/>
  <c r="K53" i="3"/>
  <c r="L53" i="3" s="1"/>
  <c r="E53" i="3"/>
  <c r="D53" i="3"/>
  <c r="C53" i="3"/>
  <c r="B53" i="3"/>
  <c r="A53" i="3"/>
  <c r="K52" i="3"/>
  <c r="L52" i="3" s="1"/>
  <c r="E52" i="3"/>
  <c r="C52" i="3"/>
  <c r="B52" i="3"/>
  <c r="A52" i="3"/>
  <c r="K50" i="3"/>
  <c r="L50" i="3" s="1"/>
  <c r="E50" i="3"/>
  <c r="D50" i="3"/>
  <c r="C50" i="3"/>
  <c r="B50" i="3"/>
  <c r="A50" i="3"/>
  <c r="K49" i="3"/>
  <c r="L49" i="3" s="1"/>
  <c r="N49" i="3" s="1"/>
  <c r="E49" i="3"/>
  <c r="D49" i="3"/>
  <c r="C49" i="3"/>
  <c r="B49" i="3"/>
  <c r="A49" i="3"/>
  <c r="K48" i="3"/>
  <c r="L48" i="3" s="1"/>
  <c r="N48" i="3" s="1"/>
  <c r="E48" i="3"/>
  <c r="D48" i="3"/>
  <c r="C48" i="3"/>
  <c r="B48" i="3"/>
  <c r="A48" i="3"/>
  <c r="K47" i="3"/>
  <c r="L47" i="3" s="1"/>
  <c r="E47" i="3"/>
  <c r="D47" i="3"/>
  <c r="C47" i="3"/>
  <c r="B47" i="3"/>
  <c r="A47" i="3"/>
  <c r="K44" i="3"/>
  <c r="L44" i="3" s="1"/>
  <c r="N44" i="3" s="1"/>
  <c r="E44" i="3"/>
  <c r="D44" i="3"/>
  <c r="C44" i="3"/>
  <c r="B44" i="3"/>
  <c r="A44" i="3"/>
  <c r="K43" i="3"/>
  <c r="L43" i="3" s="1"/>
  <c r="N43" i="3" s="1"/>
  <c r="E43" i="3"/>
  <c r="D43" i="3"/>
  <c r="C43" i="3"/>
  <c r="B43" i="3"/>
  <c r="A43" i="3"/>
  <c r="K42" i="3"/>
  <c r="L42" i="3" s="1"/>
  <c r="N42" i="3" s="1"/>
  <c r="E42" i="3"/>
  <c r="D42" i="3"/>
  <c r="C42" i="3"/>
  <c r="B42" i="3"/>
  <c r="A42" i="3"/>
  <c r="K39" i="3"/>
  <c r="L39" i="3" s="1"/>
  <c r="E39" i="3"/>
  <c r="D39" i="3"/>
  <c r="C39" i="3"/>
  <c r="B39" i="3"/>
  <c r="A39" i="3"/>
  <c r="K38" i="3"/>
  <c r="L38" i="3" s="1"/>
  <c r="E38" i="3"/>
  <c r="C38" i="3"/>
  <c r="B38" i="3"/>
  <c r="A38" i="3"/>
  <c r="K32" i="3"/>
  <c r="L32" i="3" s="1"/>
  <c r="E32" i="3"/>
  <c r="D32" i="3"/>
  <c r="C32" i="3"/>
  <c r="B32" i="3"/>
  <c r="A32" i="3"/>
  <c r="K30" i="3"/>
  <c r="L30" i="3" s="1"/>
  <c r="E30" i="3"/>
  <c r="D30" i="3"/>
  <c r="C30" i="3"/>
  <c r="B30" i="3"/>
  <c r="A30" i="3"/>
  <c r="K29" i="3"/>
  <c r="L29" i="3" s="1"/>
  <c r="E29" i="3"/>
  <c r="D29" i="3"/>
  <c r="C29" i="3"/>
  <c r="B29" i="3"/>
  <c r="A29" i="3"/>
  <c r="K26" i="3"/>
  <c r="L26" i="3" s="1"/>
  <c r="E26" i="3"/>
  <c r="D26" i="3"/>
  <c r="C26" i="3"/>
  <c r="B26" i="3"/>
  <c r="A26" i="3"/>
  <c r="K25" i="3"/>
  <c r="L25" i="3" s="1"/>
  <c r="E25" i="3"/>
  <c r="D25" i="3"/>
  <c r="C25" i="3"/>
  <c r="B25" i="3"/>
  <c r="A25" i="3"/>
  <c r="K24" i="3"/>
  <c r="L24" i="3" s="1"/>
  <c r="E24" i="3"/>
  <c r="C24" i="3"/>
  <c r="B24" i="3"/>
  <c r="A24" i="3"/>
  <c r="K20" i="3"/>
  <c r="L20" i="3" s="1"/>
  <c r="E20" i="3"/>
  <c r="D20" i="3"/>
  <c r="C20" i="3"/>
  <c r="B20" i="3"/>
  <c r="A20" i="3"/>
  <c r="K15" i="3"/>
  <c r="L15" i="3" s="1"/>
  <c r="E15" i="3"/>
  <c r="D15" i="3"/>
  <c r="C15" i="3"/>
  <c r="B15" i="3"/>
  <c r="A15" i="3"/>
  <c r="K14" i="3"/>
  <c r="L14" i="3" s="1"/>
  <c r="E14" i="3"/>
  <c r="D14" i="3"/>
  <c r="C14" i="3"/>
  <c r="B14" i="3"/>
  <c r="A14" i="3"/>
  <c r="K13" i="3"/>
  <c r="L13" i="3" s="1"/>
  <c r="E13" i="3"/>
  <c r="D13" i="3"/>
  <c r="C13" i="3"/>
  <c r="B13" i="3"/>
  <c r="A13" i="3"/>
  <c r="K12" i="3"/>
  <c r="L12" i="3" s="1"/>
  <c r="E12" i="3"/>
  <c r="D12" i="3"/>
  <c r="C12" i="3"/>
  <c r="B12" i="3"/>
  <c r="A12" i="3"/>
  <c r="K11" i="3"/>
  <c r="L11" i="3" s="1"/>
  <c r="E11" i="3"/>
  <c r="D11" i="3"/>
  <c r="C11" i="3"/>
  <c r="B11" i="3"/>
  <c r="A11" i="3"/>
  <c r="K10" i="3"/>
  <c r="L10" i="3" s="1"/>
  <c r="N10" i="3" s="1"/>
  <c r="E10" i="3"/>
  <c r="D10" i="3"/>
  <c r="C10" i="3"/>
  <c r="B10" i="3"/>
  <c r="A10" i="3"/>
  <c r="K9" i="3"/>
  <c r="L9" i="3" s="1"/>
  <c r="N9" i="3" s="1"/>
  <c r="E9" i="3"/>
  <c r="D9" i="3"/>
  <c r="C9" i="3"/>
  <c r="B9" i="3"/>
  <c r="A9" i="3"/>
  <c r="K8" i="3"/>
  <c r="L8" i="3" s="1"/>
  <c r="E8" i="3"/>
  <c r="G8" i="3" s="1"/>
  <c r="H8" i="3" s="1"/>
  <c r="D8" i="3"/>
  <c r="C8" i="3"/>
  <c r="B8" i="3"/>
  <c r="A8" i="3"/>
  <c r="K7" i="3"/>
  <c r="L7" i="3" s="1"/>
  <c r="E7" i="3"/>
  <c r="G7" i="3" s="1"/>
  <c r="H7" i="3" s="1"/>
  <c r="D7" i="3"/>
  <c r="C7" i="3"/>
  <c r="B7" i="3"/>
  <c r="A7" i="3"/>
  <c r="K6" i="3"/>
  <c r="L6" i="3" s="1"/>
  <c r="E6" i="3"/>
  <c r="D6" i="3"/>
  <c r="C6" i="3"/>
  <c r="B6" i="3"/>
  <c r="A6" i="3"/>
  <c r="K5" i="3"/>
  <c r="L5" i="3" s="1"/>
  <c r="E5" i="3"/>
  <c r="G5" i="3" s="1"/>
  <c r="H5" i="3" s="1"/>
  <c r="D5" i="3"/>
  <c r="C5" i="3"/>
  <c r="B5" i="3"/>
  <c r="A5" i="3"/>
  <c r="K4" i="3"/>
  <c r="L4" i="3" s="1"/>
  <c r="E4" i="3"/>
  <c r="G4" i="3" s="1"/>
  <c r="H4" i="3" s="1"/>
  <c r="C4" i="3"/>
  <c r="B4" i="3"/>
  <c r="A4" i="3"/>
  <c r="G39" i="3" l="1"/>
  <c r="H39" i="3" s="1"/>
  <c r="M39" i="3" s="1"/>
  <c r="H43" i="3"/>
  <c r="G43" i="3"/>
  <c r="G47" i="3"/>
  <c r="H47" i="3" s="1"/>
  <c r="M47" i="3" s="1"/>
  <c r="H49" i="3"/>
  <c r="J49" i="3" s="1"/>
  <c r="G49" i="3"/>
  <c r="H107" i="3"/>
  <c r="M107" i="3" s="1"/>
  <c r="G107" i="3"/>
  <c r="G53" i="3"/>
  <c r="H53" i="3" s="1"/>
  <c r="M53" i="3" s="1"/>
  <c r="G55" i="3"/>
  <c r="H55" i="3" s="1"/>
  <c r="M55" i="3" s="1"/>
  <c r="G67" i="3"/>
  <c r="H67" i="3" s="1"/>
  <c r="M67" i="3" s="1"/>
  <c r="H72" i="3"/>
  <c r="M72" i="3" s="1"/>
  <c r="G72" i="3"/>
  <c r="G95" i="3"/>
  <c r="H95" i="3" s="1"/>
  <c r="M95" i="3" s="1"/>
  <c r="H99" i="3"/>
  <c r="M99" i="3" s="1"/>
  <c r="G99" i="3"/>
  <c r="G101" i="3"/>
  <c r="H101" i="3" s="1"/>
  <c r="M101" i="3" s="1"/>
  <c r="H10" i="3"/>
  <c r="M10" i="3" s="1"/>
  <c r="G10" i="3"/>
  <c r="G12" i="3"/>
  <c r="H12" i="3" s="1"/>
  <c r="M12" i="3" s="1"/>
  <c r="H14" i="3"/>
  <c r="M14" i="3" s="1"/>
  <c r="G14" i="3"/>
  <c r="G20" i="3"/>
  <c r="H20" i="3" s="1"/>
  <c r="M20" i="3" s="1"/>
  <c r="G38" i="3"/>
  <c r="H38" i="3" s="1"/>
  <c r="M38" i="3" s="1"/>
  <c r="H42" i="3"/>
  <c r="M42" i="3" s="1"/>
  <c r="G42" i="3"/>
  <c r="H44" i="3"/>
  <c r="M44" i="3" s="1"/>
  <c r="G44" i="3"/>
  <c r="H48" i="3"/>
  <c r="M48" i="3" s="1"/>
  <c r="G48" i="3"/>
  <c r="G50" i="3"/>
  <c r="H50" i="3" s="1"/>
  <c r="M50" i="3" s="1"/>
  <c r="G63" i="3"/>
  <c r="H63" i="3" s="1"/>
  <c r="M63" i="3" s="1"/>
  <c r="G65" i="3"/>
  <c r="H65" i="3" s="1"/>
  <c r="M65" i="3" s="1"/>
  <c r="G108" i="3"/>
  <c r="H108" i="3" s="1"/>
  <c r="M108" i="3" s="1"/>
  <c r="H9" i="3"/>
  <c r="M9" i="3" s="1"/>
  <c r="G9" i="3"/>
  <c r="G11" i="3"/>
  <c r="H11" i="3" s="1"/>
  <c r="M11" i="3" s="1"/>
  <c r="G13" i="3"/>
  <c r="H13" i="3" s="1"/>
  <c r="M13" i="3" s="1"/>
  <c r="H15" i="3"/>
  <c r="M15" i="3" s="1"/>
  <c r="G15" i="3"/>
  <c r="G61" i="3"/>
  <c r="H61" i="3" s="1"/>
  <c r="M61" i="3" s="1"/>
  <c r="G64" i="3"/>
  <c r="H64" i="3" s="1"/>
  <c r="M64" i="3" s="1"/>
  <c r="G25" i="3"/>
  <c r="H25" i="3" s="1"/>
  <c r="M25" i="3" s="1"/>
  <c r="H29" i="3"/>
  <c r="M29" i="3" s="1"/>
  <c r="G29" i="3"/>
  <c r="G32" i="3"/>
  <c r="H32" i="3" s="1"/>
  <c r="M32" i="3" s="1"/>
  <c r="G24" i="3"/>
  <c r="H24" i="3" s="1"/>
  <c r="M24" i="3" s="1"/>
  <c r="G26" i="3"/>
  <c r="H26" i="3" s="1"/>
  <c r="M26" i="3" s="1"/>
  <c r="H30" i="3"/>
  <c r="M30" i="3" s="1"/>
  <c r="G30" i="3"/>
  <c r="G52" i="3"/>
  <c r="H52" i="3" s="1"/>
  <c r="M52" i="3" s="1"/>
  <c r="G54" i="3"/>
  <c r="H54" i="3" s="1"/>
  <c r="M54" i="3" s="1"/>
  <c r="H71" i="3"/>
  <c r="M71" i="3" s="1"/>
  <c r="G71" i="3"/>
  <c r="H74" i="3"/>
  <c r="M74" i="3" s="1"/>
  <c r="G74" i="3"/>
  <c r="G96" i="3"/>
  <c r="H96" i="3" s="1"/>
  <c r="M96" i="3" s="1"/>
  <c r="H100" i="3"/>
  <c r="M100" i="3" s="1"/>
  <c r="G100" i="3"/>
  <c r="H66" i="3"/>
  <c r="M66" i="3" s="1"/>
  <c r="G6" i="3"/>
  <c r="H6" i="3" s="1"/>
  <c r="M6" i="3" s="1"/>
  <c r="M43" i="3"/>
  <c r="M104" i="3"/>
  <c r="N20" i="3"/>
  <c r="N63" i="3"/>
  <c r="N65" i="3"/>
  <c r="N25" i="3"/>
  <c r="N32" i="3"/>
  <c r="N52" i="3"/>
  <c r="N54" i="3"/>
  <c r="N96" i="3"/>
  <c r="N104" i="3"/>
  <c r="N108" i="3"/>
  <c r="N6" i="3"/>
  <c r="N14" i="3"/>
  <c r="N39" i="3"/>
  <c r="N47" i="3"/>
  <c r="N5" i="3"/>
  <c r="N38" i="3"/>
  <c r="N61" i="3"/>
  <c r="N64" i="3"/>
  <c r="N4" i="3"/>
  <c r="N8" i="3"/>
  <c r="N12" i="3"/>
  <c r="N50" i="3"/>
  <c r="N7" i="3"/>
  <c r="N11" i="3"/>
  <c r="N13" i="3"/>
  <c r="N15" i="3"/>
  <c r="N24" i="3"/>
  <c r="N26" i="3"/>
  <c r="N29" i="3"/>
  <c r="N30" i="3"/>
  <c r="N53" i="3"/>
  <c r="N55" i="3"/>
  <c r="N67" i="3"/>
  <c r="N95" i="3"/>
  <c r="N101" i="3"/>
  <c r="M4" i="3"/>
  <c r="M5" i="3"/>
  <c r="M7" i="3"/>
  <c r="M8" i="3"/>
  <c r="K3" i="3"/>
  <c r="F39" i="7" s="1"/>
  <c r="M49" i="3" l="1"/>
  <c r="O49" i="3" s="1"/>
  <c r="J72" i="3"/>
  <c r="D59" i="7"/>
  <c r="D51" i="7"/>
  <c r="F51" i="7"/>
  <c r="H51" i="7"/>
  <c r="F45" i="7"/>
  <c r="F44" i="7"/>
  <c r="D50" i="7"/>
  <c r="D46" i="7"/>
  <c r="F46" i="7"/>
  <c r="D45" i="7"/>
  <c r="D44" i="7"/>
  <c r="F50" i="7"/>
  <c r="F57" i="7"/>
  <c r="F52" i="7"/>
  <c r="F66" i="7" s="1"/>
  <c r="F36" i="7"/>
  <c r="F33" i="7"/>
  <c r="F61" i="7"/>
  <c r="F55" i="7"/>
  <c r="F49" i="7"/>
  <c r="F37" i="7"/>
  <c r="F58" i="7"/>
  <c r="F53" i="7"/>
  <c r="F43" i="7"/>
  <c r="F34" i="7"/>
  <c r="F41" i="7"/>
  <c r="F60" i="7"/>
  <c r="F54" i="7"/>
  <c r="F47" i="7"/>
  <c r="F56" i="7"/>
  <c r="F48" i="7"/>
  <c r="F40" i="7"/>
  <c r="F35" i="7"/>
  <c r="F59" i="7"/>
  <c r="F38" i="7"/>
  <c r="H60" i="7"/>
  <c r="D61" i="7"/>
  <c r="D58" i="7"/>
  <c r="D56" i="7"/>
  <c r="D54" i="7"/>
  <c r="D52" i="7"/>
  <c r="D66" i="7" s="1"/>
  <c r="D49" i="7"/>
  <c r="D47" i="7"/>
  <c r="D41" i="7"/>
  <c r="D39" i="7"/>
  <c r="D37" i="7"/>
  <c r="D35" i="7"/>
  <c r="D33" i="7"/>
  <c r="D60" i="7"/>
  <c r="D57" i="7"/>
  <c r="D55" i="7"/>
  <c r="D53" i="7"/>
  <c r="D48" i="7"/>
  <c r="D43" i="7"/>
  <c r="D40" i="7"/>
  <c r="D38" i="7"/>
  <c r="D36" i="7"/>
  <c r="D34" i="7"/>
  <c r="L3" i="3"/>
  <c r="H48" i="7"/>
  <c r="O72" i="3"/>
  <c r="O71" i="3"/>
  <c r="J71" i="3"/>
  <c r="O48" i="3"/>
  <c r="J48" i="3"/>
  <c r="O107" i="3"/>
  <c r="J107" i="3"/>
  <c r="O100" i="3"/>
  <c r="J100" i="3"/>
  <c r="O99" i="3"/>
  <c r="J99" i="3"/>
  <c r="O44" i="3"/>
  <c r="J44" i="3"/>
  <c r="O43" i="3"/>
  <c r="J43" i="3"/>
  <c r="O74" i="3"/>
  <c r="J74" i="3"/>
  <c r="O42" i="3"/>
  <c r="J42" i="3"/>
  <c r="O10" i="3"/>
  <c r="J10" i="3"/>
  <c r="J9" i="3"/>
  <c r="O9" i="3"/>
  <c r="E51" i="7" l="1"/>
  <c r="G51" i="7" s="1"/>
  <c r="E50" i="7"/>
  <c r="G50" i="7" s="1"/>
  <c r="E46" i="7"/>
  <c r="G46" i="7" s="1"/>
  <c r="E44" i="7"/>
  <c r="G44" i="7" s="1"/>
  <c r="E45" i="7"/>
  <c r="G45" i="7" s="1"/>
  <c r="N3" i="3"/>
  <c r="E3" i="3"/>
  <c r="G3" i="3" s="1"/>
  <c r="D3" i="3"/>
  <c r="C3" i="3"/>
  <c r="B3" i="3"/>
  <c r="A3" i="3"/>
  <c r="H3" i="3" l="1"/>
  <c r="G116" i="3"/>
  <c r="G248" i="3" s="1"/>
  <c r="G292" i="3" s="1"/>
  <c r="F116" i="3"/>
  <c r="M3" i="3" l="1"/>
  <c r="H116" i="3"/>
  <c r="N293" i="2"/>
  <c r="N292" i="2"/>
  <c r="O293" i="2" l="1"/>
  <c r="P293" i="2" s="1"/>
  <c r="N289" i="2"/>
  <c r="O289" i="2" s="1"/>
  <c r="O292" i="2"/>
  <c r="P292" i="2" l="1"/>
  <c r="P289" i="2"/>
  <c r="E91" i="6" l="1"/>
  <c r="E86" i="6"/>
  <c r="E93" i="6"/>
  <c r="E101" i="6"/>
  <c r="E98" i="6"/>
  <c r="G98" i="6" s="1"/>
  <c r="I282" i="2"/>
  <c r="E103" i="6" l="1"/>
  <c r="G103" i="6" s="1"/>
  <c r="E108" i="6"/>
  <c r="E105" i="6"/>
  <c r="G105" i="6" s="1"/>
  <c r="E102" i="6"/>
  <c r="E90" i="6"/>
  <c r="E107" i="6"/>
  <c r="E110" i="6"/>
  <c r="E112" i="6"/>
  <c r="E113" i="6"/>
  <c r="E92" i="6"/>
  <c r="E89" i="6"/>
  <c r="E88" i="6"/>
  <c r="J119" i="3" l="1"/>
  <c r="J120" i="3"/>
  <c r="J121" i="3"/>
  <c r="J124" i="3"/>
  <c r="J118" i="3"/>
  <c r="N126" i="2"/>
  <c r="N125" i="2"/>
  <c r="J129" i="3" l="1"/>
  <c r="J117" i="3"/>
  <c r="O120" i="2"/>
  <c r="O126" i="2"/>
  <c r="P126" i="2" s="1"/>
  <c r="O125" i="2"/>
  <c r="P125" i="2" s="1"/>
  <c r="E42" i="6"/>
  <c r="G42" i="6" s="1"/>
  <c r="N64" i="2"/>
  <c r="N51" i="2"/>
  <c r="E40" i="6"/>
  <c r="G40" i="6" s="1"/>
  <c r="E52" i="6" l="1"/>
  <c r="E41" i="6"/>
  <c r="G41" i="6" s="1"/>
  <c r="E51" i="6"/>
  <c r="E36" i="6"/>
  <c r="E54" i="6"/>
  <c r="E35" i="6"/>
  <c r="E34" i="6"/>
  <c r="E32" i="6"/>
  <c r="E33" i="6"/>
  <c r="E48" i="6"/>
  <c r="P120" i="2"/>
  <c r="E45" i="6"/>
  <c r="O80" i="2"/>
  <c r="P80" i="2" s="1"/>
  <c r="O83" i="2"/>
  <c r="O86" i="2"/>
  <c r="P86" i="2" s="1"/>
  <c r="O88" i="2"/>
  <c r="P88" i="2" s="1"/>
  <c r="O89" i="2"/>
  <c r="P89" i="2" s="1"/>
  <c r="O90" i="2"/>
  <c r="P90" i="2" s="1"/>
  <c r="O91" i="2"/>
  <c r="P91" i="2" s="1"/>
  <c r="E39" i="6"/>
  <c r="E31" i="6"/>
  <c r="E57" i="6"/>
  <c r="E53" i="6"/>
  <c r="E43" i="6"/>
  <c r="O51" i="2"/>
  <c r="P51" i="2" s="1"/>
  <c r="N30" i="2"/>
  <c r="O64" i="2"/>
  <c r="P64" i="2" s="1"/>
  <c r="E55" i="6" l="1"/>
  <c r="E50" i="6"/>
  <c r="E46" i="6"/>
  <c r="G46" i="6" s="1"/>
  <c r="P83" i="2"/>
  <c r="H57" i="6"/>
  <c r="G48" i="6"/>
  <c r="E49" i="6"/>
  <c r="O30" i="2"/>
  <c r="J282" i="2" l="1"/>
  <c r="P30" i="2"/>
  <c r="G26" i="2"/>
  <c r="E75" i="6" l="1"/>
  <c r="E77" i="6"/>
  <c r="E82" i="6"/>
  <c r="E80" i="6"/>
  <c r="I18" i="2"/>
  <c r="I27" i="2" s="1"/>
  <c r="G18" i="2"/>
  <c r="G75" i="6" l="1"/>
  <c r="J26" i="2"/>
  <c r="J3" i="3"/>
  <c r="E76" i="6"/>
  <c r="M26" i="2"/>
  <c r="G27" i="2"/>
  <c r="G283" i="2" s="1"/>
  <c r="N19" i="2"/>
  <c r="E17" i="6" l="1"/>
  <c r="G17" i="6" s="1"/>
  <c r="E7" i="6"/>
  <c r="O3" i="3"/>
  <c r="J18" i="2"/>
  <c r="J27" i="2" s="1"/>
  <c r="F27" i="2"/>
  <c r="F283" i="2" s="1"/>
  <c r="F284" i="2" l="1"/>
  <c r="F285" i="2" s="1"/>
  <c r="M18" i="2"/>
  <c r="M27" i="2" s="1"/>
  <c r="F296" i="2" l="1"/>
  <c r="D24" i="7"/>
  <c r="J283" i="2"/>
  <c r="I283" i="2"/>
  <c r="H247" i="3" l="1"/>
  <c r="D25" i="7"/>
  <c r="F286" i="2"/>
  <c r="F288" i="2" s="1"/>
  <c r="F295" i="2" s="1"/>
  <c r="J284" i="2"/>
  <c r="M247" i="3" l="1"/>
  <c r="F297" i="2"/>
  <c r="J285" i="2"/>
  <c r="J286" i="2" s="1"/>
  <c r="H16" i="7" l="1"/>
  <c r="H21" i="7"/>
  <c r="J288" i="2"/>
  <c r="C108" i="8" l="1"/>
  <c r="C107" i="8"/>
  <c r="C106" i="8"/>
  <c r="C105" i="8" l="1"/>
  <c r="C104" i="8"/>
  <c r="C103" i="8" l="1"/>
  <c r="C100" i="8" l="1"/>
  <c r="C99" i="8"/>
  <c r="C86" i="8"/>
  <c r="C84" i="8" l="1"/>
  <c r="C83" i="8"/>
  <c r="C82" i="8"/>
  <c r="C76" i="8"/>
  <c r="C74" i="8" l="1"/>
  <c r="C73" i="8"/>
  <c r="C56" i="8"/>
  <c r="C54" i="8"/>
  <c r="C53" i="8"/>
  <c r="C47" i="8"/>
  <c r="C46" i="8"/>
  <c r="C38" i="8" l="1"/>
  <c r="C37" i="8"/>
  <c r="C36" i="8"/>
  <c r="C28" i="8" l="1"/>
  <c r="C27" i="8"/>
  <c r="C11" i="8" l="1"/>
  <c r="C10" i="8"/>
  <c r="E61" i="7" l="1"/>
  <c r="C61" i="7"/>
  <c r="C60" i="7"/>
  <c r="C59" i="7"/>
  <c r="C58" i="7"/>
  <c r="C57" i="7"/>
  <c r="C56" i="7"/>
  <c r="C55" i="7"/>
  <c r="C54" i="7"/>
  <c r="C53" i="7"/>
  <c r="C52" i="7"/>
  <c r="C49" i="7"/>
  <c r="C48" i="7"/>
  <c r="C47" i="7"/>
  <c r="C43" i="7"/>
  <c r="E56" i="7" l="1"/>
  <c r="E48" i="7"/>
  <c r="G48" i="7" s="1"/>
  <c r="E49" i="7"/>
  <c r="G49" i="7" s="1"/>
  <c r="E60" i="7"/>
  <c r="G60" i="7" s="1"/>
  <c r="E47" i="7"/>
  <c r="G47" i="7" s="1"/>
  <c r="E53" i="7"/>
  <c r="G53" i="7" s="1"/>
  <c r="C41" i="7"/>
  <c r="C40" i="7"/>
  <c r="C39" i="7"/>
  <c r="C38" i="7"/>
  <c r="C37" i="7"/>
  <c r="C36" i="7"/>
  <c r="C35" i="7"/>
  <c r="C34" i="7"/>
  <c r="F42" i="7" l="1"/>
  <c r="D42" i="7"/>
  <c r="C33" i="7"/>
  <c r="C31" i="7" l="1"/>
  <c r="C30" i="7"/>
  <c r="C29" i="7"/>
  <c r="C28" i="7"/>
  <c r="C27" i="7"/>
  <c r="C26" i="7"/>
  <c r="E26" i="7" l="1"/>
  <c r="G26" i="7" s="1"/>
  <c r="E28" i="7"/>
  <c r="G28" i="7" s="1"/>
  <c r="E30" i="7"/>
  <c r="E31" i="7"/>
  <c r="G31" i="7" s="1"/>
  <c r="C25" i="7"/>
  <c r="C24" i="7"/>
  <c r="C23" i="7"/>
  <c r="C22" i="7"/>
  <c r="C19" i="7"/>
  <c r="C18" i="7"/>
  <c r="C17" i="7"/>
  <c r="C13" i="7"/>
  <c r="C11" i="7"/>
  <c r="C10" i="7"/>
  <c r="C9" i="7"/>
  <c r="C8" i="7"/>
  <c r="C7" i="7"/>
  <c r="C6" i="7"/>
  <c r="C5" i="7"/>
  <c r="C4" i="7"/>
  <c r="C3" i="7"/>
  <c r="C96" i="6"/>
  <c r="F12" i="7" l="1"/>
  <c r="G96" i="6"/>
  <c r="G100" i="6"/>
  <c r="G111" i="6"/>
  <c r="G114" i="6"/>
  <c r="E4" i="7"/>
  <c r="G4" i="7" s="1"/>
  <c r="E23" i="7"/>
  <c r="G23" i="7" s="1"/>
  <c r="E13" i="7"/>
  <c r="G13" i="7" s="1"/>
  <c r="E11" i="7"/>
  <c r="G11" i="7" s="1"/>
  <c r="E17" i="7"/>
  <c r="G17" i="7" s="1"/>
  <c r="G106" i="6"/>
  <c r="G109" i="6"/>
  <c r="E18" i="7"/>
  <c r="D12" i="7"/>
  <c r="C87" i="6"/>
  <c r="C86" i="6"/>
  <c r="C84" i="6"/>
  <c r="C83" i="6"/>
  <c r="D95" i="6" l="1"/>
  <c r="F95" i="6"/>
  <c r="G83" i="6"/>
  <c r="G84" i="6"/>
  <c r="G87" i="6"/>
  <c r="G94" i="6"/>
  <c r="D32" i="7"/>
  <c r="G81" i="6" l="1"/>
  <c r="E95" i="6"/>
  <c r="E115" i="6" s="1"/>
  <c r="D115" i="6" s="1"/>
  <c r="G86" i="6"/>
  <c r="G79" i="6" l="1"/>
  <c r="G78" i="6"/>
  <c r="C70" i="6"/>
  <c r="C63" i="6"/>
  <c r="C62" i="6"/>
  <c r="C61" i="6"/>
  <c r="C60" i="6"/>
  <c r="G61" i="6" l="1"/>
  <c r="G63" i="6"/>
  <c r="G65" i="6"/>
  <c r="G67" i="6"/>
  <c r="G72" i="6"/>
  <c r="G62" i="6"/>
  <c r="G66" i="6"/>
  <c r="G71" i="6"/>
  <c r="G73" i="6"/>
  <c r="G64" i="6"/>
  <c r="D69" i="6"/>
  <c r="D85" i="6" s="1"/>
  <c r="G68" i="6"/>
  <c r="F69" i="6"/>
  <c r="F85" i="6" s="1"/>
  <c r="H69" i="6"/>
  <c r="G70" i="6"/>
  <c r="C57" i="6"/>
  <c r="C39" i="6"/>
  <c r="C37" i="6"/>
  <c r="C36" i="6"/>
  <c r="C35" i="6"/>
  <c r="C30" i="6"/>
  <c r="F29" i="6"/>
  <c r="C29" i="6"/>
  <c r="E27" i="6"/>
  <c r="C27" i="6"/>
  <c r="E26" i="6"/>
  <c r="C26" i="6"/>
  <c r="E25" i="6"/>
  <c r="E24" i="6"/>
  <c r="E23" i="6"/>
  <c r="E22" i="6"/>
  <c r="E21" i="6"/>
  <c r="E20" i="6"/>
  <c r="E19" i="6"/>
  <c r="E18" i="6"/>
  <c r="E16" i="6"/>
  <c r="E15" i="6"/>
  <c r="E14" i="6"/>
  <c r="E13" i="6"/>
  <c r="C13" i="6"/>
  <c r="C11" i="6"/>
  <c r="C10" i="6"/>
  <c r="C9" i="6"/>
  <c r="F3" i="6"/>
  <c r="C3" i="6"/>
  <c r="G18" i="6" l="1"/>
  <c r="G120" i="6" s="1"/>
  <c r="E120" i="6"/>
  <c r="E29" i="6"/>
  <c r="F12" i="6"/>
  <c r="D38" i="6"/>
  <c r="F38" i="6"/>
  <c r="G44" i="6"/>
  <c r="G56" i="6"/>
  <c r="G37" i="6"/>
  <c r="G45" i="6"/>
  <c r="G6" i="6"/>
  <c r="G9" i="6"/>
  <c r="G11" i="6"/>
  <c r="G14" i="6"/>
  <c r="G16" i="6"/>
  <c r="G22" i="6"/>
  <c r="G24" i="6"/>
  <c r="G26" i="6"/>
  <c r="G8" i="6"/>
  <c r="G10" i="6"/>
  <c r="G13" i="6"/>
  <c r="G15" i="6"/>
  <c r="G21" i="6"/>
  <c r="G23" i="6"/>
  <c r="G27" i="6"/>
  <c r="E69" i="6"/>
  <c r="G60" i="6"/>
  <c r="E3" i="6"/>
  <c r="G3" i="6" s="1"/>
  <c r="G4" i="6"/>
  <c r="G5" i="6"/>
  <c r="D12" i="6"/>
  <c r="D28" i="6" s="1"/>
  <c r="D116" i="6"/>
  <c r="G30" i="6"/>
  <c r="G69" i="6" l="1"/>
  <c r="E38" i="6"/>
  <c r="E58" i="6" s="1"/>
  <c r="G29" i="6"/>
  <c r="E12" i="6"/>
  <c r="G31" i="6"/>
  <c r="G32" i="6"/>
  <c r="G33" i="6"/>
  <c r="G34" i="6"/>
  <c r="G35" i="6"/>
  <c r="G36" i="6"/>
  <c r="G76" i="6"/>
  <c r="G82" i="6"/>
  <c r="G77" i="6"/>
  <c r="G80" i="6"/>
  <c r="G88" i="6"/>
  <c r="G89" i="6"/>
  <c r="G90" i="6"/>
  <c r="G91" i="6"/>
  <c r="G92" i="6"/>
  <c r="G93" i="6"/>
  <c r="G101" i="6"/>
  <c r="G102" i="6"/>
  <c r="G107" i="6"/>
  <c r="G108" i="6"/>
  <c r="G110" i="6"/>
  <c r="G112" i="6"/>
  <c r="G113" i="6"/>
  <c r="F115" i="6"/>
  <c r="F116" i="6" s="1"/>
  <c r="G7" i="6"/>
  <c r="G12" i="6" s="1"/>
  <c r="G20" i="6"/>
  <c r="G25" i="6"/>
  <c r="F28" i="6"/>
  <c r="D58" i="6"/>
  <c r="N92" i="2"/>
  <c r="N38" i="2"/>
  <c r="N78" i="2"/>
  <c r="N121" i="2"/>
  <c r="N63" i="2"/>
  <c r="O63" i="2" s="1"/>
  <c r="P63" i="2" s="1"/>
  <c r="N45" i="2"/>
  <c r="N49" i="2"/>
  <c r="N50" i="2"/>
  <c r="N37" i="2"/>
  <c r="N31" i="2"/>
  <c r="O31" i="2" s="1"/>
  <c r="N34" i="2"/>
  <c r="N35" i="2"/>
  <c r="N39" i="2"/>
  <c r="N40" i="2"/>
  <c r="N54" i="2"/>
  <c r="N55" i="2"/>
  <c r="N67" i="2"/>
  <c r="N68" i="2"/>
  <c r="N69" i="2"/>
  <c r="N73" i="2"/>
  <c r="N74" i="2"/>
  <c r="N79" i="2"/>
  <c r="N96" i="2"/>
  <c r="N97" i="2"/>
  <c r="N124" i="2"/>
  <c r="N132" i="2"/>
  <c r="N29" i="2"/>
  <c r="N133" i="2"/>
  <c r="N57" i="2"/>
  <c r="N72" i="2"/>
  <c r="N75" i="2"/>
  <c r="N33" i="2"/>
  <c r="N32" i="2"/>
  <c r="N36" i="2"/>
  <c r="N28" i="2"/>
  <c r="N77" i="2"/>
  <c r="N129" i="2"/>
  <c r="G39" i="6"/>
  <c r="G43" i="6"/>
  <c r="G49" i="6"/>
  <c r="G50" i="6"/>
  <c r="G51" i="6"/>
  <c r="G52" i="6"/>
  <c r="G53" i="6"/>
  <c r="G54" i="6"/>
  <c r="G55" i="6"/>
  <c r="G57" i="6"/>
  <c r="F58" i="6"/>
  <c r="O19" i="2"/>
  <c r="H80" i="6"/>
  <c r="N159" i="2"/>
  <c r="N163" i="2"/>
  <c r="N169" i="2"/>
  <c r="N165" i="2"/>
  <c r="N167" i="2"/>
  <c r="N168" i="2"/>
  <c r="N154" i="2"/>
  <c r="N162" i="2"/>
  <c r="N152" i="2"/>
  <c r="N164" i="2"/>
  <c r="N156" i="2"/>
  <c r="N157" i="2"/>
  <c r="N155" i="2"/>
  <c r="N158" i="2"/>
  <c r="N153" i="2"/>
  <c r="N17" i="2"/>
  <c r="O17" i="2" s="1"/>
  <c r="N8" i="2"/>
  <c r="O8" i="2" s="1"/>
  <c r="N9" i="2"/>
  <c r="O9" i="2" s="1"/>
  <c r="P9" i="2" s="1"/>
  <c r="N4" i="2"/>
  <c r="O4" i="2" s="1"/>
  <c r="H19" i="6" s="1"/>
  <c r="N11" i="2"/>
  <c r="O11" i="2" s="1"/>
  <c r="N16" i="2"/>
  <c r="O16" i="2" s="1"/>
  <c r="P16" i="2" s="1"/>
  <c r="N5" i="2"/>
  <c r="O5" i="2" s="1"/>
  <c r="D62" i="7"/>
  <c r="G18" i="7"/>
  <c r="O124" i="3"/>
  <c r="G56" i="7"/>
  <c r="G61" i="7"/>
  <c r="F62" i="7"/>
  <c r="O119" i="3"/>
  <c r="O118" i="3"/>
  <c r="H30" i="7" s="1"/>
  <c r="G30" i="7"/>
  <c r="O129" i="3"/>
  <c r="H15" i="7" s="1"/>
  <c r="O121" i="3"/>
  <c r="O120" i="3"/>
  <c r="F32" i="7"/>
  <c r="N151" i="2" l="1"/>
  <c r="N281" i="2"/>
  <c r="H17" i="6"/>
  <c r="D59" i="6"/>
  <c r="D117" i="6" s="1"/>
  <c r="D121" i="6" s="1"/>
  <c r="D63" i="7"/>
  <c r="D67" i="7" s="1"/>
  <c r="H18" i="6"/>
  <c r="H76" i="6"/>
  <c r="H25" i="6"/>
  <c r="H20" i="6"/>
  <c r="H82" i="6"/>
  <c r="H75" i="6"/>
  <c r="H43" i="6"/>
  <c r="E59" i="7"/>
  <c r="G59" i="7" s="1"/>
  <c r="J47" i="3"/>
  <c r="O53" i="3"/>
  <c r="E19" i="7"/>
  <c r="G19" i="7" s="1"/>
  <c r="E29" i="7"/>
  <c r="G29" i="7" s="1"/>
  <c r="E22" i="7"/>
  <c r="G22" i="7" s="1"/>
  <c r="E58" i="7"/>
  <c r="G58" i="7" s="1"/>
  <c r="J95" i="3"/>
  <c r="E55" i="7"/>
  <c r="G55" i="7" s="1"/>
  <c r="J32" i="3"/>
  <c r="E43" i="7"/>
  <c r="G43" i="7" s="1"/>
  <c r="O127" i="3"/>
  <c r="H20" i="7" s="1"/>
  <c r="O29" i="3"/>
  <c r="J29" i="3"/>
  <c r="J14" i="3"/>
  <c r="O14" i="3"/>
  <c r="E9" i="7"/>
  <c r="G9" i="7" s="1"/>
  <c r="J15" i="3"/>
  <c r="O15" i="3"/>
  <c r="N26" i="2"/>
  <c r="N116" i="3"/>
  <c r="E7" i="7"/>
  <c r="G7" i="7" s="1"/>
  <c r="E24" i="7"/>
  <c r="G24" i="7" s="1"/>
  <c r="E3" i="7"/>
  <c r="G3" i="7" s="1"/>
  <c r="E25" i="7"/>
  <c r="G25" i="7" s="1"/>
  <c r="E27" i="7"/>
  <c r="G27" i="7" s="1"/>
  <c r="O117" i="3"/>
  <c r="E8" i="7"/>
  <c r="G8" i="7" s="1"/>
  <c r="O54" i="3"/>
  <c r="J54" i="3"/>
  <c r="O52" i="3"/>
  <c r="O28" i="2"/>
  <c r="O12" i="3"/>
  <c r="O25" i="3"/>
  <c r="O20" i="3"/>
  <c r="O11" i="3"/>
  <c r="E54" i="7"/>
  <c r="G54" i="7" s="1"/>
  <c r="O38" i="3"/>
  <c r="O65" i="3"/>
  <c r="O134" i="3"/>
  <c r="E5" i="7"/>
  <c r="G5" i="7" s="1"/>
  <c r="O58" i="3"/>
  <c r="O7" i="3"/>
  <c r="O8" i="3"/>
  <c r="O6" i="3"/>
  <c r="O5" i="3"/>
  <c r="E57" i="7"/>
  <c r="G57" i="7" s="1"/>
  <c r="J26" i="3"/>
  <c r="O64" i="3"/>
  <c r="O96" i="3"/>
  <c r="O66" i="3"/>
  <c r="O13" i="3"/>
  <c r="H43" i="7" s="1"/>
  <c r="E10" i="7"/>
  <c r="G10" i="7" s="1"/>
  <c r="P11" i="2"/>
  <c r="P8" i="2"/>
  <c r="F59" i="6"/>
  <c r="F117" i="6" s="1"/>
  <c r="F121" i="6" s="1"/>
  <c r="P19" i="2"/>
  <c r="O157" i="2"/>
  <c r="P157" i="2" s="1"/>
  <c r="O152" i="2"/>
  <c r="O169" i="2"/>
  <c r="P169" i="2" s="1"/>
  <c r="O139" i="3"/>
  <c r="H28" i="7" s="1"/>
  <c r="J139" i="3"/>
  <c r="N18" i="2"/>
  <c r="F63" i="7"/>
  <c r="F67" i="7" s="1"/>
  <c r="O74" i="2"/>
  <c r="P74" i="2" s="1"/>
  <c r="O49" i="2"/>
  <c r="P49" i="2" s="1"/>
  <c r="O92" i="2"/>
  <c r="O153" i="2"/>
  <c r="O162" i="2"/>
  <c r="P162" i="2" s="1"/>
  <c r="O168" i="2"/>
  <c r="P168" i="2" s="1"/>
  <c r="O165" i="2"/>
  <c r="O75" i="2"/>
  <c r="O72" i="2"/>
  <c r="O57" i="2"/>
  <c r="H31" i="6" s="1"/>
  <c r="O96" i="2"/>
  <c r="P96" i="2" s="1"/>
  <c r="O79" i="2"/>
  <c r="P79" i="2" s="1"/>
  <c r="H12" i="6"/>
  <c r="P17" i="2"/>
  <c r="O155" i="2"/>
  <c r="O77" i="2"/>
  <c r="P77" i="2" s="1"/>
  <c r="O68" i="2"/>
  <c r="P68" i="2" s="1"/>
  <c r="O55" i="2"/>
  <c r="O54" i="2"/>
  <c r="P54" i="2" s="1"/>
  <c r="O37" i="2"/>
  <c r="O78" i="2"/>
  <c r="O159" i="2"/>
  <c r="O36" i="2"/>
  <c r="O32" i="2"/>
  <c r="O132" i="2"/>
  <c r="P132" i="2" s="1"/>
  <c r="O124" i="2"/>
  <c r="P124" i="2" s="1"/>
  <c r="O69" i="2"/>
  <c r="P69" i="2" s="1"/>
  <c r="O39" i="2"/>
  <c r="P39" i="2" s="1"/>
  <c r="O35" i="2"/>
  <c r="P35" i="2" s="1"/>
  <c r="O45" i="2"/>
  <c r="O121" i="2"/>
  <c r="P121" i="2" s="1"/>
  <c r="O38" i="2"/>
  <c r="H39" i="6" s="1"/>
  <c r="O67" i="3"/>
  <c r="J67" i="3"/>
  <c r="O158" i="2"/>
  <c r="P158" i="2" s="1"/>
  <c r="O164" i="2"/>
  <c r="H98" i="6" s="1"/>
  <c r="O154" i="2"/>
  <c r="O167" i="2"/>
  <c r="P167" i="2" s="1"/>
  <c r="O129" i="2"/>
  <c r="O133" i="2"/>
  <c r="P133" i="2" s="1"/>
  <c r="O97" i="2"/>
  <c r="P97" i="2" s="1"/>
  <c r="O73" i="2"/>
  <c r="P73" i="2" s="1"/>
  <c r="O34" i="2"/>
  <c r="O40" i="2"/>
  <c r="P40" i="2" s="1"/>
  <c r="O50" i="2"/>
  <c r="O67" i="2"/>
  <c r="P67" i="2" s="1"/>
  <c r="O163" i="2"/>
  <c r="P163" i="2" s="1"/>
  <c r="O156" i="2"/>
  <c r="G95" i="6"/>
  <c r="G115" i="6" s="1"/>
  <c r="O33" i="2"/>
  <c r="H53" i="6" s="1"/>
  <c r="O29" i="2"/>
  <c r="G38" i="6"/>
  <c r="G58" i="6" s="1"/>
  <c r="E85" i="6"/>
  <c r="E116" i="6" s="1"/>
  <c r="E28" i="6"/>
  <c r="E59" i="6" s="1"/>
  <c r="G19" i="6"/>
  <c r="G28" i="6" s="1"/>
  <c r="P5" i="2"/>
  <c r="O18" i="2"/>
  <c r="P4" i="2"/>
  <c r="P31" i="2"/>
  <c r="O108" i="3"/>
  <c r="J108" i="3"/>
  <c r="O61" i="3"/>
  <c r="J61" i="3"/>
  <c r="O104" i="3"/>
  <c r="J104" i="3"/>
  <c r="O55" i="3"/>
  <c r="J55" i="3"/>
  <c r="O50" i="3"/>
  <c r="J50" i="3"/>
  <c r="O63" i="3"/>
  <c r="J63" i="3"/>
  <c r="O151" i="2" l="1"/>
  <c r="O281" i="2"/>
  <c r="H59" i="7"/>
  <c r="H44" i="7"/>
  <c r="H50" i="7"/>
  <c r="H56" i="7"/>
  <c r="H103" i="6"/>
  <c r="P129" i="2"/>
  <c r="H46" i="6"/>
  <c r="P36" i="2"/>
  <c r="H40" i="6"/>
  <c r="P75" i="2"/>
  <c r="H42" i="6"/>
  <c r="H52" i="6"/>
  <c r="H41" i="6"/>
  <c r="H29" i="7"/>
  <c r="H25" i="7"/>
  <c r="H110" i="6"/>
  <c r="H49" i="6"/>
  <c r="H36" i="6"/>
  <c r="H107" i="6"/>
  <c r="H48" i="6"/>
  <c r="H33" i="6"/>
  <c r="H35" i="6"/>
  <c r="H54" i="6"/>
  <c r="H102" i="6"/>
  <c r="H34" i="6"/>
  <c r="H112" i="6"/>
  <c r="P72" i="2"/>
  <c r="H51" i="6"/>
  <c r="H105" i="6"/>
  <c r="H32" i="6"/>
  <c r="H108" i="6"/>
  <c r="H54" i="7"/>
  <c r="H47" i="7"/>
  <c r="H49" i="7"/>
  <c r="H45" i="6"/>
  <c r="P55" i="2"/>
  <c r="H29" i="6"/>
  <c r="H50" i="6"/>
  <c r="H113" i="6"/>
  <c r="H55" i="6"/>
  <c r="H77" i="6"/>
  <c r="H61" i="7"/>
  <c r="O47" i="3"/>
  <c r="J53" i="3"/>
  <c r="O32" i="3"/>
  <c r="O95" i="3"/>
  <c r="J127" i="3"/>
  <c r="O26" i="2"/>
  <c r="O27" i="2" s="1"/>
  <c r="P164" i="2"/>
  <c r="P34" i="2"/>
  <c r="P38" i="2"/>
  <c r="P78" i="2"/>
  <c r="P57" i="2"/>
  <c r="O30" i="3"/>
  <c r="H52" i="7" s="1"/>
  <c r="J30" i="3"/>
  <c r="O4" i="3"/>
  <c r="H53" i="7" s="1"/>
  <c r="P28" i="2"/>
  <c r="E52" i="7"/>
  <c r="H8" i="7"/>
  <c r="J25" i="3"/>
  <c r="J38" i="3"/>
  <c r="J20" i="3"/>
  <c r="J11" i="3"/>
  <c r="O26" i="3"/>
  <c r="N282" i="2"/>
  <c r="J134" i="3"/>
  <c r="J52" i="3"/>
  <c r="P165" i="2"/>
  <c r="J12" i="3"/>
  <c r="J8" i="3"/>
  <c r="J58" i="3"/>
  <c r="J13" i="3"/>
  <c r="J6" i="3"/>
  <c r="J64" i="3"/>
  <c r="J123" i="3"/>
  <c r="J5" i="3"/>
  <c r="J7" i="3"/>
  <c r="J96" i="3"/>
  <c r="J65" i="3"/>
  <c r="J66" i="3"/>
  <c r="O101" i="3"/>
  <c r="H57" i="7" s="1"/>
  <c r="H22" i="7"/>
  <c r="H6" i="7"/>
  <c r="J39" i="3"/>
  <c r="J24" i="3"/>
  <c r="H5" i="7"/>
  <c r="J128" i="3"/>
  <c r="N27" i="2"/>
  <c r="P156" i="2"/>
  <c r="P50" i="2"/>
  <c r="P32" i="2"/>
  <c r="P37" i="2"/>
  <c r="P155" i="2"/>
  <c r="P152" i="2"/>
  <c r="P29" i="2"/>
  <c r="P154" i="2"/>
  <c r="P45" i="2"/>
  <c r="P159" i="2"/>
  <c r="M282" i="2"/>
  <c r="M283" i="2" s="1"/>
  <c r="J4" i="3"/>
  <c r="P33" i="2"/>
  <c r="P92" i="2"/>
  <c r="P153" i="2"/>
  <c r="J296" i="2"/>
  <c r="H28" i="6"/>
  <c r="G85" i="6"/>
  <c r="G116" i="6" s="1"/>
  <c r="E117" i="6"/>
  <c r="E121" i="6" s="1"/>
  <c r="G59" i="6"/>
  <c r="P18" i="2"/>
  <c r="E6" i="7"/>
  <c r="P151" i="2" l="1"/>
  <c r="P281" i="2"/>
  <c r="H3" i="7"/>
  <c r="H7" i="7"/>
  <c r="H24" i="7"/>
  <c r="H9" i="7"/>
  <c r="H58" i="7"/>
  <c r="P26" i="2"/>
  <c r="P27" i="2" s="1"/>
  <c r="H120" i="6"/>
  <c r="G52" i="7"/>
  <c r="G66" i="7" s="1"/>
  <c r="E66" i="7"/>
  <c r="H85" i="6"/>
  <c r="N283" i="2"/>
  <c r="J295" i="2"/>
  <c r="J297" i="2" s="1"/>
  <c r="J101" i="3"/>
  <c r="J116" i="3" s="1"/>
  <c r="H19" i="7"/>
  <c r="O24" i="3"/>
  <c r="O39" i="3"/>
  <c r="H38" i="6"/>
  <c r="H95" i="6"/>
  <c r="O282" i="2"/>
  <c r="O283" i="2" s="1"/>
  <c r="O284" i="2" s="1"/>
  <c r="G117" i="6"/>
  <c r="G121" i="6" s="1"/>
  <c r="G6" i="7"/>
  <c r="E12" i="7"/>
  <c r="J122" i="3"/>
  <c r="J247" i="3" s="1"/>
  <c r="H66" i="7" l="1"/>
  <c r="M116" i="3"/>
  <c r="O116" i="3"/>
  <c r="H58" i="6"/>
  <c r="H115" i="6"/>
  <c r="O296" i="2"/>
  <c r="P282" i="2"/>
  <c r="E32" i="7"/>
  <c r="O122" i="3"/>
  <c r="O247" i="3" s="1"/>
  <c r="G12" i="7"/>
  <c r="G32" i="7" s="1"/>
  <c r="P283" i="2" l="1"/>
  <c r="P284" i="2" s="1"/>
  <c r="H27" i="7"/>
  <c r="P296" i="2"/>
  <c r="H116" i="6"/>
  <c r="H59" i="6"/>
  <c r="O286" i="2"/>
  <c r="O288" i="2" s="1"/>
  <c r="O295" i="2" s="1"/>
  <c r="O297" i="2" s="1"/>
  <c r="P286" i="2" l="1"/>
  <c r="P288" i="2" s="1"/>
  <c r="P295" i="2" s="1"/>
  <c r="P297" i="2" s="1"/>
  <c r="H117" i="6"/>
  <c r="H121" i="6" l="1"/>
  <c r="AC69" i="4"/>
  <c r="AE69" i="4" s="1"/>
  <c r="G90" i="8"/>
  <c r="G25" i="8"/>
  <c r="G54" i="8"/>
  <c r="H48" i="8"/>
  <c r="G48" i="8"/>
  <c r="G49" i="8"/>
  <c r="H49" i="8"/>
  <c r="G50" i="8"/>
  <c r="AC108" i="4"/>
  <c r="AE108" i="4" s="1"/>
  <c r="G53" i="8"/>
  <c r="H53" i="8"/>
  <c r="AC85" i="4"/>
  <c r="AE85" i="4" s="1"/>
  <c r="G51" i="8"/>
  <c r="H51" i="8"/>
  <c r="G47" i="8"/>
  <c r="AE185" i="4"/>
  <c r="H52" i="8" s="1"/>
  <c r="G52" i="8"/>
  <c r="AC98" i="4" l="1"/>
  <c r="AE98" i="4" s="1"/>
  <c r="AC223" i="4"/>
  <c r="AC130" i="4"/>
  <c r="AE130" i="4" s="1"/>
  <c r="AC222" i="4"/>
  <c r="Z69" i="4"/>
  <c r="AC132" i="4"/>
  <c r="AE132" i="4" s="1"/>
  <c r="AC93" i="4"/>
  <c r="AE93" i="4" s="1"/>
  <c r="H90" i="8"/>
  <c r="AC83" i="4"/>
  <c r="AE83" i="4" s="1"/>
  <c r="AC137" i="4"/>
  <c r="AE137" i="4" s="1"/>
  <c r="AC80" i="4"/>
  <c r="AE80" i="4" s="1"/>
  <c r="AC120" i="4"/>
  <c r="AE120" i="4" s="1"/>
  <c r="AC90" i="4"/>
  <c r="AE90" i="4" s="1"/>
  <c r="AC101" i="4"/>
  <c r="AE101" i="4" s="1"/>
  <c r="Z242" i="4"/>
  <c r="AC136" i="4"/>
  <c r="AE136" i="4" s="1"/>
  <c r="AC82" i="4"/>
  <c r="AE82" i="4" s="1"/>
  <c r="G68" i="8"/>
  <c r="AC91" i="4"/>
  <c r="AE91" i="4" s="1"/>
  <c r="AC89" i="4"/>
  <c r="AE89" i="4" s="1"/>
  <c r="AC103" i="4"/>
  <c r="AE103" i="4" s="1"/>
  <c r="AC86" i="4"/>
  <c r="AE86" i="4" s="1"/>
  <c r="AC99" i="4"/>
  <c r="AE99" i="4" s="1"/>
  <c r="G13" i="8"/>
  <c r="AC88" i="4"/>
  <c r="AE88" i="4" s="1"/>
  <c r="H13" i="8" s="1"/>
  <c r="AC81" i="4"/>
  <c r="AE81" i="4" s="1"/>
  <c r="H3" i="8"/>
  <c r="AC67" i="4"/>
  <c r="AE67" i="4" s="1"/>
  <c r="AC102" i="4"/>
  <c r="AE102" i="4" s="1"/>
  <c r="AC104" i="4"/>
  <c r="AE104" i="4" s="1"/>
  <c r="AC134" i="4"/>
  <c r="AE134" i="4" s="1"/>
  <c r="AC79" i="4"/>
  <c r="AE79" i="4" s="1"/>
  <c r="G26" i="8"/>
  <c r="AC131" i="4"/>
  <c r="AE131" i="4" s="1"/>
  <c r="AC133" i="4"/>
  <c r="AE133" i="4" s="1"/>
  <c r="AC94" i="4"/>
  <c r="AE94" i="4" s="1"/>
  <c r="Z223" i="4"/>
  <c r="G69" i="8"/>
  <c r="H12" i="7"/>
  <c r="AE222" i="4" l="1"/>
  <c r="AE223" i="4"/>
  <c r="H19" i="8"/>
  <c r="H68" i="8"/>
  <c r="H25" i="8"/>
  <c r="H94" i="8"/>
  <c r="Y347" i="4"/>
  <c r="AD148" i="4"/>
  <c r="AC62" i="4"/>
  <c r="AE62" i="4" s="1"/>
  <c r="H26" i="8" s="1"/>
  <c r="H46" i="8"/>
  <c r="Z216" i="4"/>
  <c r="AC216" i="4"/>
  <c r="Z249" i="4"/>
  <c r="Z263" i="4"/>
  <c r="Z222" i="4"/>
  <c r="Z266" i="4"/>
  <c r="Z248" i="4"/>
  <c r="Z245" i="4"/>
  <c r="Z262" i="4"/>
  <c r="Z265" i="4"/>
  <c r="Z271" i="4"/>
  <c r="G22" i="8"/>
  <c r="Z246" i="4"/>
  <c r="Z275" i="4"/>
  <c r="Z267" i="4"/>
  <c r="Z269" i="4"/>
  <c r="Z322" i="4"/>
  <c r="G94" i="8"/>
  <c r="Z264" i="4"/>
  <c r="G46" i="8"/>
  <c r="E55" i="8"/>
  <c r="H32" i="7"/>
  <c r="H57" i="8" l="1"/>
  <c r="AD347" i="4"/>
  <c r="AE216" i="4"/>
  <c r="F85" i="8"/>
  <c r="AC221" i="4"/>
  <c r="AC226" i="4" s="1"/>
  <c r="G72" i="8"/>
  <c r="G66" i="8"/>
  <c r="G55" i="8"/>
  <c r="Z221" i="4"/>
  <c r="Z226" i="4" s="1"/>
  <c r="F45" i="8"/>
  <c r="H14" i="8" l="1"/>
  <c r="AE221" i="4"/>
  <c r="H72" i="8" s="1"/>
  <c r="H58" i="8"/>
  <c r="H69" i="8"/>
  <c r="AD342" i="4"/>
  <c r="H22" i="8"/>
  <c r="H23" i="8"/>
  <c r="H9" i="8"/>
  <c r="H95" i="8"/>
  <c r="F101" i="8"/>
  <c r="F29" i="8"/>
  <c r="G43" i="8"/>
  <c r="AE226" i="4" l="1"/>
  <c r="Z130" i="4"/>
  <c r="Z137" i="4" l="1"/>
  <c r="Z134" i="4"/>
  <c r="Z133" i="4"/>
  <c r="Z136" i="4"/>
  <c r="Z132" i="4"/>
  <c r="Z131" i="4"/>
  <c r="Z120" i="4"/>
  <c r="Z108" i="4"/>
  <c r="Z104" i="4"/>
  <c r="Z101" i="4"/>
  <c r="Z99" i="4"/>
  <c r="Z98" i="4"/>
  <c r="Z94" i="4"/>
  <c r="Z93" i="4"/>
  <c r="Z90" i="4"/>
  <c r="Z89" i="4"/>
  <c r="Z86" i="4"/>
  <c r="Z83" i="4"/>
  <c r="Z80" i="4"/>
  <c r="Z103" i="4"/>
  <c r="Z102" i="4"/>
  <c r="Z91" i="4"/>
  <c r="Z88" i="4"/>
  <c r="Z85" i="4"/>
  <c r="Z82" i="4"/>
  <c r="Z81" i="4"/>
  <c r="Z79" i="4"/>
  <c r="Z67" i="4"/>
  <c r="Z62" i="4"/>
  <c r="G20" i="8" l="1"/>
  <c r="AC95" i="4"/>
  <c r="AE95" i="4" s="1"/>
  <c r="AC118" i="4"/>
  <c r="AE118" i="4" s="1"/>
  <c r="AC116" i="4"/>
  <c r="AE116" i="4" s="1"/>
  <c r="AC114" i="4"/>
  <c r="AE114" i="4" s="1"/>
  <c r="AC113" i="4"/>
  <c r="AE113" i="4" s="1"/>
  <c r="AC117" i="4"/>
  <c r="AE117" i="4" s="1"/>
  <c r="AC75" i="4"/>
  <c r="AE75" i="4" s="1"/>
  <c r="AC105" i="4"/>
  <c r="AE105" i="4" s="1"/>
  <c r="G28" i="8"/>
  <c r="AC109" i="4"/>
  <c r="AE109" i="4" s="1"/>
  <c r="AC115" i="4"/>
  <c r="AE115" i="4" s="1"/>
  <c r="G8" i="8"/>
  <c r="G9" i="8"/>
  <c r="H6" i="8" l="1"/>
  <c r="AE147" i="4"/>
  <c r="H28" i="8"/>
  <c r="H20" i="8"/>
  <c r="X147" i="4"/>
  <c r="X346" i="4"/>
  <c r="AC147" i="4"/>
  <c r="Z117" i="4"/>
  <c r="Z113" i="4"/>
  <c r="Z105" i="4"/>
  <c r="Z109" i="4"/>
  <c r="G6" i="8"/>
  <c r="Z95" i="4"/>
  <c r="Z115" i="4"/>
  <c r="Z75" i="4"/>
  <c r="Z114" i="4"/>
  <c r="Z116" i="4"/>
  <c r="Z118" i="4"/>
  <c r="Z147" i="4" l="1"/>
  <c r="Z346" i="4"/>
  <c r="H7" i="8"/>
  <c r="G7" i="8"/>
  <c r="G3" i="8"/>
  <c r="AE346" i="4" l="1"/>
  <c r="E12" i="8"/>
  <c r="E29" i="8" s="1"/>
  <c r="G12" i="8"/>
  <c r="G29" i="8" s="1"/>
  <c r="H12" i="8" l="1"/>
  <c r="U227" i="4"/>
  <c r="AC181" i="4" l="1"/>
  <c r="AD181" i="4"/>
  <c r="AC155" i="4"/>
  <c r="AD155" i="4"/>
  <c r="AC156" i="4"/>
  <c r="AD156" i="4"/>
  <c r="AC153" i="4"/>
  <c r="AD153" i="4"/>
  <c r="AC180" i="4"/>
  <c r="AD180" i="4"/>
  <c r="AC170" i="4"/>
  <c r="AD170" i="4"/>
  <c r="AC157" i="4"/>
  <c r="AD157" i="4"/>
  <c r="AC158" i="4"/>
  <c r="AD158" i="4"/>
  <c r="AC184" i="4"/>
  <c r="AD184" i="4"/>
  <c r="AC165" i="4"/>
  <c r="AD165" i="4"/>
  <c r="AC169" i="4"/>
  <c r="AD169" i="4"/>
  <c r="AC166" i="4"/>
  <c r="AD166" i="4"/>
  <c r="AC178" i="4"/>
  <c r="AD178" i="4"/>
  <c r="AC179" i="4"/>
  <c r="AD179" i="4"/>
  <c r="AC183" i="4"/>
  <c r="AD183" i="4"/>
  <c r="AD150" i="4"/>
  <c r="AC171" i="4"/>
  <c r="AD171" i="4"/>
  <c r="AC164" i="4"/>
  <c r="AD164" i="4"/>
  <c r="AC168" i="4"/>
  <c r="AD168" i="4"/>
  <c r="AC173" i="4"/>
  <c r="AD173" i="4"/>
  <c r="X348" i="4"/>
  <c r="H29" i="8"/>
  <c r="AC150" i="4"/>
  <c r="AD201" i="4" l="1"/>
  <c r="Z183" i="4"/>
  <c r="Z180" i="4"/>
  <c r="Z169" i="4"/>
  <c r="Z184" i="4"/>
  <c r="Z156" i="4"/>
  <c r="AC348" i="4"/>
  <c r="AE183" i="4"/>
  <c r="AE178" i="4"/>
  <c r="AE169" i="4"/>
  <c r="AE184" i="4"/>
  <c r="AE180" i="4"/>
  <c r="AE157" i="4"/>
  <c r="AE173" i="4"/>
  <c r="AE164" i="4"/>
  <c r="F75" i="8"/>
  <c r="F102" i="8" s="1"/>
  <c r="F116" i="8" s="1"/>
  <c r="AE156" i="4"/>
  <c r="Z158" i="4"/>
  <c r="AE168" i="4"/>
  <c r="AE171" i="4"/>
  <c r="Y348" i="4"/>
  <c r="AE179" i="4"/>
  <c r="AE166" i="4"/>
  <c r="AE165" i="4"/>
  <c r="AE158" i="4"/>
  <c r="AE170" i="4"/>
  <c r="AE153" i="4"/>
  <c r="AE155" i="4"/>
  <c r="Z168" i="4"/>
  <c r="Y227" i="4"/>
  <c r="Z179" i="4"/>
  <c r="Z155" i="4"/>
  <c r="AD348" i="4"/>
  <c r="AE181" i="4"/>
  <c r="AE150" i="4"/>
  <c r="E75" i="8"/>
  <c r="Z165" i="4"/>
  <c r="Z170" i="4"/>
  <c r="Z164" i="4"/>
  <c r="Z178" i="4"/>
  <c r="Z157" i="4"/>
  <c r="Z173" i="4"/>
  <c r="Z153" i="4"/>
  <c r="Z166" i="4"/>
  <c r="Z181" i="4"/>
  <c r="Z171" i="4"/>
  <c r="Z150" i="4"/>
  <c r="Y343" i="4" l="1"/>
  <c r="Y350" i="4"/>
  <c r="H62" i="8"/>
  <c r="Z348" i="4"/>
  <c r="AD227" i="4"/>
  <c r="G62" i="8"/>
  <c r="G75" i="8" l="1"/>
  <c r="H81" i="8" l="1"/>
  <c r="G81" i="8"/>
  <c r="G95" i="8"/>
  <c r="H98" i="8"/>
  <c r="G98" i="8"/>
  <c r="H96" i="8"/>
  <c r="G96" i="8"/>
  <c r="H76" i="8" l="1"/>
  <c r="H82" i="8"/>
  <c r="H79" i="8"/>
  <c r="H80" i="8"/>
  <c r="H78" i="8"/>
  <c r="G92" i="8"/>
  <c r="G115" i="8" s="1"/>
  <c r="E115" i="8"/>
  <c r="X349" i="4"/>
  <c r="Z295" i="4"/>
  <c r="Z250" i="4"/>
  <c r="Z244" i="4"/>
  <c r="Z258" i="4"/>
  <c r="Z294" i="4"/>
  <c r="G78" i="8"/>
  <c r="G82" i="8"/>
  <c r="Z293" i="4"/>
  <c r="G80" i="8"/>
  <c r="G79" i="8"/>
  <c r="Z255" i="4"/>
  <c r="Z297" i="4"/>
  <c r="Z270" i="4"/>
  <c r="Z260" i="4"/>
  <c r="Z274" i="4"/>
  <c r="Z252" i="4"/>
  <c r="Z277" i="4"/>
  <c r="Z253" i="4"/>
  <c r="Z257" i="4"/>
  <c r="Z256" i="4"/>
  <c r="Z296" i="4"/>
  <c r="Z276" i="4"/>
  <c r="AC342" i="4" l="1"/>
  <c r="Z342" i="4"/>
  <c r="Z349" i="4"/>
  <c r="AC346" i="4"/>
  <c r="AC349" i="4"/>
  <c r="H92" i="8"/>
  <c r="G83" i="8"/>
  <c r="U350" i="4"/>
  <c r="G76" i="8"/>
  <c r="E85" i="8" l="1"/>
  <c r="E101" i="8" s="1"/>
  <c r="G85" i="8"/>
  <c r="G101" i="8" s="1"/>
  <c r="H115" i="8" l="1"/>
  <c r="Z353" i="4" l="1"/>
  <c r="Z361" i="4" l="1"/>
  <c r="U343" i="4"/>
  <c r="E39" i="8" l="1"/>
  <c r="E45" i="8" s="1"/>
  <c r="E102" i="8" s="1"/>
  <c r="E116" i="8" s="1"/>
  <c r="G30" i="8"/>
  <c r="G39" i="8" l="1"/>
  <c r="G45" i="8" s="1"/>
  <c r="G102" i="8" s="1"/>
  <c r="G116" i="8" s="1"/>
  <c r="J257" i="3"/>
  <c r="E34" i="7"/>
  <c r="G34" i="7" s="1"/>
  <c r="E41" i="7"/>
  <c r="G41" i="7" s="1"/>
  <c r="J256" i="3"/>
  <c r="E38" i="7"/>
  <c r="G38" i="7" s="1"/>
  <c r="O253" i="3"/>
  <c r="E36" i="7"/>
  <c r="G36" i="7" s="1"/>
  <c r="J252" i="3"/>
  <c r="E35" i="7"/>
  <c r="G35" i="7" s="1"/>
  <c r="J251" i="3"/>
  <c r="E40" i="7"/>
  <c r="G40" i="7" s="1"/>
  <c r="J255" i="3"/>
  <c r="E37" i="7"/>
  <c r="G37" i="7" s="1"/>
  <c r="J258" i="3"/>
  <c r="J277" i="3"/>
  <c r="E39" i="7"/>
  <c r="G39" i="7" s="1"/>
  <c r="J254" i="3"/>
  <c r="H46" i="7" l="1"/>
  <c r="H38" i="7"/>
  <c r="O277" i="3"/>
  <c r="O251" i="3"/>
  <c r="J289" i="3"/>
  <c r="O254" i="3"/>
  <c r="O255" i="3"/>
  <c r="O252" i="3"/>
  <c r="O256" i="3"/>
  <c r="O257" i="3"/>
  <c r="O250" i="3"/>
  <c r="J253" i="3"/>
  <c r="H291" i="3"/>
  <c r="J250" i="3"/>
  <c r="O258" i="3"/>
  <c r="H39" i="7" l="1"/>
  <c r="O291" i="3"/>
  <c r="J291" i="3"/>
  <c r="H45" i="7"/>
  <c r="H37" i="7"/>
  <c r="H33" i="7"/>
  <c r="H34" i="7"/>
  <c r="H36" i="7"/>
  <c r="H35" i="7"/>
  <c r="H41" i="7"/>
  <c r="H40" i="7"/>
  <c r="H55" i="7"/>
  <c r="E33" i="7"/>
  <c r="M291" i="3"/>
  <c r="H42" i="7" l="1"/>
  <c r="E42" i="7"/>
  <c r="G33" i="7"/>
  <c r="AD349" i="4" l="1"/>
  <c r="AD350" i="4" s="1"/>
  <c r="AD343" i="4"/>
  <c r="N291" i="3"/>
  <c r="H62" i="7"/>
  <c r="G42" i="7"/>
  <c r="G62" i="7" s="1"/>
  <c r="E62" i="7"/>
  <c r="E63" i="7" s="1"/>
  <c r="E67" i="7" s="1"/>
  <c r="G63" i="7" l="1"/>
  <c r="G67" i="7" s="1"/>
  <c r="H83" i="8"/>
  <c r="H63" i="7"/>
  <c r="AE349" i="4"/>
  <c r="H67" i="7" l="1"/>
  <c r="H85" i="8"/>
  <c r="H101" i="8" l="1"/>
  <c r="F248" i="3" l="1"/>
  <c r="F292" i="3" s="1"/>
  <c r="J248" i="3" l="1"/>
  <c r="J292" i="3" l="1"/>
  <c r="H248" i="3"/>
  <c r="H292" i="3" s="1"/>
  <c r="I248" i="3"/>
  <c r="I292" i="3" s="1"/>
  <c r="N248" i="3"/>
  <c r="N292" i="3" s="1"/>
  <c r="O248" i="3"/>
  <c r="M248" i="3"/>
  <c r="M292" i="3" s="1"/>
  <c r="O292" i="3" l="1"/>
  <c r="X201" i="4" l="1"/>
  <c r="X227" i="4" s="1"/>
  <c r="X343" i="4" s="1"/>
  <c r="X347" i="4"/>
  <c r="X350" i="4" s="1"/>
  <c r="Z148" i="4"/>
  <c r="Z347" i="4" s="1"/>
  <c r="Z350" i="4" s="1"/>
  <c r="W201" i="4"/>
  <c r="AC148" i="4"/>
  <c r="AE148" i="4" l="1"/>
  <c r="AE347" i="4" s="1"/>
  <c r="AC347" i="4"/>
  <c r="AC350" i="4" s="1"/>
  <c r="Z201" i="4"/>
  <c r="Z227" i="4" s="1"/>
  <c r="Z343" i="4" s="1"/>
  <c r="W347" i="4"/>
  <c r="AC201" i="4"/>
  <c r="H43" i="8"/>
  <c r="AE201" i="4"/>
  <c r="W227" i="4"/>
  <c r="W343" i="4" s="1"/>
  <c r="AE227" i="4" l="1"/>
  <c r="I25" i="21"/>
  <c r="AC227" i="4"/>
  <c r="AC343" i="4" s="1"/>
  <c r="AE343" i="4"/>
  <c r="H45" i="8"/>
  <c r="W350" i="4"/>
  <c r="AE348" i="4"/>
  <c r="H50" i="8"/>
  <c r="H55" i="8" l="1"/>
  <c r="AE350" i="4"/>
  <c r="H75" i="8" l="1"/>
  <c r="H102" i="8" l="1"/>
  <c r="H116" i="8" l="1"/>
</calcChain>
</file>

<file path=xl/sharedStrings.xml><?xml version="1.0" encoding="utf-8"?>
<sst xmlns="http://schemas.openxmlformats.org/spreadsheetml/2006/main" count="3876" uniqueCount="753">
  <si>
    <t>Book-Tax Differences</t>
  </si>
  <si>
    <t>Utility (U) /</t>
  </si>
  <si>
    <t>Total Company</t>
  </si>
  <si>
    <t>Description</t>
  </si>
  <si>
    <t>SAP</t>
  </si>
  <si>
    <t>#</t>
  </si>
  <si>
    <t>Factor</t>
  </si>
  <si>
    <t>DIT Expense</t>
  </si>
  <si>
    <t>- - - - -</t>
  </si>
  <si>
    <t>U</t>
  </si>
  <si>
    <t>SO</t>
  </si>
  <si>
    <t>SCHMDEXP</t>
  </si>
  <si>
    <t>Meals &amp; Entertainment - Bridger Coal</t>
  </si>
  <si>
    <t>SE</t>
  </si>
  <si>
    <t>PMI Fuel Tax Credit</t>
  </si>
  <si>
    <t>OTHER</t>
  </si>
  <si>
    <t>SNP</t>
  </si>
  <si>
    <t>CA</t>
  </si>
  <si>
    <t>Book Depreciation</t>
  </si>
  <si>
    <t>SG</t>
  </si>
  <si>
    <t>CIAC</t>
  </si>
  <si>
    <t>SNPD</t>
  </si>
  <si>
    <t>Capitalization of Test Energy</t>
  </si>
  <si>
    <t>FAS 143 ARO Liability</t>
  </si>
  <si>
    <t>105.400a</t>
  </si>
  <si>
    <t>105.400c</t>
  </si>
  <si>
    <t>WA</t>
  </si>
  <si>
    <t>Coal Pile Inventory Adjustment</t>
  </si>
  <si>
    <t>UT</t>
  </si>
  <si>
    <t>IDU</t>
  </si>
  <si>
    <t>OR</t>
  </si>
  <si>
    <t>SGCT</t>
  </si>
  <si>
    <t>WYP</t>
  </si>
  <si>
    <t>Reg Asset - Post - Ret MMT - CA</t>
  </si>
  <si>
    <t>Bear River Settlement Agreement</t>
  </si>
  <si>
    <t>Rogue River - Habitat Enhancement Liability</t>
  </si>
  <si>
    <t>Lewis River Settlement Agreement</t>
  </si>
  <si>
    <t>TGS Buyout</t>
  </si>
  <si>
    <t>Hermiston Swap</t>
  </si>
  <si>
    <t>Vacation Accrual - PMI</t>
  </si>
  <si>
    <t>TROJD</t>
  </si>
  <si>
    <t>Reg Liability - UT Home Energy Lifeline</t>
  </si>
  <si>
    <t>Reg Liability - Other - Balance Reclass</t>
  </si>
  <si>
    <t>FAS 112 Book Reserve</t>
  </si>
  <si>
    <t>Tax Depreciation</t>
  </si>
  <si>
    <t>TAXDEPR</t>
  </si>
  <si>
    <t>Capitalized Depreciation</t>
  </si>
  <si>
    <t>Basis Intangible Difference</t>
  </si>
  <si>
    <t>Gain / (Loss) on Prop. Disposition</t>
  </si>
  <si>
    <t>GPS</t>
  </si>
  <si>
    <t>Coal Mine Development</t>
  </si>
  <si>
    <t>Coal Mine Extension</t>
  </si>
  <si>
    <t>105.220c</t>
  </si>
  <si>
    <t>SSGCH</t>
  </si>
  <si>
    <t>105.400b</t>
  </si>
  <si>
    <t>105.400d</t>
  </si>
  <si>
    <t>PMI-Fuel Cost Adjustment</t>
  </si>
  <si>
    <t>Sec. 263A Inventory Change - PMI</t>
  </si>
  <si>
    <t>BADDEBT</t>
  </si>
  <si>
    <t>R &amp; E - Sec.174 Deduction</t>
  </si>
  <si>
    <t>CN</t>
  </si>
  <si>
    <t>Unearned Joint Use Pole Contact Revenue</t>
  </si>
  <si>
    <t>Reg Asset - Other - Balance Reclass</t>
  </si>
  <si>
    <t>610.100N</t>
  </si>
  <si>
    <t>Bridger Coal Company Gain/Loss on Assets Disposed</t>
  </si>
  <si>
    <t>Reg Liability - WA Low Energy Program</t>
  </si>
  <si>
    <t>FAS 158 Pension Liability</t>
  </si>
  <si>
    <t>FAS 158 SERP Liability</t>
  </si>
  <si>
    <t>Bridger Coal Company Underground Mine Cost Depletion</t>
  </si>
  <si>
    <t>Bridger Coal Company Reclamation Trust Earnings - PMI</t>
  </si>
  <si>
    <t>Total Book-Tax Differences</t>
  </si>
  <si>
    <t>Deferred Income Tax Expense ~ Depreciation Flow-Through (CA)</t>
  </si>
  <si>
    <t>FERC</t>
  </si>
  <si>
    <t>Deferred Income Tax Expense ~ Depreciation Flow-Through (IDU)</t>
  </si>
  <si>
    <t>Deferred Income Tax Expense ~ Depreciation Flow-Through (OR)</t>
  </si>
  <si>
    <t>Deferred Income Tax Expense ~ Depreciation Flow-Through (OTHER)</t>
  </si>
  <si>
    <t>Deferred Income Tax Expense ~ Depreciation Flow-Through (UT)</t>
  </si>
  <si>
    <t>Deferred Income Tax Expense ~ Depreciation Flow-Through (WA)</t>
  </si>
  <si>
    <t>Deferred Income Tax Expense ~ Depreciation Flow-Through (WYP)</t>
  </si>
  <si>
    <t>Deferred Income Tax Expense ~ Depreciation Flow-Through (WYU)</t>
  </si>
  <si>
    <t>WYU</t>
  </si>
  <si>
    <t>Deferred Income Tax Expense ~ Washington Flow-Through</t>
  </si>
  <si>
    <t>Deferred Income Tax Expense ~ Safe Harbor Leases (Cholla)</t>
  </si>
  <si>
    <t>IBT</t>
  </si>
  <si>
    <t>Pre-Tax Book Income</t>
  </si>
  <si>
    <t>Acct. #</t>
  </si>
  <si>
    <t>SCH M</t>
  </si>
  <si>
    <t>Adjusted Utility</t>
  </si>
  <si>
    <t>Adjusted</t>
  </si>
  <si>
    <t>%</t>
  </si>
  <si>
    <t>Unadjusted</t>
  </si>
  <si>
    <t>for Price Change</t>
  </si>
  <si>
    <t>DESCRIPTION</t>
  </si>
  <si>
    <t>FACTOR</t>
  </si>
  <si>
    <t>TOTAL</t>
  </si>
  <si>
    <t>CALIFORNIA</t>
  </si>
  <si>
    <t>OREGON</t>
  </si>
  <si>
    <t>WASHINGTON</t>
  </si>
  <si>
    <t>MONTANA</t>
  </si>
  <si>
    <t>WYOMING-PPL</t>
  </si>
  <si>
    <t>UTAH</t>
  </si>
  <si>
    <t>IDAHO</t>
  </si>
  <si>
    <t>WY-UP&amp;L</t>
  </si>
  <si>
    <t>Situs</t>
  </si>
  <si>
    <t>System Generation</t>
  </si>
  <si>
    <t>System Generation (Pacific Costs on SG)</t>
  </si>
  <si>
    <t>SG-P</t>
  </si>
  <si>
    <t>System Generation (Utah Costs on SG)</t>
  </si>
  <si>
    <t>SG-U</t>
  </si>
  <si>
    <t>Divisional Generation - Pacific</t>
  </si>
  <si>
    <t>DGP</t>
  </si>
  <si>
    <t>Divisional Generation - Utah</t>
  </si>
  <si>
    <t>DGU</t>
  </si>
  <si>
    <t>System Capacity</t>
  </si>
  <si>
    <t>SC</t>
  </si>
  <si>
    <t>System Energy</t>
  </si>
  <si>
    <t>Control Area Energy - West</t>
  </si>
  <si>
    <t>CAEW</t>
  </si>
  <si>
    <t>Control Area Energy - East</t>
  </si>
  <si>
    <t>CAEE</t>
  </si>
  <si>
    <t>Divisional Energy - Pacific</t>
  </si>
  <si>
    <t>DEP</t>
  </si>
  <si>
    <t>Divisional Energy - Utah</t>
  </si>
  <si>
    <t>DEU</t>
  </si>
  <si>
    <t>System Overhead</t>
  </si>
  <si>
    <t>System Overhead (Pacific Costs on SO)</t>
  </si>
  <si>
    <t>SO-P</t>
  </si>
  <si>
    <t>System Overhead (Utah Costs on SO)</t>
  </si>
  <si>
    <t>SO-U</t>
  </si>
  <si>
    <t>Divisional Overhead - Pacific</t>
  </si>
  <si>
    <t>DOP</t>
  </si>
  <si>
    <t>Divisional Overhead - Utah</t>
  </si>
  <si>
    <t>DOU</t>
  </si>
  <si>
    <t>Gross Plant-System</t>
  </si>
  <si>
    <t>System Gross Plant - Pacific</t>
  </si>
  <si>
    <t>SGPP</t>
  </si>
  <si>
    <t>System Gross Plant - Utah</t>
  </si>
  <si>
    <t>SGPU</t>
  </si>
  <si>
    <t>System Net Plant</t>
  </si>
  <si>
    <t>Seasonal System Capacity Combustion Turbine</t>
  </si>
  <si>
    <t>SSCCT</t>
  </si>
  <si>
    <t>Seasonal System Energy Combustion Turbine</t>
  </si>
  <si>
    <t>SSECT</t>
  </si>
  <si>
    <t>Seasonal System Capacity Cholla</t>
  </si>
  <si>
    <t>SSCCH</t>
  </si>
  <si>
    <t>Seasonal System Energy Cholla</t>
  </si>
  <si>
    <t>SSECH</t>
  </si>
  <si>
    <t>Seasonal System Generation Cholla</t>
  </si>
  <si>
    <t>Seasonal System Capacity Purchases</t>
  </si>
  <si>
    <t>SSCP</t>
  </si>
  <si>
    <t>Seasonal System Energy Purchases</t>
  </si>
  <si>
    <t>SSEP</t>
  </si>
  <si>
    <t>Seasonal System Generation Contracts</t>
  </si>
  <si>
    <t>SSGC</t>
  </si>
  <si>
    <t>Seasonal System Generation Combustion Turbine</t>
  </si>
  <si>
    <t>SSGCT</t>
  </si>
  <si>
    <t xml:space="preserve">Mid-Columbia </t>
  </si>
  <si>
    <t>MC</t>
  </si>
  <si>
    <t>Division Net Plant Distribution</t>
  </si>
  <si>
    <t>Control Area Generation - West</t>
  </si>
  <si>
    <t>CAGW</t>
  </si>
  <si>
    <t>Control Area Generation - East</t>
  </si>
  <si>
    <t>CAGE</t>
  </si>
  <si>
    <t>Division Net Plant General-Mine - Pacific</t>
  </si>
  <si>
    <t>DNPGMP</t>
  </si>
  <si>
    <t>Division Net Plant General-Mine - Utah</t>
  </si>
  <si>
    <t>DNPGMU</t>
  </si>
  <si>
    <t>Jim Bridger Generation</t>
  </si>
  <si>
    <t>JBG</t>
  </si>
  <si>
    <t>Jim Bridger Energy</t>
  </si>
  <si>
    <t>JBE</t>
  </si>
  <si>
    <t>Wheeling Revenue - Generation</t>
  </si>
  <si>
    <t>WRG</t>
  </si>
  <si>
    <t>Wheeling Revenue - Energy</t>
  </si>
  <si>
    <t>WRE</t>
  </si>
  <si>
    <t>Division Net Plant Hydro - Pacific</t>
  </si>
  <si>
    <t>DNPPHP</t>
  </si>
  <si>
    <t>Division Net Plant Hydro - Utah</t>
  </si>
  <si>
    <t>DNPPHU</t>
  </si>
  <si>
    <t>System Net Hydro Plant-Pacific</t>
  </si>
  <si>
    <t>SNPPH-P</t>
  </si>
  <si>
    <t>System Net Hydro Plant-Utah</t>
  </si>
  <si>
    <t>SNPPH-U</t>
  </si>
  <si>
    <t>Customer - System</t>
  </si>
  <si>
    <t>Customer - Pacific</t>
  </si>
  <si>
    <t>CNP</t>
  </si>
  <si>
    <t>Customer - Utah</t>
  </si>
  <si>
    <t>CNU</t>
  </si>
  <si>
    <t>Washington Business Tax</t>
  </si>
  <si>
    <t>WBTAX</t>
  </si>
  <si>
    <t>Operating Revenue - Idaho</t>
  </si>
  <si>
    <t>OPRV-ID</t>
  </si>
  <si>
    <t>Operating Revenue - Wyoming</t>
  </si>
  <si>
    <t>OPRVWY</t>
  </si>
  <si>
    <t>Excise Tax - superfund</t>
  </si>
  <si>
    <t>EXCTAX</t>
  </si>
  <si>
    <t>Interest</t>
  </si>
  <si>
    <t>INT</t>
  </si>
  <si>
    <t>Idaho State Income Tax</t>
  </si>
  <si>
    <t>IDSIT</t>
  </si>
  <si>
    <t>Tax Depreciation (Accord)</t>
  </si>
  <si>
    <t>DONOTUSE</t>
  </si>
  <si>
    <t>Bad Debt Expense</t>
  </si>
  <si>
    <t>DIT Expense (Accord)</t>
  </si>
  <si>
    <t>DIT Balance</t>
  </si>
  <si>
    <t>Accumulated Investment Tax Credit 1984</t>
  </si>
  <si>
    <t>ITC84</t>
  </si>
  <si>
    <t>Accumulated Investment Tax Credit 1985</t>
  </si>
  <si>
    <t>ITC85</t>
  </si>
  <si>
    <t>Accumulated Investment Tax Credit 1986</t>
  </si>
  <si>
    <t>ITC86</t>
  </si>
  <si>
    <t>Accumulated Investment Tax Credit 1988</t>
  </si>
  <si>
    <t>ITC88</t>
  </si>
  <si>
    <t>Accumulated Investment Tax Credit 1989</t>
  </si>
  <si>
    <t>ITC89</t>
  </si>
  <si>
    <t>Accumulated Investment Tax Credit 1990</t>
  </si>
  <si>
    <t>ITC90</t>
  </si>
  <si>
    <t>Other Electric</t>
  </si>
  <si>
    <t>System Net Steam Plant</t>
  </si>
  <si>
    <t>SNPPS</t>
  </si>
  <si>
    <t>System Net Transmission Plant</t>
  </si>
  <si>
    <t>SNPT</t>
  </si>
  <si>
    <t>System Net Production Plant</t>
  </si>
  <si>
    <t>SNPP</t>
  </si>
  <si>
    <t>System Net Hydro Plant</t>
  </si>
  <si>
    <t>SNPPH</t>
  </si>
  <si>
    <t>System Net Nuclear Plant</t>
  </si>
  <si>
    <t>SNPPN</t>
  </si>
  <si>
    <t>System Net Other Production Plant</t>
  </si>
  <si>
    <t>SNPPO</t>
  </si>
  <si>
    <t>System Net General Plant</t>
  </si>
  <si>
    <t>SNPG</t>
  </si>
  <si>
    <t>System Net Intangible Plant</t>
  </si>
  <si>
    <t>SNPI</t>
  </si>
  <si>
    <t>Trojan Plant Allocator</t>
  </si>
  <si>
    <t>TROJP</t>
  </si>
  <si>
    <t>Trojan Decommissioning Allocator</t>
  </si>
  <si>
    <t>Income Before Taxes</t>
  </si>
  <si>
    <t>DITEXP</t>
  </si>
  <si>
    <t>DITBAL</t>
  </si>
  <si>
    <t>DIT Expense (Modified Accord)</t>
  </si>
  <si>
    <t>DIT Balance (Modified Accord)</t>
  </si>
  <si>
    <t>Tax Depreciation (Modified Accord)</t>
  </si>
  <si>
    <t>SCHMAT Depreciation Expense</t>
  </si>
  <si>
    <t>SCHMDT Amortization Expense</t>
  </si>
  <si>
    <t>SCHMAEXP</t>
  </si>
  <si>
    <t>System Generation Cholla Transaction</t>
  </si>
  <si>
    <t>Permanent Additions</t>
  </si>
  <si>
    <t>Temporary Additions</t>
  </si>
  <si>
    <t>Permanent Deductions</t>
  </si>
  <si>
    <t>Temporary Deductions</t>
  </si>
  <si>
    <t>Debits</t>
  </si>
  <si>
    <t>Credits</t>
  </si>
  <si>
    <t>Account</t>
  </si>
  <si>
    <t>Book Tax Difference</t>
  </si>
  <si>
    <t>MCI FOG Wire Lease</t>
  </si>
  <si>
    <t>Misc. Current and Accrued Liability</t>
  </si>
  <si>
    <t>Accrued Royalties</t>
  </si>
  <si>
    <t>FAS 158 Post-Retirement Liability</t>
  </si>
  <si>
    <t>Bridger Coal Company Extraction Taxes Payable - PMI</t>
  </si>
  <si>
    <t>Book Depreciation - PMI</t>
  </si>
  <si>
    <t>Cholla SHL (Tax Int. - Tax Rent)</t>
  </si>
  <si>
    <t xml:space="preserve">CIAC </t>
  </si>
  <si>
    <t xml:space="preserve">Avoided Costs </t>
  </si>
  <si>
    <t xml:space="preserve">Removal Costs </t>
  </si>
  <si>
    <t>Sec. 481a Adjustment - Repair Deduction</t>
  </si>
  <si>
    <t>105.220b</t>
  </si>
  <si>
    <t>Tax Depletion-SRC</t>
  </si>
  <si>
    <t>Total</t>
  </si>
  <si>
    <t>255ITC90</t>
  </si>
  <si>
    <t>Taxable Income / (Loss) Before State Taxes</t>
  </si>
  <si>
    <t>State Income Tax Expense @ 4.54%</t>
  </si>
  <si>
    <t>Federal Taxable Income / (Loss)</t>
  </si>
  <si>
    <t>Statutory Federal Tax Rate</t>
  </si>
  <si>
    <t>Federal Income Tax</t>
  </si>
  <si>
    <t>Total Federal Income Tax</t>
  </si>
  <si>
    <t>Total State Income Tax</t>
  </si>
  <si>
    <t>Total Federal &amp; State Income Taxes</t>
  </si>
  <si>
    <t>Adjustment</t>
  </si>
  <si>
    <t>Allocated</t>
  </si>
  <si>
    <t>Base</t>
  </si>
  <si>
    <t>Subtotal: Permanent Book-Tax Differences (Additions)</t>
  </si>
  <si>
    <t>Subtotal: Permanent Book-Tax Differences (Deductions)</t>
  </si>
  <si>
    <t>Total Permanent Book-Tax Differences</t>
  </si>
  <si>
    <t>Subtotal: Temporary Book-Tax Differences (Additions)</t>
  </si>
  <si>
    <t>Subtotal: Temporary Book-Tax Differences (Deductions)</t>
  </si>
  <si>
    <t>Total Temporary Book-Tax Differences</t>
  </si>
  <si>
    <t>Total DIT Expense on Temporary Book-Tax Differences</t>
  </si>
  <si>
    <t>Deferred Income Tax Expense Only</t>
  </si>
  <si>
    <t>Total Deferred Income Tax Expense</t>
  </si>
  <si>
    <t>Fuel Tax Credit</t>
  </si>
  <si>
    <t>Foreign Tax Credit</t>
  </si>
  <si>
    <t>ARO Regulatory Liabilities</t>
  </si>
  <si>
    <t>PMI Development Cost Amortization</t>
  </si>
  <si>
    <t>Accelerated Pollution Control Facilities Depreciation</t>
  </si>
  <si>
    <t>Repair Deduction</t>
  </si>
  <si>
    <t>Reimbursements</t>
  </si>
  <si>
    <t>§1031 Exchange</t>
  </si>
  <si>
    <t>Reclass to Pollution Control Facilities Depreciation</t>
  </si>
  <si>
    <t>Non-ARO Liability - Regulatory Liability</t>
  </si>
  <si>
    <t>Non ARO - reclass to regulatory assets/liabilities</t>
  </si>
  <si>
    <t>ARO Regulatory Assets</t>
  </si>
  <si>
    <t>Penalties</t>
  </si>
  <si>
    <t>Base Period Balances</t>
  </si>
  <si>
    <t>ACCUM DEF ITC - UPL IDAHO 46(F)(2)</t>
  </si>
  <si>
    <t>ACCUM DEF ITC - UPL POST 71 46 (F)(2)</t>
  </si>
  <si>
    <t>Safe Harbor Lease Rate Differential</t>
  </si>
  <si>
    <t>JIM BRIDGER RETROFIT ITC - PPL 46(F)(1)</t>
  </si>
  <si>
    <t>ACCUM DEF ITC - UPL POST 71 46 (F)(2) Amortization</t>
  </si>
  <si>
    <t>ACCUM DEF ITC - UPL IDAHO 46(F)(2) Amortization</t>
  </si>
  <si>
    <t>Dividends Received Deduction - Deferred Compensation</t>
  </si>
  <si>
    <t>Environmental Liability - Regulated</t>
  </si>
  <si>
    <t>105.141a</t>
  </si>
  <si>
    <t>105.141b</t>
  </si>
  <si>
    <t>Reg Asset - Frozen MTM</t>
  </si>
  <si>
    <t>Reg Asset - Noncurrent Reclass - Other</t>
  </si>
  <si>
    <t>Reg Liability - Noncurrent Reclass - Other</t>
  </si>
  <si>
    <t>AFUDC - Equity</t>
  </si>
  <si>
    <t>Environmental Liability - Non-Regulated</t>
  </si>
  <si>
    <t>UT Klamath Relicensing Costs</t>
  </si>
  <si>
    <t>Reg Asset - Post-Employment Costs</t>
  </si>
  <si>
    <t>State Allocation</t>
  </si>
  <si>
    <t>AMA Balance</t>
  </si>
  <si>
    <t>State</t>
  </si>
  <si>
    <t>Acc Def Idaho ITC - ID situs BTL</t>
  </si>
  <si>
    <t>Acc Def Idaho ITC - ID situs ATL</t>
  </si>
  <si>
    <t>Acc Def Idaho ITC - BTL</t>
  </si>
  <si>
    <t>Current Allocation FACTORS</t>
  </si>
  <si>
    <t>STATE Allocation</t>
  </si>
  <si>
    <t>Reporting Period</t>
  </si>
  <si>
    <t>Reporting</t>
  </si>
  <si>
    <t>NREG</t>
  </si>
  <si>
    <t>Non-Reg (NR)</t>
  </si>
  <si>
    <t>NR</t>
  </si>
  <si>
    <t>NON-REG</t>
  </si>
  <si>
    <t>Non-Reg</t>
  </si>
  <si>
    <t>Period w/ NREG</t>
  </si>
  <si>
    <t xml:space="preserve">Deferred Income Tax Expense ~ Depreciation Flow-Through (FERC) </t>
  </si>
  <si>
    <t>Less: NREG</t>
  </si>
  <si>
    <t>Schedule M without NREG</t>
  </si>
  <si>
    <t>DITEXP without NREG</t>
  </si>
  <si>
    <t>ADIT 190, 281, 282, &amp; 283 without NREG</t>
  </si>
  <si>
    <t>Less: NREG in 190, 281, 282, &amp; 283</t>
  </si>
  <si>
    <t>Reg Asset - OR Asset Sale Gain Giveback - Noncurrent</t>
  </si>
  <si>
    <t>Deseret Settlement Receivable</t>
  </si>
  <si>
    <t>Prepaid Aircraft Maintenance Costs</t>
  </si>
  <si>
    <t>Reg Asset - WY Liquidation Damages N2</t>
  </si>
  <si>
    <t>Reg Asset - REC Sales Deferral - OR - Noncurrent</t>
  </si>
  <si>
    <t>ARO/Reg Diff - Trojan - WA</t>
  </si>
  <si>
    <t>DIT Expense on Temporary Book-Tax Differences (Additions)(411)</t>
  </si>
  <si>
    <t>Accum Def ITC - Solar Arrays - 2013</t>
  </si>
  <si>
    <t>Reg Liability - Depreciation Decrease - OR</t>
  </si>
  <si>
    <t>Insurance Reserve</t>
  </si>
  <si>
    <t>Reg Asset - Depreciation Increase - ID</t>
  </si>
  <si>
    <t>Reg Asset - Carbon Unrecovered Plant - ID</t>
  </si>
  <si>
    <t>Reg Asset - Depreciation Increase - UT</t>
  </si>
  <si>
    <t>Reg Asset - Depreciation Increase - WY</t>
  </si>
  <si>
    <t>Reg Asset - Carbon Unrecovered Plant - UT</t>
  </si>
  <si>
    <t>Reg Asset - Carbon Unrecovered Plant - WY</t>
  </si>
  <si>
    <t>Deferred Income Tax Expense - Solar ITC Basis Adjustment</t>
  </si>
  <si>
    <t>Accum Def ITC - Solar Arrays - 2014</t>
  </si>
  <si>
    <t>RA - Solar ITC Basis Adjustment</t>
  </si>
  <si>
    <t>Solar ITC Basis Adjustment</t>
  </si>
  <si>
    <t>Contra Reg Asset - Deer Creek Abandonment</t>
  </si>
  <si>
    <t>Reg Asset - Energy West Mining</t>
  </si>
  <si>
    <t>Reg Asset - BPA Balancing Account - OR</t>
  </si>
  <si>
    <t>Reg Liability - Contra - Carbon Decommissioning - WY</t>
  </si>
  <si>
    <t>Reg Liability - 50% Bonus Tax Depreciation - WY</t>
  </si>
  <si>
    <t>Chehalis WA EFSEC C02 Mitigation Obligation</t>
  </si>
  <si>
    <t>Contra Receivable from Joint Owners</t>
  </si>
  <si>
    <t>Reg Asset - WA Merwin Project</t>
  </si>
  <si>
    <t>Reg Asset - Pref Stock Redemp Loss WA</t>
  </si>
  <si>
    <t>Reg Asset - CA Mobile Home Park Conversion</t>
  </si>
  <si>
    <t>Deferred Revenue - Other</t>
  </si>
  <si>
    <t>Trapper Mine Contract Obligation</t>
  </si>
  <si>
    <t>Reg Asset - UT Subscriber Solar Program</t>
  </si>
  <si>
    <t>Contract Liability Basis Adjustment - Chehalis Mitigation Obligation</t>
  </si>
  <si>
    <t>Inventory Reserve - PMI</t>
  </si>
  <si>
    <t>Reg Liability - Energy Savings Assistance (ESA) - CA</t>
  </si>
  <si>
    <t>Reg Liability - WA - Accelerated Depreciation</t>
  </si>
  <si>
    <t>Reg Liability - WA Decoupling Mechanism</t>
  </si>
  <si>
    <t>Reg Asset - ID 2017 Protocol - MSP Deferral</t>
  </si>
  <si>
    <t>Reg Asset - UT 2017 Protocol - MSP Deferral</t>
  </si>
  <si>
    <t>Reg Asset - WY 2017 Protocol - MSP Deferral</t>
  </si>
  <si>
    <t>PP&amp;E FIN 48 Balances</t>
  </si>
  <si>
    <t>Property Tax FIN 48 Balances</t>
  </si>
  <si>
    <t>Company Plane - Nonbusiness Use</t>
  </si>
  <si>
    <t>06/30/2018</t>
  </si>
  <si>
    <t>Nondeductible Fringe Benefits</t>
  </si>
  <si>
    <t>Reg Liability - Excess Income Tax Deferral - CA</t>
  </si>
  <si>
    <t>Reg Liability - Excess Income Tax Deferral - ID</t>
  </si>
  <si>
    <t>Reg Liability - Excess Income Tax Deferral - OR</t>
  </si>
  <si>
    <t>Reg Liability - Excess Income Tax Deferral - UT</t>
  </si>
  <si>
    <t>Reg Liability - Excess Income Tax Deferral - WA</t>
  </si>
  <si>
    <t>Reg Liability - Excess Income Tax Deferral - WY</t>
  </si>
  <si>
    <t>Reg Liability - FAS 158 Post Retirement</t>
  </si>
  <si>
    <t>09/30/2018</t>
  </si>
  <si>
    <t>12/31/2018</t>
  </si>
  <si>
    <t>Non-Protected PP&amp;E EDIT - ID</t>
  </si>
  <si>
    <t>Non-Protected PP&amp;E EDIT - OR</t>
  </si>
  <si>
    <t>Non-Protected PP&amp;E EDIT - WA</t>
  </si>
  <si>
    <t>Non-Protected PP&amp;E EDIT - WY</t>
  </si>
  <si>
    <t>Non-Protected PP&amp;E EDIT - UT</t>
  </si>
  <si>
    <t>Non-Protected PP&amp;E EDIT - FERC</t>
  </si>
  <si>
    <t>Nondeductible Parking Costs</t>
  </si>
  <si>
    <t>Nondeductible Legal Fees</t>
  </si>
  <si>
    <t>Contra Reg Asset - UMWA Pension</t>
  </si>
  <si>
    <t>Reg Liability - Oregon Clean Fuels Program</t>
  </si>
  <si>
    <t>Non-Property EDIT - UT</t>
  </si>
  <si>
    <t>Deferral of Protected PP&amp;E ARAM - CA</t>
  </si>
  <si>
    <t>Deferral of Protected PP&amp;E ARAM - ID</t>
  </si>
  <si>
    <t>Deferral of Protected PP&amp;E ARAM - OR</t>
  </si>
  <si>
    <t>Deferral of Protected PP&amp;E ARAM - UT</t>
  </si>
  <si>
    <t>Deferral of Protected PP&amp;E ARAM - WA</t>
  </si>
  <si>
    <t>Deferral of Protected PP&amp;E ARAM - WY</t>
  </si>
  <si>
    <t>Reg Asset - OR Transportation Electrification Pilot</t>
  </si>
  <si>
    <t>Research &amp; Experimentation Credits</t>
  </si>
  <si>
    <t>WCA Factor</t>
  </si>
  <si>
    <t>Washington</t>
  </si>
  <si>
    <t>Renewable Electricity Production Tax Credits - East</t>
  </si>
  <si>
    <t>Renewable Electricity Production Tax Credits - West</t>
  </si>
  <si>
    <t>Removal of State Deferred Income Tax Expense</t>
  </si>
  <si>
    <t>Remove Deferred State Tax Expense &amp; Balance</t>
  </si>
  <si>
    <t>Allowed</t>
  </si>
  <si>
    <t>Removal of Colstrip #4 AFUDC</t>
  </si>
  <si>
    <t>Lease Liability (Operating Lease)</t>
  </si>
  <si>
    <t>Non-Property EDIT - ID</t>
  </si>
  <si>
    <t>Reg Asset - WA Transportation Electrification Pilot</t>
  </si>
  <si>
    <t>Reg Asset - Lease Depreciation - Timing Difference</t>
  </si>
  <si>
    <t>Reg Asset - Community Solar - OR</t>
  </si>
  <si>
    <t>Reg Asset - Pension Settlement - WA</t>
  </si>
  <si>
    <t>Reg Liability - Contra - Carbon Decommissioning - ID</t>
  </si>
  <si>
    <t>Reg Liability - Contra - Carbon Decommissioning - UT</t>
  </si>
  <si>
    <t>ROU Asset (Operating Lease)</t>
  </si>
  <si>
    <t>Reg Asset - BPA Balancing Account - WA</t>
  </si>
  <si>
    <t>1/31/2019</t>
  </si>
  <si>
    <t>3/31/2019</t>
  </si>
  <si>
    <t>6/30/2019</t>
  </si>
  <si>
    <t xml:space="preserve">Book Depreciation Allocated to Capitalized M&amp;E </t>
  </si>
  <si>
    <t>Meals &amp; Entertainment</t>
  </si>
  <si>
    <t>Penalties- PMI</t>
  </si>
  <si>
    <t>Lobbying expenses</t>
  </si>
  <si>
    <t>Lobbying Expense</t>
  </si>
  <si>
    <t>PPL Pre-1943 Preferred Stock Dividend Deduction</t>
  </si>
  <si>
    <t>Utah Corporate Owned Life Insurance  (COLI) - ATL</t>
  </si>
  <si>
    <t>Dividend Received Deduction - PMI</t>
  </si>
  <si>
    <t xml:space="preserve">Capitalized labor and benefit costs </t>
  </si>
  <si>
    <t>Property Taxes - Lien Date</t>
  </si>
  <si>
    <t>Bad Debt Allowances</t>
  </si>
  <si>
    <t>Reg Asset - FAS 158 Pension Liab Adj.</t>
  </si>
  <si>
    <t>Reg Asset - FAS 158 Post Ret. Liab.</t>
  </si>
  <si>
    <t>Reg Asset - Post Retirement Settlement Loss</t>
  </si>
  <si>
    <t xml:space="preserve">Reg Asset - Post Retirement Settlement Loss - CC - UT </t>
  </si>
  <si>
    <t>Reg Asset - Post Retirement Settlement Loss - CC - WY</t>
  </si>
  <si>
    <t>Reg Asset - Utah STEP Pilot Program Balance Account</t>
  </si>
  <si>
    <t>Reg Asset - Environmental Costs - WA</t>
  </si>
  <si>
    <t>Reg Asset - Washington Colstrip #3</t>
  </si>
  <si>
    <t>Reg Asset - Lake Side Settlement - WY</t>
  </si>
  <si>
    <t>Reg Asset - Goodnoe Hills Settlement - WY</t>
  </si>
  <si>
    <t>Reg Asset - Post - Ret MMT - OR</t>
  </si>
  <si>
    <t>NonCurr Liab - Frozen MTM</t>
  </si>
  <si>
    <t>Reg Asset - Powerdale Decommissioning - ID</t>
  </si>
  <si>
    <t xml:space="preserve">Reg Asset - Storm Damage Deferral - CA </t>
  </si>
  <si>
    <t>Reg Asset - Deferred Overburden Costs - ID</t>
  </si>
  <si>
    <t>Reg Asset - Deferred Overburden Costs - WY</t>
  </si>
  <si>
    <t>Reg Asset - Solar Incentive Program - UT - Noncurrent</t>
  </si>
  <si>
    <t>Reg Asset - Deferred Excess NPC - OR - Noncurrent</t>
  </si>
  <si>
    <t>Reg Asset - REC Sales Deferral - UT - Noncurrent</t>
  </si>
  <si>
    <t>Reg Asset - REC Sales Deferral - WY - Noncurrent</t>
  </si>
  <si>
    <t>Hydro Relicensing Obligation</t>
  </si>
  <si>
    <t>N. Umpqua Settlement Agreement</t>
  </si>
  <si>
    <t>Reg Liability - BPA Balancing Account - ID</t>
  </si>
  <si>
    <t>Reg Asset - Demand Side Management - Noncurrent</t>
  </si>
  <si>
    <t>Accrued Bonus</t>
  </si>
  <si>
    <t>Accrued Vacation</t>
  </si>
  <si>
    <t>Sick Leave Accrual-PMI</t>
  </si>
  <si>
    <t xml:space="preserve">Accrued Retention Bonus </t>
  </si>
  <si>
    <t>Trojan Decommissioning Costs</t>
  </si>
  <si>
    <t xml:space="preserve">Accrued Final Reclamation </t>
  </si>
  <si>
    <t>Coal Mine Development Expense - PMI</t>
  </si>
  <si>
    <t>Reg Liability - DSM Balance Reclass</t>
  </si>
  <si>
    <t>Reg Asset - Alternative Rate for Energy Program (CARE) - CA</t>
  </si>
  <si>
    <t>Reg Liability - OR Direct Access 5 Year Opt Out</t>
  </si>
  <si>
    <t>Reg Liability - Blue Sky Program - OR</t>
  </si>
  <si>
    <t>Reg Liability - Blue Sky Program - WA</t>
  </si>
  <si>
    <t>Reg Liability - Blue Sky Program - CA</t>
  </si>
  <si>
    <t>Reg Liability - Blue Sky Program - UT</t>
  </si>
  <si>
    <t>Reg Liability - Blue Sky Program - ID</t>
  </si>
  <si>
    <t>Reg Liability - Blue Sky Program - WY</t>
  </si>
  <si>
    <t>Reg Liability - Sale of REC - UT - Noncurrent</t>
  </si>
  <si>
    <t>Reg Liability - Injuries &amp; Damages Reserve - OR</t>
  </si>
  <si>
    <t>Reg Liability - GHG Allowance Revenues - CA - Noncurrent</t>
  </si>
  <si>
    <t>Reg Liability - Property Insurance Reserve - OR</t>
  </si>
  <si>
    <t>Reg Liability - Property Insurance Reserve - ID</t>
  </si>
  <si>
    <t>Reg Liability - Property Insurance Reserve - WY</t>
  </si>
  <si>
    <t>Reg Liability - Deferred Excess NPC - OR - Noncurrent</t>
  </si>
  <si>
    <t>Reg Liability - Deferred Excess NPC - WA - Noncurrent</t>
  </si>
  <si>
    <t>Reg Liability - Deferred Excess NPC - WY - Noncurrent</t>
  </si>
  <si>
    <t>Reg Liability - Solar Feed-in Tariff Deferral - CA - Noncurrent</t>
  </si>
  <si>
    <t>Reg Liability - Solar Incentive Program - UT - Noncurrent</t>
  </si>
  <si>
    <t>Reg Liability - BPA Balancing Account - WA</t>
  </si>
  <si>
    <t>Pension/Retirement Accrual</t>
  </si>
  <si>
    <t>Western Coal Carrier Retiree Medical Accrual</t>
  </si>
  <si>
    <t>FAS 133 Derivatives - Noncurrent</t>
  </si>
  <si>
    <t>Post Merger Loss - Reacquired Debt</t>
  </si>
  <si>
    <t>Def Comp Mark to Mkt Gain/Loss - Income Stmt</t>
  </si>
  <si>
    <t>LTIP Mark to Mkt Gain/Loss - Income Stmt</t>
  </si>
  <si>
    <t>LTIP-Noncurrent</t>
  </si>
  <si>
    <t>Tax Depreciation - PMI</t>
  </si>
  <si>
    <t xml:space="preserve">AFUDC - Debt </t>
  </si>
  <si>
    <t>Contract Liability Basis Adjustment-Eagle Mountain</t>
  </si>
  <si>
    <t>Coal Mine Extension Costs - PMI</t>
  </si>
  <si>
    <t>Cholla SHL NOPA (Lease Amortization)</t>
  </si>
  <si>
    <t>ARO - reclass to ARO liabilities</t>
  </si>
  <si>
    <t>Book Gain/Loss on Property Disposition</t>
  </si>
  <si>
    <t>Trapper Mining Inc. Investment Basis</t>
  </si>
  <si>
    <t>Inventory Reserve</t>
  </si>
  <si>
    <t>Prepaid Fees - OR PUC</t>
  </si>
  <si>
    <t>Prepaid Fees - UT PSC</t>
  </si>
  <si>
    <t>Prepaid Fees - Idaho PUC</t>
  </si>
  <si>
    <t>Other Prepaid</t>
  </si>
  <si>
    <t xml:space="preserve">Prepaid Water Rights </t>
  </si>
  <si>
    <t>Contra RA - Pension Plan CTG</t>
  </si>
  <si>
    <t>Transmission Service Deposits</t>
  </si>
  <si>
    <t>Reg Asset - Environmental Cost</t>
  </si>
  <si>
    <t>Contra Reg Asset - Deer Creek Abandonment - CA</t>
  </si>
  <si>
    <t>Contra Reg Asset - Deer Creek Abandonment - ID</t>
  </si>
  <si>
    <t>Contra Reg Asset - Deer Creek Abandonment - OR</t>
  </si>
  <si>
    <t>Contra Reg Asset - Deer Creek Abandonment - UT</t>
  </si>
  <si>
    <t>Contra Reg Asset - Deer Creek Abandonment - WA</t>
  </si>
  <si>
    <t>Contra Reg Asset - UMWA Pension - CA</t>
  </si>
  <si>
    <t>Contra Reg Asset - UMWA Pension - WA</t>
  </si>
  <si>
    <t>Reg Asset - Preferred Stock Redemption Loss UT</t>
  </si>
  <si>
    <t>Reg Asset - Preferred Stock Redemption Loss WY</t>
  </si>
  <si>
    <t>Reg Asset - Deferred Intervenor Funding Grants - OR</t>
  </si>
  <si>
    <t>Reg Asset - Deferred Intervenor Funding Grants - CA</t>
  </si>
  <si>
    <t>Contra Pension Reg Asset MMT &amp; CTG - OR</t>
  </si>
  <si>
    <t>Contra Pension Reg Asset MMT &amp; CTG - CA</t>
  </si>
  <si>
    <t>Non Current Asset - Frozen MTM</t>
  </si>
  <si>
    <t>Reg Asset - Solar Feed-In Tariff Deferral - OR - Noncurrent</t>
  </si>
  <si>
    <t>Reg Asset - Deferred Excess NPC - WY '09 &amp; After - Noncurrent</t>
  </si>
  <si>
    <t>Reg Asset - Deferred Excess NPC - UT - Noncurrent</t>
  </si>
  <si>
    <t>Reg Asset - UT - Liquidation Damages JB4, N1&amp;2</t>
  </si>
  <si>
    <t>Reg Asset - Deferred Independent Evaluator Fee - UT</t>
  </si>
  <si>
    <t>Reg Asset - REC Sales Deferral - WA - Noncurrent</t>
  </si>
  <si>
    <t>Reg Asset - Deferred Excess NPC - ID - Noncurrent</t>
  </si>
  <si>
    <t>Reg Asset - Deferred Intervenor Funding Grants - ID</t>
  </si>
  <si>
    <t>Tenant Lease Allowances</t>
  </si>
  <si>
    <t>Reg Asset - Klamath Hydroelectric Relicensing Costs - UT</t>
  </si>
  <si>
    <t>Reg Asset - DSM Balance Reclass</t>
  </si>
  <si>
    <t>Deferred Revenue</t>
  </si>
  <si>
    <t>Amortization NOPAs 99-00 RAR</t>
  </si>
  <si>
    <t>PMI EITF04-06 Pre-Stripping Cost</t>
  </si>
  <si>
    <t>OR Reg Asset/Liability Consolidation Account</t>
  </si>
  <si>
    <t>Reg Liability - OR Energy Conservation Charge</t>
  </si>
  <si>
    <t>Reg Liability - Sale of REC - WY - Noncurrent</t>
  </si>
  <si>
    <t>Reg Liability - Property Insurance Reserve - UT</t>
  </si>
  <si>
    <t>Deferred Compensation Plan Benefits - PPL</t>
  </si>
  <si>
    <t>Accrued Severance</t>
  </si>
  <si>
    <t>FAS 158 Post-Retirement Asset</t>
  </si>
  <si>
    <t>Reg Asset - FAS133 Unrealized Gain/Loss</t>
  </si>
  <si>
    <t>Injuries and Damage reserve</t>
  </si>
  <si>
    <t xml:space="preserve">Wasatch Workers Comp Reserve </t>
  </si>
  <si>
    <t>Realized Gain/Loss from Trading Securities</t>
  </si>
  <si>
    <t>Bridger Coal Company Mine Reclamation Costs</t>
  </si>
  <si>
    <t>Reg Liability - Protected PP&amp;E ARAM - CA</t>
  </si>
  <si>
    <t>Reg Liability - Protected PP&amp;E ARAM - ID</t>
  </si>
  <si>
    <t>Reg Liability - Protected PP&amp;E ARAM - OR</t>
  </si>
  <si>
    <t>Reg Liability - Protected PP&amp;E ARAM - UT</t>
  </si>
  <si>
    <t>Reg Liability - Protected PP&amp;E ARAM - WA</t>
  </si>
  <si>
    <t>Reg Liability - Protected PP&amp;E ARAM - WY</t>
  </si>
  <si>
    <t>Valuation Allowance - Credit</t>
  </si>
  <si>
    <t>Reg Liability - Income Tax Property Flowthrough - Gross Up</t>
  </si>
  <si>
    <t>Reg Liability - Income Tax Property Flowthrough - PMI - Gross Up</t>
  </si>
  <si>
    <t>Reg Liability - Excess Deferred Income Taxes - CA</t>
  </si>
  <si>
    <t>Reg Liability - Excess Deferred Income Taxes - ID</t>
  </si>
  <si>
    <t>Reg Liability - Excess Deferred Income Taxes - OR</t>
  </si>
  <si>
    <t>Reg Liability - Excess Deferred Income Taxes - UT</t>
  </si>
  <si>
    <t>Reg Liability - Excess Deferred Income Taxes - WA</t>
  </si>
  <si>
    <t>Reg Liability - Excess Deferred Income Taxes - WY</t>
  </si>
  <si>
    <t>Reg Liability - Excess Deferred Income Taxes - FERC</t>
  </si>
  <si>
    <t>Bad Debt FIN 48 Balances</t>
  </si>
  <si>
    <t>Sales &amp; Use Tax Audit Exposure</t>
  </si>
  <si>
    <t>Pension Liability - UMWA Withdrawal Obligation</t>
  </si>
  <si>
    <t>Regulatory Liability - ITC</t>
  </si>
  <si>
    <t>DTA CO Tax Credit Carryforward</t>
  </si>
  <si>
    <t>Valuation Allowance - NOL</t>
  </si>
  <si>
    <t>BCC Money Market Interest Income - PMI</t>
  </si>
  <si>
    <t>DTA State Charitable Contribution Limit 2008</t>
  </si>
  <si>
    <t>DTA CA AMT Credit</t>
  </si>
  <si>
    <t>ERC Impairment Reserve</t>
  </si>
  <si>
    <t>Investment Tax Credits - DTA</t>
  </si>
  <si>
    <t>DTA 930.100 OR BETC</t>
  </si>
  <si>
    <t>WA Flow-through - Non-Property - DTL</t>
  </si>
  <si>
    <t>Net Operating Loss - State - 2008</t>
  </si>
  <si>
    <t>Net Operating Loss - State - 2008 (Federal Detriment)</t>
  </si>
  <si>
    <t>Reg Liability - Depreciation Decrease Deferral - WA</t>
  </si>
  <si>
    <t>DTA BETC Generated Credits</t>
  </si>
  <si>
    <t>DTA BETC Purchased Credits</t>
  </si>
  <si>
    <t>Reg Asset - SB 1149 Balance Reclass - Retired</t>
  </si>
  <si>
    <t>DTA Idaho ITC Carryforward</t>
  </si>
  <si>
    <t>DTA BETC Purchased Gain</t>
  </si>
  <si>
    <t>Non-current deferred federal tax correction benefit of interest</t>
  </si>
  <si>
    <t>Non-current deferred federal uncertain tax position benefit of interest</t>
  </si>
  <si>
    <t>Non-current deferred state tax correction benefit of interest</t>
  </si>
  <si>
    <t>Non-current deferred state uncertain tax position benefit of interest</t>
  </si>
  <si>
    <t>Capitalized labor costs for PowerTax input -Medicare Subsidy-Temporary</t>
  </si>
  <si>
    <t>Regulatory Adjustment:  Effects of Ratemaking - Fixed Assets - Fed/State</t>
  </si>
  <si>
    <t>Fixed Assets - State Modifications - DTL</t>
  </si>
  <si>
    <t>Mine Safety Sec 179E Election ~ PPW</t>
  </si>
  <si>
    <t>Reclass to §1031 Exchange Normalization Adjustment - General</t>
  </si>
  <si>
    <t>Reclass to §1031 Exchange Normalization Adjustment - Transmission</t>
  </si>
  <si>
    <t xml:space="preserve"> §1031 Exchange Normalization Adjustment</t>
  </si>
  <si>
    <t xml:space="preserve">Non-Protected PP&amp;E EDIT - CA </t>
  </si>
  <si>
    <t>Regulatory Adjustment: Effects of Ratemaking - Fixed Assets - PMI - Fed Only</t>
  </si>
  <si>
    <t>Cholla SHL (Tax Interest - Tax Rent)</t>
  </si>
  <si>
    <t>Income Tax Prop Flow-through - DTA - Fed/State</t>
  </si>
  <si>
    <t>Income Tax Prop Flow-through - PMI - DTA - Fed Only</t>
  </si>
  <si>
    <t>Reg Asset - Carbon Plant Decommissioning/Inventory - WA</t>
  </si>
  <si>
    <t>Reg Asset - Carbon Plant Decommissioning/Inventory - CA</t>
  </si>
  <si>
    <t>Reg Asset - Deferred Excess NPC - WA Hydro - Noncurrent</t>
  </si>
  <si>
    <t>Prepaid Fees - Wyoming PSC</t>
  </si>
  <si>
    <t>Contra Reg Asset - Deer Creek Abandonment - WY</t>
  </si>
  <si>
    <t>Reg Asset - Solar ITC Basis Adjustment</t>
  </si>
  <si>
    <t>Reg Asset - Carbon Plant Decommissioning/Inventory</t>
  </si>
  <si>
    <t>Reg Asset - CA GHG Allowances - Noncurrent</t>
  </si>
  <si>
    <t>ADIT Liability - State Reclass from Federal</t>
  </si>
  <si>
    <t>ADIT Liability - State Portion</t>
  </si>
  <si>
    <t>State Noncurrent DTL Reclass from Federal</t>
  </si>
  <si>
    <t>State Portion of Noncurrent DTL</t>
  </si>
  <si>
    <t>Renewable Electricity Production Tax Credits - System</t>
  </si>
  <si>
    <t>Reporting Period w/ NREG</t>
  </si>
  <si>
    <t>Bridger Coal Company Percentage Depletion - PMI</t>
  </si>
  <si>
    <t>6.5.5</t>
  </si>
  <si>
    <t xml:space="preserve">RL - Non-Protected PP&amp;E EDIT </t>
  </si>
  <si>
    <t>RL - Non-Protected PP&amp;E EDIT - Gross Up</t>
  </si>
  <si>
    <t>Reg Asset - Repowering Deferral</t>
  </si>
  <si>
    <t>Reg Asset - Renewable Energy Credits Deferral</t>
  </si>
  <si>
    <t>Deferred Income Tax Expense ~ ARAM - CA - Fed Only</t>
  </si>
  <si>
    <t>Deferred Income Tax Expense ~ ARAM - ID - Fed Only</t>
  </si>
  <si>
    <t>Deferred Income Tax Expense ~ ARAM - OR - Fed Only</t>
  </si>
  <si>
    <t>Deferred Income Tax Expense ~ ARAM - WA - Fed Only</t>
  </si>
  <si>
    <t>Deferred Income Tax Expense ~ ARAM - WYP - Fed Only</t>
  </si>
  <si>
    <t>Deferred Income Tax Expense ~ ARAM - WYU - Fed Only</t>
  </si>
  <si>
    <t>Deferred Income Tax Expense ~ ARAM - UT - Fed Only</t>
  </si>
  <si>
    <t>Deferred Income Tax Expense ~ ARAM - FERC - Fed Only</t>
  </si>
  <si>
    <t>Deferred Income Tax Expense ~ ARAM - Other - Fed Only</t>
  </si>
  <si>
    <t>Deferred Income Tax Expense ~ ARAM - CA - PMI</t>
  </si>
  <si>
    <t>Deferred Income Tax Expense ~ ARAM - OR - PMI</t>
  </si>
  <si>
    <t>Deferred Income Tax Expense ~ ARAM - WY - PMI</t>
  </si>
  <si>
    <t>Deferred Income Tax Expense ~ ARAM - UT - PMI</t>
  </si>
  <si>
    <t>Deferred Income Tax Expense ~ ARAM - ID - PMI</t>
  </si>
  <si>
    <t>Deferred Income Tax Expense ~ ARAM - FERC - PMI</t>
  </si>
  <si>
    <t>Nodal Pricing Model Adjustment</t>
  </si>
  <si>
    <t>Reclass</t>
  </si>
  <si>
    <t>RSGM Amortization - WA Federal only</t>
  </si>
  <si>
    <t>Deferred Income Tax Expense ~ ARAM - WA - PMI - Federal only</t>
  </si>
  <si>
    <t>Major Plant Additions</t>
  </si>
  <si>
    <t>Removal of Bridger SCR</t>
  </si>
  <si>
    <t>Washington Allocated</t>
  </si>
  <si>
    <t>PP&amp;E Adjustment - SG</t>
  </si>
  <si>
    <t>PP&amp;E Adjustment - JBG</t>
  </si>
  <si>
    <t>PP&amp;E Adjustment - SO</t>
  </si>
  <si>
    <t>Accelerated Depreciation - Jim Bridger &amp; Colstrip</t>
  </si>
  <si>
    <t>Depreciation Study - Repowering &amp; New Wind</t>
  </si>
  <si>
    <t>Depreciation Study Tax Adjustment</t>
  </si>
  <si>
    <t xml:space="preserve">Repowering Wind </t>
  </si>
  <si>
    <t>New Wind</t>
  </si>
  <si>
    <t>Production Factor</t>
  </si>
  <si>
    <t>Non-emitting Resources</t>
  </si>
  <si>
    <t>2020 Transmission Transition Plan Adjustment</t>
  </si>
  <si>
    <t>SCHMAT</t>
  </si>
  <si>
    <t>Removal of Colstrip #3</t>
  </si>
  <si>
    <t>SCHMDT</t>
  </si>
  <si>
    <t>Removal of State Deferred Exp &amp; Bal Adjustment</t>
  </si>
  <si>
    <t>Removal of TCJA Def Bal Adjustment</t>
  </si>
  <si>
    <t>ADIT Balance Adjustment</t>
  </si>
  <si>
    <t>Existing Transmission Transition Plan Adjustment</t>
  </si>
  <si>
    <t>Subtotal</t>
  </si>
  <si>
    <t>Total PP&amp;E 41110</t>
  </si>
  <si>
    <t>Total PP&amp;E 41010</t>
  </si>
  <si>
    <t>Total PP&amp;E SCHMDT</t>
  </si>
  <si>
    <t>Total PP&amp;E SCHMAT</t>
  </si>
  <si>
    <t>PP&amp;E Tax Adjustment - CA</t>
  </si>
  <si>
    <t>PP&amp;E Tax Adjustment - CAEE</t>
  </si>
  <si>
    <t>PP&amp;E Tax Adjustment - CAGE</t>
  </si>
  <si>
    <t>PP&amp;E Tax Adjustment - CAGW</t>
  </si>
  <si>
    <t>PP&amp;E Tax Adjustment - CIAC</t>
  </si>
  <si>
    <t>PP&amp;E Tax Adjustment - CN</t>
  </si>
  <si>
    <t>PP&amp;E Tax Adjustment - IDU</t>
  </si>
  <si>
    <t>PP&amp;E Tax Adjustment - JBG</t>
  </si>
  <si>
    <t>PP&amp;E Tax Adjustment - OR</t>
  </si>
  <si>
    <t>PP&amp;E Tax Adjustment - SG</t>
  </si>
  <si>
    <t>PP&amp;E Tax Adjustment - SO</t>
  </si>
  <si>
    <t>PP&amp;E Tax Adjustment - SNP</t>
  </si>
  <si>
    <t>PP&amp;E Tax Adjustment - SNPD</t>
  </si>
  <si>
    <t>PP&amp;E Tax Adjustment - UT</t>
  </si>
  <si>
    <t>PP&amp;E Tax Adjustment - WA</t>
  </si>
  <si>
    <t>PP&amp;E Tax Adjustment - WYP</t>
  </si>
  <si>
    <t>Total 282</t>
  </si>
  <si>
    <t>Subtotal 282</t>
  </si>
  <si>
    <t>WA Allocated TCJA</t>
  </si>
  <si>
    <t>PP&amp;E Adjustment - CA</t>
  </si>
  <si>
    <t>PP&amp;E Adjustment - CAEE</t>
  </si>
  <si>
    <t>PP&amp;E Adjustment - CAGE</t>
  </si>
  <si>
    <t>PP&amp;E Adjustment - CAGW</t>
  </si>
  <si>
    <t>PP&amp;E Adjustment - CN</t>
  </si>
  <si>
    <t>PP&amp;E Adjustment - IDU</t>
  </si>
  <si>
    <t>PP&amp;E Adjustment - OR</t>
  </si>
  <si>
    <t>PP&amp;E Adjustment - UT</t>
  </si>
  <si>
    <t>PP&amp;E Adjustment - WA</t>
  </si>
  <si>
    <t>PP&amp;E Adjustment - WYP</t>
  </si>
  <si>
    <t>WA - ARAM Adj.</t>
  </si>
  <si>
    <t>WA - Flowthrough Adj.</t>
  </si>
  <si>
    <t>WA - RSGM Amortization</t>
  </si>
  <si>
    <t>WA - TCJA Adj</t>
  </si>
  <si>
    <t>WA - Remove State Def Tax Exp</t>
  </si>
  <si>
    <t>Allocation Factors</t>
  </si>
  <si>
    <t>See tab 'SCHMDT'</t>
  </si>
  <si>
    <t>See tab 'SCHMAT'</t>
  </si>
  <si>
    <t>See tab '41110'</t>
  </si>
  <si>
    <t>See tab '41010'</t>
  </si>
  <si>
    <t>See tab '282'</t>
  </si>
  <si>
    <t>Item</t>
  </si>
  <si>
    <t>Company</t>
  </si>
  <si>
    <t>Fully Normalized, Excluding equity AFUDC</t>
  </si>
  <si>
    <t>Pre-TCJA Regulatory Asset</t>
  </si>
  <si>
    <t>Unamortized TJCA Protected EDIT</t>
  </si>
  <si>
    <t>Accumulated Deferred Income Tax Before Adjustments: FERC Acct. 282</t>
  </si>
  <si>
    <t>Depreciation Study: Repowering &amp; New Wind</t>
  </si>
  <si>
    <t>Removal of State Income Tax</t>
  </si>
  <si>
    <t>Depreciation Study: Tax Adjustment</t>
  </si>
  <si>
    <t>Wind Repowering</t>
  </si>
  <si>
    <t>Non-Emitting Resources</t>
  </si>
  <si>
    <t>Adjustments</t>
  </si>
  <si>
    <t>Test Period Accumulated Deferred Income Tax: FERC Acct. 282</t>
  </si>
  <si>
    <t>Ref.</t>
  </si>
  <si>
    <t>NOTE</t>
  </si>
  <si>
    <t>NOTE: This reconciliation excludes the 7.4 adjustment since this reconciliation starts with ($258,041,246), which is after the 7.4 adjustment is made.</t>
  </si>
  <si>
    <t>Check</t>
  </si>
  <si>
    <t>Injuries and Damages Reserve</t>
  </si>
  <si>
    <t>Income Tax Interest</t>
  </si>
  <si>
    <t>Tax Percentage Depletion - Blundell</t>
  </si>
  <si>
    <t>Reg Asset - CA Transportation Electrification Pilot</t>
  </si>
  <si>
    <t>Reg Asset - Deferred Excess NPC - CA - Noncurrent</t>
  </si>
  <si>
    <t>DIT Expense on Temporary Book-Tax Differences (Deductions)(410)</t>
  </si>
  <si>
    <t>Accelerated Depreciation: Jim Bridger &amp; Colstrip</t>
  </si>
  <si>
    <t>Reconciliation to JAM:</t>
  </si>
  <si>
    <t xml:space="preserve">CWIP Reserve </t>
  </si>
  <si>
    <t>CWIP Reserve</t>
  </si>
  <si>
    <t>New Wind &amp; Repower Flowthrough (SG)</t>
  </si>
  <si>
    <t>Repowering - Flowthrough</t>
  </si>
  <si>
    <t>New Wind - Flowthrough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</si>
</sst>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_);\(0.000\)"/>
    <numFmt numFmtId="165" formatCode="0.000"/>
    <numFmt numFmtId="166" formatCode="0.0000%"/>
    <numFmt numFmtId="167" formatCode="0_);\(0\)"/>
    <numFmt numFmtId="168" formatCode="mmmm\ d\,\ yyyy"/>
    <numFmt numFmtId="169" formatCode="0.000%"/>
    <numFmt numFmtId="170" formatCode="0.00_)"/>
    <numFmt numFmtId="171" formatCode="#,##0.0000"/>
    <numFmt numFmtId="172" formatCode="&quot;$&quot;#,##0\ ;\(&quot;$&quot;#,##0\)"/>
    <numFmt numFmtId="173" formatCode="0.0"/>
    <numFmt numFmtId="174" formatCode="_(* #,##0_);_(* \(#,##0\);_(* &quot;-&quot;??_);_(@_)"/>
    <numFmt numFmtId="175" formatCode="###,000"/>
    <numFmt numFmtId="176" formatCode="_-* #,##0\ &quot;F&quot;_-;\-* #,##0\ &quot;F&quot;_-;_-* &quot;-&quot;\ &quot;F&quot;_-;_-@_-"/>
    <numFmt numFmtId="177" formatCode="_(* #,##0.00_);[Red]_(* \(#,##0.00\);_(* &quot;-&quot;??_);_(@_)"/>
    <numFmt numFmtId="178" formatCode="&quot;$&quot;###0;[Red]\(&quot;$&quot;###0\)"/>
    <numFmt numFmtId="179" formatCode="########\-###\-###"/>
    <numFmt numFmtId="180" formatCode="#,##0.000;[Red]\-#,##0.000"/>
    <numFmt numFmtId="181" formatCode="#,##0.0_);\(#,##0.0\);\-\ ;"/>
    <numFmt numFmtId="182" formatCode="mmm\ dd\,\ yyyy"/>
    <numFmt numFmtId="183" formatCode="General_)"/>
    <numFmt numFmtId="184" formatCode="0.00000%"/>
    <numFmt numFmtId="185" formatCode="#,##0.0_);\(#,##0.0\)"/>
  </numFmts>
  <fonts count="10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2"/>
      <name val="Arial MT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8"/>
      <name val="TimesNewRomanPS"/>
    </font>
    <font>
      <b/>
      <i/>
      <sz val="16"/>
      <name val="Helv"/>
    </font>
    <font>
      <sz val="10"/>
      <color indexed="11"/>
      <name val="Geneva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8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color indexed="11"/>
      <name val="Geneva"/>
      <family val="2"/>
    </font>
    <font>
      <sz val="8"/>
      <name val="Arial"/>
      <family val="2"/>
    </font>
    <font>
      <sz val="12"/>
      <name val="Helv"/>
    </font>
    <font>
      <b/>
      <sz val="14"/>
      <name val="Helv"/>
    </font>
    <font>
      <sz val="24"/>
      <color indexed="13"/>
      <name val="Helv"/>
    </font>
    <font>
      <sz val="10"/>
      <name val="Tms Rmn"/>
    </font>
    <font>
      <sz val="8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2"/>
      <color indexed="24"/>
      <name val="Arial"/>
      <family val="2"/>
    </font>
    <font>
      <u/>
      <sz val="12"/>
      <color indexed="24"/>
      <name val="Arial"/>
      <family val="2"/>
    </font>
    <font>
      <sz val="8"/>
      <color indexed="24"/>
      <name val="Arial"/>
      <family val="2"/>
    </font>
    <font>
      <sz val="12"/>
      <name val="Times New Roman"/>
      <family val="1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63"/>
      <name val="Arial"/>
      <family val="2"/>
    </font>
    <font>
      <sz val="8"/>
      <color indexed="62"/>
      <name val="Arial"/>
      <family val="2"/>
    </font>
    <font>
      <sz val="10"/>
      <color indexed="24"/>
      <name val="Courier New"/>
      <family val="3"/>
    </font>
    <font>
      <sz val="10"/>
      <name val="MS Sans Serif"/>
      <family val="2"/>
    </font>
    <font>
      <sz val="8"/>
      <name val="Helv"/>
    </font>
    <font>
      <b/>
      <sz val="16"/>
      <name val="Times New Roman"/>
      <family val="1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b/>
      <i/>
      <sz val="8"/>
      <color indexed="18"/>
      <name val="Helv"/>
    </font>
    <font>
      <sz val="11"/>
      <name val="TimesNewRomanPS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sz val="10"/>
      <color indexed="39"/>
      <name val="Arial"/>
      <family val="2"/>
    </font>
    <font>
      <sz val="10"/>
      <name val="LinePrinter"/>
    </font>
    <font>
      <sz val="10"/>
      <color rgb="FF9C0006"/>
      <name val="Arial"/>
      <family val="2"/>
    </font>
    <font>
      <u/>
      <sz val="10"/>
      <color theme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color rgb="FFFF0000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9"/>
        <bgColor indexed="40"/>
      </patternFill>
    </fill>
    <fill>
      <patternFill patternType="solid">
        <fgColor indexed="15"/>
      </patternFill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gray125">
        <fgColor indexed="8"/>
      </patternFill>
    </fill>
    <fill>
      <patternFill patternType="solid">
        <fgColor indexed="12"/>
      </patternFill>
    </fill>
    <fill>
      <patternFill patternType="solid">
        <fgColor rgb="FFFFC7CE"/>
      </patternFill>
    </fill>
    <fill>
      <patternFill patternType="solid">
        <fgColor indexed="55"/>
        <bgColor indexed="64"/>
      </patternFill>
    </fill>
    <fill>
      <patternFill patternType="solid">
        <fgColor indexed="50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466">
    <xf numFmtId="0" fontId="0" fillId="0" borderId="0"/>
    <xf numFmtId="9" fontId="6" fillId="0" borderId="0" applyFont="0" applyFill="0" applyBorder="0" applyAlignment="0" applyProtection="0"/>
    <xf numFmtId="0" fontId="7" fillId="0" borderId="0"/>
    <xf numFmtId="4" fontId="10" fillId="0" borderId="4" applyNumberFormat="0" applyProtection="0">
      <alignment horizontal="left" vertical="center" indent="1"/>
    </xf>
    <xf numFmtId="4" fontId="11" fillId="3" borderId="4" applyNumberFormat="0" applyProtection="0"/>
    <xf numFmtId="0" fontId="10" fillId="3" borderId="5" applyNumberFormat="0" applyProtection="0">
      <alignment horizontal="left" vertical="top"/>
    </xf>
    <xf numFmtId="4" fontId="10" fillId="0" borderId="5" applyNumberFormat="0" applyProtection="0">
      <alignment horizontal="right" vertical="center"/>
    </xf>
    <xf numFmtId="4" fontId="11" fillId="4" borderId="5" applyNumberFormat="0" applyProtection="0">
      <alignment horizontal="left" vertical="center" indent="1"/>
    </xf>
    <xf numFmtId="4" fontId="11" fillId="5" borderId="5" applyNumberFormat="0" applyProtection="0">
      <alignment vertical="center"/>
    </xf>
    <xf numFmtId="0" fontId="7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1" fontId="16" fillId="0" borderId="0"/>
    <xf numFmtId="37" fontId="7" fillId="0" borderId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5" fontId="17" fillId="0" borderId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0" fontId="17" fillId="0" borderId="0"/>
    <xf numFmtId="0" fontId="17" fillId="0" borderId="0"/>
    <xf numFmtId="2" fontId="7" fillId="0" borderId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38" fontId="20" fillId="0" borderId="0">
      <alignment horizontal="left" wrapText="1"/>
    </xf>
    <xf numFmtId="38" fontId="21" fillId="0" borderId="0">
      <alignment horizontal="left" wrapText="1"/>
    </xf>
    <xf numFmtId="37" fontId="22" fillId="0" borderId="0" applyNumberFormat="0" applyFill="0" applyBorder="0"/>
    <xf numFmtId="170" fontId="23" fillId="0" borderId="0"/>
    <xf numFmtId="37" fontId="17" fillId="0" borderId="0"/>
    <xf numFmtId="0" fontId="17" fillId="0" borderId="0"/>
    <xf numFmtId="0" fontId="17" fillId="0" borderId="0"/>
    <xf numFmtId="9" fontId="24" fillId="0" borderId="0"/>
    <xf numFmtId="4" fontId="11" fillId="5" borderId="23" applyNumberFormat="0" applyProtection="0">
      <alignment vertical="center"/>
    </xf>
    <xf numFmtId="4" fontId="11" fillId="4" borderId="23" applyNumberFormat="0" applyProtection="0">
      <alignment horizontal="left" vertical="center" indent="1"/>
    </xf>
    <xf numFmtId="4" fontId="11" fillId="3" borderId="23" applyNumberFormat="0" applyProtection="0"/>
    <xf numFmtId="4" fontId="11" fillId="12" borderId="24" applyNumberFormat="0" applyProtection="0">
      <alignment horizontal="left" vertical="center" indent="1"/>
    </xf>
    <xf numFmtId="4" fontId="10" fillId="13" borderId="0" applyNumberFormat="0" applyProtection="0">
      <alignment horizontal="left" vertical="center" indent="1"/>
    </xf>
    <xf numFmtId="4" fontId="27" fillId="0" borderId="0" applyNumberFormat="0" applyProtection="0">
      <alignment horizontal="left" vertical="center" indent="1"/>
    </xf>
    <xf numFmtId="4" fontId="25" fillId="14" borderId="0" applyNumberFormat="0" applyProtection="0"/>
    <xf numFmtId="4" fontId="10" fillId="0" borderId="23" applyNumberFormat="0" applyProtection="0">
      <alignment horizontal="right" vertical="center"/>
    </xf>
    <xf numFmtId="4" fontId="10" fillId="0" borderId="23" applyNumberFormat="0" applyProtection="0">
      <alignment horizontal="left" vertical="center" indent="1"/>
    </xf>
    <xf numFmtId="0" fontId="10" fillId="3" borderId="23" applyNumberFormat="0" applyProtection="0">
      <alignment horizontal="left" vertical="top"/>
    </xf>
    <xf numFmtId="4" fontId="26" fillId="15" borderId="0" applyNumberFormat="0" applyProtection="0">
      <alignment horizontal="left" vertical="center" indent="1"/>
    </xf>
    <xf numFmtId="37" fontId="13" fillId="16" borderId="0" applyNumberFormat="0" applyFont="0" applyBorder="0" applyAlignment="0" applyProtection="0"/>
    <xf numFmtId="171" fontId="7" fillId="0" borderId="1">
      <alignment horizontal="justify" vertical="top" wrapText="1"/>
    </xf>
    <xf numFmtId="38" fontId="7" fillId="0" borderId="0">
      <alignment horizontal="left" wrapText="1"/>
    </xf>
    <xf numFmtId="0" fontId="7" fillId="0" borderId="25" applyNumberFormat="0" applyFill="0" applyAlignment="0" applyProtection="0"/>
    <xf numFmtId="0" fontId="17" fillId="0" borderId="26"/>
    <xf numFmtId="0" fontId="17" fillId="0" borderId="27"/>
    <xf numFmtId="0" fontId="7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0"/>
    <xf numFmtId="0" fontId="7" fillId="0" borderId="25" applyNumberFormat="0" applyFill="0" applyAlignment="0" applyProtection="0"/>
    <xf numFmtId="0" fontId="7" fillId="0" borderId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0"/>
    <xf numFmtId="0" fontId="7" fillId="0" borderId="25" applyNumberFormat="0" applyFill="0" applyAlignment="0" applyProtection="0"/>
    <xf numFmtId="0" fontId="7" fillId="0" borderId="0"/>
    <xf numFmtId="0" fontId="7" fillId="0" borderId="25" applyNumberFormat="0" applyFill="0" applyAlignment="0" applyProtection="0"/>
    <xf numFmtId="0" fontId="7" fillId="0" borderId="0"/>
    <xf numFmtId="0" fontId="7" fillId="0" borderId="25" applyNumberFormat="0" applyFill="0" applyAlignment="0" applyProtection="0"/>
    <xf numFmtId="0" fontId="7" fillId="0" borderId="0"/>
    <xf numFmtId="0" fontId="7" fillId="0" borderId="25" applyNumberFormat="0" applyFill="0" applyAlignment="0" applyProtection="0"/>
    <xf numFmtId="0" fontId="7" fillId="0" borderId="0"/>
    <xf numFmtId="0" fontId="7" fillId="0" borderId="25" applyNumberFormat="0" applyFill="0" applyAlignment="0" applyProtection="0"/>
    <xf numFmtId="0" fontId="7" fillId="0" borderId="0"/>
    <xf numFmtId="0" fontId="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4" fontId="10" fillId="0" borderId="23" applyNumberFormat="0" applyProtection="0">
      <alignment horizontal="left" vertical="center" indent="1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38" fontId="7" fillId="0" borderId="0">
      <alignment horizontal="left" wrapText="1"/>
    </xf>
    <xf numFmtId="0" fontId="7" fillId="0" borderId="25" applyNumberFormat="0" applyFill="0" applyAlignment="0" applyProtection="0"/>
    <xf numFmtId="9" fontId="6" fillId="0" borderId="0" applyFont="0" applyFill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169" fontId="7" fillId="0" borderId="0">
      <protection locked="0"/>
    </xf>
    <xf numFmtId="2" fontId="7" fillId="0" borderId="0" applyFill="0" applyBorder="0" applyAlignment="0" applyProtection="0"/>
    <xf numFmtId="169" fontId="7" fillId="0" borderId="0">
      <protection locked="0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2" fontId="7" fillId="0" borderId="0" applyFill="0" applyBorder="0" applyAlignment="0" applyProtection="0"/>
    <xf numFmtId="168" fontId="7" fillId="0" borderId="0" applyFill="0" applyBorder="0" applyAlignment="0" applyProtection="0"/>
    <xf numFmtId="5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38" fontId="7" fillId="0" borderId="0">
      <alignment horizontal="left" wrapText="1"/>
    </xf>
    <xf numFmtId="0" fontId="7" fillId="0" borderId="25" applyNumberFormat="0" applyFill="0" applyAlignment="0" applyProtection="0"/>
    <xf numFmtId="0" fontId="7" fillId="0" borderId="0"/>
    <xf numFmtId="171" fontId="7" fillId="0" borderId="1">
      <alignment horizontal="justify" vertical="top" wrapText="1"/>
    </xf>
    <xf numFmtId="38" fontId="7" fillId="0" borderId="0">
      <alignment horizontal="left" wrapText="1"/>
    </xf>
    <xf numFmtId="0" fontId="7" fillId="0" borderId="25" applyNumberFormat="0" applyFill="0" applyAlignment="0" applyProtection="0"/>
    <xf numFmtId="0" fontId="4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5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4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45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45" fillId="26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45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45" fillId="1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45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45" fillId="27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45" fillId="24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45" fillId="1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45" fillId="28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46" fillId="29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46" fillId="21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46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46" fillId="31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46" fillId="32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46" fillId="33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46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46" fillId="36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46" fillId="3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46" fillId="31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46" fillId="32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46" fillId="30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7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48" fillId="39" borderId="28" applyNumberFormat="0" applyAlignment="0" applyProtection="0"/>
    <xf numFmtId="0" fontId="59" fillId="40" borderId="18" applyNumberFormat="0" applyAlignment="0" applyProtection="0"/>
    <xf numFmtId="0" fontId="59" fillId="40" borderId="18" applyNumberFormat="0" applyAlignment="0" applyProtection="0"/>
    <xf numFmtId="0" fontId="43" fillId="0" borderId="0"/>
    <xf numFmtId="0" fontId="49" fillId="41" borderId="29" applyNumberFormat="0" applyAlignment="0" applyProtection="0"/>
    <xf numFmtId="0" fontId="32" fillId="7" borderId="20" applyNumberFormat="0" applyAlignment="0" applyProtection="0"/>
    <xf numFmtId="0" fontId="32" fillId="7" borderId="20" applyNumberFormat="0" applyAlignment="0" applyProtection="0"/>
    <xf numFmtId="0" fontId="15" fillId="0" borderId="0"/>
    <xf numFmtId="0" fontId="35" fillId="10" borderId="0" applyNumberFormat="0" applyBorder="0" applyAlignment="0" applyProtection="0"/>
    <xf numFmtId="37" fontId="7" fillId="0" borderId="0" applyFill="0" applyBorder="0" applyAlignment="0" applyProtection="0"/>
    <xf numFmtId="0" fontId="35" fillId="38" borderId="0" applyNumberFormat="0" applyBorder="0" applyAlignment="0" applyProtection="0"/>
    <xf numFmtId="0" fontId="46" fillId="31" borderId="0" applyNumberFormat="0" applyBorder="0" applyAlignment="0" applyProtection="0"/>
    <xf numFmtId="0" fontId="35" fillId="28" borderId="0" applyNumberFormat="0" applyBorder="0" applyAlignment="0" applyProtection="0"/>
    <xf numFmtId="0" fontId="46" fillId="36" borderId="0" applyNumberFormat="0" applyBorder="0" applyAlignment="0" applyProtection="0"/>
    <xf numFmtId="0" fontId="35" fillId="35" borderId="0" applyNumberFormat="0" applyBorder="0" applyAlignment="0" applyProtection="0"/>
    <xf numFmtId="0" fontId="46" fillId="34" borderId="0" applyNumberFormat="0" applyBorder="0" applyAlignment="0" applyProtection="0"/>
    <xf numFmtId="5" fontId="7" fillId="0" borderId="0" applyFill="0" applyBorder="0" applyAlignment="0" applyProtection="0"/>
    <xf numFmtId="0" fontId="45" fillId="23" borderId="37" applyNumberFormat="0" applyFont="0" applyAlignment="0" applyProtection="0"/>
    <xf numFmtId="0" fontId="40" fillId="0" borderId="0"/>
    <xf numFmtId="0" fontId="40" fillId="0" borderId="30"/>
    <xf numFmtId="168" fontId="7" fillId="0" borderId="0" applyFill="0" applyBorder="0" applyAlignment="0" applyProtection="0"/>
    <xf numFmtId="0" fontId="35" fillId="26" borderId="0" applyNumberFormat="0" applyBorder="0" applyAlignment="0" applyProtection="0"/>
    <xf numFmtId="0" fontId="46" fillId="32" borderId="0" applyNumberFormat="0" applyBorder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" fontId="7" fillId="0" borderId="0" applyFill="0" applyBorder="0" applyAlignment="0" applyProtection="0"/>
    <xf numFmtId="0" fontId="35" fillId="28" borderId="0" applyNumberFormat="0" applyBorder="0" applyAlignment="0" applyProtection="0"/>
    <xf numFmtId="0" fontId="46" fillId="21" borderId="0" applyNumberFormat="0" applyBorder="0" applyAlignment="0" applyProtection="0"/>
    <xf numFmtId="0" fontId="51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38" fontId="39" fillId="17" borderId="0" applyNumberFormat="0" applyBorder="0" applyAlignment="0" applyProtection="0"/>
    <xf numFmtId="38" fontId="39" fillId="17" borderId="0" applyNumberFormat="0" applyBorder="0" applyAlignment="0" applyProtection="0"/>
    <xf numFmtId="38" fontId="39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60" fillId="0" borderId="31" applyNumberFormat="0" applyFill="0" applyAlignment="0" applyProtection="0"/>
    <xf numFmtId="0" fontId="60" fillId="0" borderId="31" applyNumberFormat="0" applyFill="0" applyAlignment="0" applyProtection="0"/>
    <xf numFmtId="0" fontId="35" fillId="26" borderId="0" applyNumberFormat="0" applyBorder="0" applyAlignment="0" applyProtection="0"/>
    <xf numFmtId="0" fontId="19" fillId="0" borderId="0" applyNumberFormat="0" applyFill="0" applyBorder="0" applyAlignment="0" applyProtection="0"/>
    <xf numFmtId="0" fontId="61" fillId="0" borderId="32" applyNumberFormat="0" applyFill="0" applyAlignment="0" applyProtection="0"/>
    <xf numFmtId="0" fontId="61" fillId="0" borderId="32" applyNumberFormat="0" applyFill="0" applyAlignment="0" applyProtection="0"/>
    <xf numFmtId="0" fontId="52" fillId="0" borderId="33" applyNumberFormat="0" applyFill="0" applyAlignment="0" applyProtection="0"/>
    <xf numFmtId="0" fontId="62" fillId="0" borderId="34" applyNumberFormat="0" applyFill="0" applyAlignment="0" applyProtection="0"/>
    <xf numFmtId="0" fontId="62" fillId="0" borderId="34" applyNumberFormat="0" applyFill="0" applyAlignment="0" applyProtection="0"/>
    <xf numFmtId="0" fontId="5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169" fontId="7" fillId="0" borderId="0">
      <protection locked="0"/>
    </xf>
    <xf numFmtId="0" fontId="45" fillId="19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53" fillId="25" borderId="28" applyNumberFormat="0" applyAlignment="0" applyProtection="0"/>
    <xf numFmtId="10" fontId="39" fillId="42" borderId="17" applyNumberFormat="0" applyBorder="0" applyAlignment="0" applyProtection="0"/>
    <xf numFmtId="10" fontId="39" fillId="42" borderId="17" applyNumberFormat="0" applyBorder="0" applyAlignment="0" applyProtection="0"/>
    <xf numFmtId="10" fontId="39" fillId="42" borderId="17" applyNumberFormat="0" applyBorder="0" applyAlignment="0" applyProtection="0"/>
    <xf numFmtId="0" fontId="30" fillId="5" borderId="18" applyNumberFormat="0" applyAlignment="0" applyProtection="0"/>
    <xf numFmtId="0" fontId="30" fillId="5" borderId="18" applyNumberFormat="0" applyAlignment="0" applyProtection="0"/>
    <xf numFmtId="0" fontId="6" fillId="5" borderId="0" applyNumberFormat="0" applyBorder="0" applyAlignment="0" applyProtection="0"/>
    <xf numFmtId="0" fontId="41" fillId="43" borderId="30"/>
    <xf numFmtId="0" fontId="54" fillId="0" borderId="35" applyNumberFormat="0" applyFill="0" applyAlignment="0" applyProtection="0"/>
    <xf numFmtId="0" fontId="63" fillId="0" borderId="36" applyNumberFormat="0" applyFill="0" applyAlignment="0" applyProtection="0"/>
    <xf numFmtId="0" fontId="63" fillId="0" borderId="36" applyNumberFormat="0" applyFill="0" applyAlignment="0" applyProtection="0"/>
    <xf numFmtId="0" fontId="55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6" borderId="0" applyNumberFormat="0" applyBorder="0" applyAlignment="0" applyProtection="0"/>
    <xf numFmtId="0" fontId="45" fillId="27" borderId="0" applyNumberFormat="0" applyBorder="0" applyAlignment="0" applyProtection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45" fillId="23" borderId="37" applyNumberFormat="0" applyFont="0" applyAlignment="0" applyProtection="0"/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0" fontId="56" fillId="39" borderId="38" applyNumberFormat="0" applyAlignment="0" applyProtection="0"/>
    <xf numFmtId="0" fontId="31" fillId="40" borderId="19" applyNumberFormat="0" applyAlignment="0" applyProtection="0"/>
    <xf numFmtId="0" fontId="31" fillId="40" borderId="19" applyNumberFormat="0" applyAlignment="0" applyProtection="0"/>
    <xf numFmtId="40" fontId="10" fillId="44" borderId="0">
      <alignment horizontal="right"/>
    </xf>
    <xf numFmtId="0" fontId="11" fillId="44" borderId="0">
      <alignment horizontal="left"/>
    </xf>
    <xf numFmtId="0" fontId="6" fillId="23" borderId="0" applyNumberFormat="0" applyBorder="0" applyAlignment="0" applyProtection="0"/>
    <xf numFmtId="10" fontId="7" fillId="0" borderId="0" applyFont="0" applyFill="0" applyBorder="0" applyAlignment="0" applyProtection="0"/>
    <xf numFmtId="9" fontId="38" fillId="0" borderId="0"/>
    <xf numFmtId="0" fontId="40" fillId="0" borderId="0"/>
    <xf numFmtId="0" fontId="45" fillId="25" borderId="0" applyNumberFormat="0" applyBorder="0" applyAlignment="0" applyProtection="0"/>
    <xf numFmtId="171" fontId="7" fillId="0" borderId="1">
      <alignment horizontal="justify" vertical="top" wrapText="1"/>
    </xf>
    <xf numFmtId="0" fontId="44" fillId="45" borderId="39"/>
    <xf numFmtId="0" fontId="40" fillId="0" borderId="30"/>
    <xf numFmtId="38" fontId="7" fillId="0" borderId="0">
      <alignment horizontal="left" wrapText="1"/>
    </xf>
    <xf numFmtId="0" fontId="6" fillId="25" borderId="0" applyNumberFormat="0" applyBorder="0" applyAlignment="0" applyProtection="0"/>
    <xf numFmtId="0" fontId="45" fillId="24" borderId="0" applyNumberFormat="0" applyBorder="0" applyAlignment="0" applyProtection="0"/>
    <xf numFmtId="0" fontId="6" fillId="23" borderId="0" applyNumberFormat="0" applyBorder="0" applyAlignment="0" applyProtection="0"/>
    <xf numFmtId="0" fontId="57" fillId="0" borderId="0" applyNumberFormat="0" applyFill="0" applyBorder="0" applyAlignment="0" applyProtection="0"/>
    <xf numFmtId="0" fontId="42" fillId="46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14" fillId="0" borderId="40" applyNumberFormat="0" applyFill="0" applyAlignment="0" applyProtection="0"/>
    <xf numFmtId="0" fontId="14" fillId="0" borderId="40" applyNumberFormat="0" applyFill="0" applyAlignment="0" applyProtection="0"/>
    <xf numFmtId="0" fontId="7" fillId="0" borderId="25" applyNumberFormat="0" applyFill="0" applyAlignment="0" applyProtection="0"/>
    <xf numFmtId="0" fontId="45" fillId="18" borderId="0" applyNumberFormat="0" applyBorder="0" applyAlignment="0" applyProtection="0"/>
    <xf numFmtId="0" fontId="41" fillId="0" borderId="41"/>
    <xf numFmtId="0" fontId="41" fillId="0" borderId="30"/>
    <xf numFmtId="0" fontId="36" fillId="0" borderId="0"/>
    <xf numFmtId="38" fontId="10" fillId="0" borderId="9" applyFill="0" applyBorder="0" applyAlignment="0" applyProtection="0">
      <protection locked="0"/>
    </xf>
    <xf numFmtId="38" fontId="10" fillId="0" borderId="9" applyFill="0" applyBorder="0" applyAlignment="0" applyProtection="0">
      <protection locked="0"/>
    </xf>
    <xf numFmtId="38" fontId="10" fillId="0" borderId="9" applyFill="0" applyBorder="0" applyAlignment="0" applyProtection="0">
      <protection locked="0"/>
    </xf>
    <xf numFmtId="38" fontId="10" fillId="0" borderId="9" applyFill="0" applyBorder="0" applyAlignment="0" applyProtection="0">
      <protection locked="0"/>
    </xf>
    <xf numFmtId="38" fontId="10" fillId="0" borderId="9" applyFill="0" applyBorder="0" applyAlignment="0" applyProtection="0">
      <protection locked="0"/>
    </xf>
    <xf numFmtId="0" fontId="5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6" fillId="0" borderId="0"/>
    <xf numFmtId="0" fontId="32" fillId="7" borderId="20" applyNumberFormat="0" applyAlignment="0" applyProtection="0"/>
    <xf numFmtId="0" fontId="6" fillId="19" borderId="0" applyNumberFormat="0" applyBorder="0" applyAlignment="0" applyProtection="0"/>
    <xf numFmtId="0" fontId="49" fillId="41" borderId="29" applyNumberFormat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0" fontId="6" fillId="25" borderId="0" applyNumberFormat="0" applyBorder="0" applyAlignment="0" applyProtection="0"/>
    <xf numFmtId="0" fontId="59" fillId="40" borderId="18" applyNumberFormat="0" applyAlignment="0" applyProtection="0"/>
    <xf numFmtId="0" fontId="6" fillId="11" borderId="0" applyNumberFormat="0" applyBorder="0" applyAlignment="0" applyProtection="0"/>
    <xf numFmtId="0" fontId="48" fillId="39" borderId="28" applyNumberFormat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29" fillId="24" borderId="0" applyNumberFormat="0" applyBorder="0" applyAlignment="0" applyProtection="0"/>
    <xf numFmtId="0" fontId="6" fillId="9" borderId="0" applyNumberFormat="0" applyBorder="0" applyAlignment="0" applyProtection="0"/>
    <xf numFmtId="0" fontId="47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35" fillId="36" borderId="0" applyNumberFormat="0" applyBorder="0" applyAlignment="0" applyProtection="0"/>
    <xf numFmtId="0" fontId="6" fillId="26" borderId="0" applyNumberFormat="0" applyBorder="0" applyAlignment="0" applyProtection="0"/>
    <xf numFmtId="0" fontId="46" fillId="3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15" fillId="0" borderId="0"/>
    <xf numFmtId="10" fontId="39" fillId="42" borderId="17" applyNumberFormat="0" applyBorder="0" applyAlignment="0" applyProtection="0"/>
    <xf numFmtId="169" fontId="7" fillId="0" borderId="0">
      <protection locked="0"/>
    </xf>
    <xf numFmtId="37" fontId="7" fillId="0" borderId="0" applyFill="0" applyBorder="0" applyAlignment="0" applyProtection="0"/>
    <xf numFmtId="169" fontId="7" fillId="0" borderId="0">
      <protection locked="0"/>
    </xf>
    <xf numFmtId="5" fontId="7" fillId="0" borderId="0" applyFill="0" applyBorder="0" applyAlignment="0" applyProtection="0"/>
    <xf numFmtId="0" fontId="19" fillId="0" borderId="0" applyNumberFormat="0" applyFill="0" applyBorder="0" applyAlignment="0" applyProtection="0"/>
    <xf numFmtId="168" fontId="7" fillId="0" borderId="0" applyFill="0" applyBorder="0" applyAlignment="0" applyProtection="0"/>
    <xf numFmtId="0" fontId="18" fillId="0" borderId="0" applyNumberFormat="0" applyFill="0" applyBorder="0" applyAlignment="0" applyProtection="0"/>
    <xf numFmtId="2" fontId="7" fillId="0" borderId="0" applyFill="0" applyBorder="0" applyAlignment="0" applyProtection="0"/>
    <xf numFmtId="38" fontId="39" fillId="17" borderId="0" applyNumberFormat="0" applyBorder="0" applyAlignment="0" applyProtection="0"/>
    <xf numFmtId="38" fontId="39" fillId="17" borderId="0" applyNumberFormat="0" applyBorder="0" applyAlignment="0" applyProtection="0"/>
    <xf numFmtId="2" fontId="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8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0" fontId="39" fillId="42" borderId="17" applyNumberFormat="0" applyBorder="0" applyAlignment="0" applyProtection="0"/>
    <xf numFmtId="37" fontId="7" fillId="0" borderId="0" applyFill="0" applyBorder="0" applyAlignment="0" applyProtection="0"/>
    <xf numFmtId="0" fontId="15" fillId="0" borderId="0"/>
    <xf numFmtId="0" fontId="6" fillId="9" borderId="0" applyNumberFormat="0" applyBorder="0" applyAlignment="0" applyProtection="0"/>
    <xf numFmtId="0" fontId="45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45" fillId="19" borderId="0" applyNumberFormat="0" applyBorder="0" applyAlignment="0" applyProtection="0"/>
    <xf numFmtId="0" fontId="45" fillId="8" borderId="21" applyNumberFormat="0" applyFont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171" fontId="7" fillId="0" borderId="1">
      <alignment horizontal="justify" vertical="top" wrapText="1"/>
    </xf>
    <xf numFmtId="0" fontId="6" fillId="21" borderId="0" applyNumberFormat="0" applyBorder="0" applyAlignment="0" applyProtection="0"/>
    <xf numFmtId="38" fontId="7" fillId="0" borderId="0">
      <alignment horizontal="left" wrapText="1"/>
    </xf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36" fillId="0" borderId="0"/>
    <xf numFmtId="38" fontId="10" fillId="0" borderId="9" applyFill="0" applyBorder="0" applyAlignment="0" applyProtection="0">
      <protection locked="0"/>
    </xf>
    <xf numFmtId="38" fontId="10" fillId="0" borderId="9" applyFill="0" applyBorder="0" applyAlignment="0" applyProtection="0">
      <protection locked="0"/>
    </xf>
    <xf numFmtId="0" fontId="46" fillId="37" borderId="0" applyNumberFormat="0" applyBorder="0" applyAlignment="0" applyProtection="0"/>
    <xf numFmtId="168" fontId="7" fillId="0" borderId="0" applyFill="0" applyBorder="0" applyAlignment="0" applyProtection="0"/>
    <xf numFmtId="5" fontId="7" fillId="0" borderId="0" applyFill="0" applyBorder="0" applyAlignment="0" applyProtection="0"/>
    <xf numFmtId="0" fontId="35" fillId="21" borderId="0" applyNumberFormat="0" applyBorder="0" applyAlignment="0" applyProtection="0"/>
    <xf numFmtId="0" fontId="35" fillId="20" borderId="0" applyNumberFormat="0" applyBorder="0" applyAlignment="0" applyProtection="0"/>
    <xf numFmtId="0" fontId="46" fillId="27" borderId="0" applyNumberFormat="0" applyBorder="0" applyAlignment="0" applyProtection="0"/>
    <xf numFmtId="37" fontId="7" fillId="0" borderId="0" applyFill="0" applyBorder="0" applyAlignment="0" applyProtection="0"/>
    <xf numFmtId="0" fontId="45" fillId="28" borderId="0" applyNumberFormat="0" applyBorder="0" applyAlignment="0" applyProtection="0"/>
    <xf numFmtId="0" fontId="6" fillId="11" borderId="0" applyNumberFormat="0" applyBorder="0" applyAlignment="0" applyProtection="0"/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0" fontId="46" fillId="31" borderId="0" applyNumberFormat="0" applyBorder="0" applyAlignment="0" applyProtection="0"/>
    <xf numFmtId="37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0" fontId="45" fillId="24" borderId="0" applyNumberFormat="0" applyBorder="0" applyAlignment="0" applyProtection="0"/>
    <xf numFmtId="5" fontId="7" fillId="0" borderId="0" applyFill="0" applyBorder="0" applyAlignment="0" applyProtection="0"/>
    <xf numFmtId="0" fontId="35" fillId="30" borderId="0" applyNumberFormat="0" applyBorder="0" applyAlignment="0" applyProtection="0"/>
    <xf numFmtId="168" fontId="7" fillId="0" borderId="0" applyFill="0" applyBorder="0" applyAlignment="0" applyProtection="0"/>
    <xf numFmtId="0" fontId="6" fillId="26" borderId="0" applyNumberFormat="0" applyBorder="0" applyAlignment="0" applyProtection="0"/>
    <xf numFmtId="169" fontId="7" fillId="0" borderId="0">
      <protection locked="0"/>
    </xf>
    <xf numFmtId="2" fontId="7" fillId="0" borderId="0" applyFill="0" applyBorder="0" applyAlignment="0" applyProtection="0"/>
    <xf numFmtId="169" fontId="7" fillId="0" borderId="0">
      <protection locked="0"/>
    </xf>
    <xf numFmtId="5" fontId="7" fillId="0" borderId="0" applyFill="0" applyBorder="0" applyAlignment="0" applyProtection="0"/>
    <xf numFmtId="0" fontId="6" fillId="20" borderId="0" applyNumberFormat="0" applyBorder="0" applyAlignment="0" applyProtection="0"/>
    <xf numFmtId="169" fontId="7" fillId="0" borderId="0">
      <protection locked="0"/>
    </xf>
    <xf numFmtId="2" fontId="7" fillId="0" borderId="0" applyFill="0" applyBorder="0" applyAlignment="0" applyProtection="0"/>
    <xf numFmtId="0" fontId="46" fillId="33" borderId="0" applyNumberFormat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0" fontId="6" fillId="21" borderId="0" applyNumberFormat="0" applyBorder="0" applyAlignment="0" applyProtection="0"/>
    <xf numFmtId="0" fontId="7" fillId="0" borderId="25" applyNumberFormat="0" applyFill="0" applyAlignment="0" applyProtection="0"/>
    <xf numFmtId="0" fontId="33" fillId="0" borderId="0" applyNumberFormat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0" fontId="35" fillId="30" borderId="0" applyNumberFormat="0" applyBorder="0" applyAlignment="0" applyProtection="0"/>
    <xf numFmtId="171" fontId="7" fillId="0" borderId="1">
      <alignment horizontal="justify" vertical="top" wrapText="1"/>
    </xf>
    <xf numFmtId="168" fontId="7" fillId="0" borderId="0" applyFill="0" applyBorder="0" applyAlignment="0" applyProtection="0"/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0" fontId="45" fillId="26" borderId="0" applyNumberFormat="0" applyBorder="0" applyAlignment="0" applyProtection="0"/>
    <xf numFmtId="0" fontId="6" fillId="19" borderId="0" applyNumberFormat="0" applyBorder="0" applyAlignment="0" applyProtection="0"/>
    <xf numFmtId="168" fontId="7" fillId="0" borderId="0" applyFill="0" applyBorder="0" applyAlignment="0" applyProtection="0"/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0" fontId="54" fillId="0" borderId="35" applyNumberFormat="0" applyFill="0" applyAlignment="0" applyProtection="0"/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6" fillId="21" borderId="0" applyNumberFormat="0" applyBorder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45" fillId="20" borderId="0" applyNumberFormat="0" applyBorder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2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37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38" fontId="7" fillId="0" borderId="0">
      <alignment horizontal="left" wrapText="1"/>
    </xf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169" fontId="7" fillId="0" borderId="0">
      <protection locked="0"/>
    </xf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0" fontId="7" fillId="0" borderId="25" applyNumberForma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37" fontId="7" fillId="0" borderId="0" applyFill="0" applyBorder="0" applyAlignment="0" applyProtection="0"/>
    <xf numFmtId="0" fontId="66" fillId="0" borderId="25" applyNumberFormat="0" applyFont="0" applyFill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66" fillId="0" borderId="0"/>
    <xf numFmtId="38" fontId="10" fillId="0" borderId="9" applyFill="0" applyBorder="0" applyAlignment="0" applyProtection="0">
      <protection locked="0"/>
    </xf>
    <xf numFmtId="171" fontId="7" fillId="0" borderId="1">
      <alignment horizontal="justify" vertical="top" wrapText="1"/>
    </xf>
    <xf numFmtId="38" fontId="7" fillId="0" borderId="0">
      <alignment horizontal="left" wrapText="1"/>
    </xf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169" fontId="7" fillId="0" borderId="0">
      <protection locked="0"/>
    </xf>
    <xf numFmtId="5" fontId="7" fillId="0" borderId="0" applyFill="0" applyBorder="0" applyAlignment="0" applyProtection="0"/>
    <xf numFmtId="168" fontId="7" fillId="0" borderId="0" applyFill="0" applyBorder="0" applyAlignment="0" applyProtection="0"/>
    <xf numFmtId="169" fontId="7" fillId="0" borderId="0">
      <protection locked="0"/>
    </xf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69" fontId="7" fillId="0" borderId="0">
      <protection locked="0"/>
    </xf>
    <xf numFmtId="2" fontId="7" fillId="0" borderId="0" applyFill="0" applyBorder="0" applyAlignment="0" applyProtection="0"/>
    <xf numFmtId="0" fontId="7" fillId="0" borderId="25" applyNumberFormat="0" applyFill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0" fontId="7" fillId="0" borderId="25" applyNumberFormat="0" applyFill="0" applyAlignment="0" applyProtection="0"/>
    <xf numFmtId="5" fontId="7" fillId="0" borderId="0" applyFill="0" applyBorder="0" applyAlignment="0" applyProtection="0"/>
    <xf numFmtId="38" fontId="10" fillId="0" borderId="9" applyFill="0" applyBorder="0" applyAlignment="0" applyProtection="0">
      <protection locked="0"/>
    </xf>
    <xf numFmtId="0" fontId="7" fillId="0" borderId="25" applyNumberFormat="0" applyFill="0" applyAlignment="0" applyProtection="0"/>
    <xf numFmtId="171" fontId="7" fillId="0" borderId="1">
      <alignment horizontal="justify" vertical="top" wrapText="1"/>
    </xf>
    <xf numFmtId="38" fontId="7" fillId="0" borderId="0">
      <alignment horizontal="left" wrapText="1"/>
    </xf>
    <xf numFmtId="0" fontId="7" fillId="0" borderId="25" applyNumberFormat="0" applyFill="0" applyAlignment="0" applyProtection="0"/>
    <xf numFmtId="171" fontId="7" fillId="0" borderId="1">
      <alignment horizontal="justify" vertical="top" wrapText="1"/>
    </xf>
    <xf numFmtId="169" fontId="7" fillId="0" borderId="0">
      <protection locked="0"/>
    </xf>
    <xf numFmtId="169" fontId="7" fillId="0" borderId="0">
      <protection locked="0"/>
    </xf>
    <xf numFmtId="169" fontId="7" fillId="0" borderId="0">
      <protection locked="0"/>
    </xf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171" fontId="7" fillId="0" borderId="1">
      <alignment horizontal="justify" vertical="top" wrapText="1"/>
    </xf>
    <xf numFmtId="38" fontId="7" fillId="0" borderId="0">
      <alignment horizontal="left" wrapText="1"/>
    </xf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38" fontId="10" fillId="0" borderId="9" applyFill="0" applyBorder="0" applyAlignment="0" applyProtection="0">
      <protection locked="0"/>
    </xf>
    <xf numFmtId="0" fontId="66" fillId="0" borderId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38" fontId="10" fillId="0" borderId="9" applyFill="0" applyBorder="0" applyAlignment="0" applyProtection="0">
      <protection locked="0"/>
    </xf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9" fillId="0" borderId="0" applyNumberFormat="0" applyFill="0" applyBorder="0" applyAlignment="0" applyProtection="0"/>
    <xf numFmtId="38" fontId="10" fillId="0" borderId="9" applyFill="0" applyBorder="0" applyAlignment="0" applyProtection="0">
      <protection locked="0"/>
    </xf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15" fillId="0" borderId="0"/>
    <xf numFmtId="37" fontId="7" fillId="0" borderId="0" applyFill="0" applyBorder="0" applyAlignment="0" applyProtection="0"/>
    <xf numFmtId="168" fontId="7" fillId="0" borderId="0" applyFill="0" applyBorder="0" applyAlignment="0" applyProtection="0"/>
    <xf numFmtId="0" fontId="6" fillId="20" borderId="0" applyNumberFormat="0" applyBorder="0" applyAlignment="0" applyProtection="0"/>
    <xf numFmtId="5" fontId="7" fillId="0" borderId="0" applyFill="0" applyBorder="0" applyAlignment="0" applyProtection="0"/>
    <xf numFmtId="0" fontId="6" fillId="23" borderId="0" applyNumberFormat="0" applyBorder="0" applyAlignment="0" applyProtection="0"/>
    <xf numFmtId="168" fontId="7" fillId="0" borderId="0" applyFill="0" applyBorder="0" applyAlignment="0" applyProtection="0"/>
    <xf numFmtId="37" fontId="7" fillId="0" borderId="0" applyFill="0" applyBorder="0" applyAlignment="0" applyProtection="0"/>
    <xf numFmtId="2" fontId="7" fillId="0" borderId="0" applyFill="0" applyBorder="0" applyAlignment="0" applyProtection="0"/>
    <xf numFmtId="38" fontId="39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38" fontId="39" fillId="17" borderId="0" applyNumberFormat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5" fontId="7" fillId="0" borderId="0" applyFill="0" applyBorder="0" applyAlignment="0" applyProtection="0"/>
    <xf numFmtId="10" fontId="39" fillId="42" borderId="17" applyNumberFormat="0" applyBorder="0" applyAlignment="0" applyProtection="0"/>
    <xf numFmtId="168" fontId="7" fillId="0" borderId="0" applyFill="0" applyBorder="0" applyAlignment="0" applyProtection="0"/>
    <xf numFmtId="38" fontId="7" fillId="0" borderId="0">
      <alignment horizontal="left" wrapText="1"/>
    </xf>
    <xf numFmtId="2" fontId="7" fillId="0" borderId="0" applyFill="0" applyBorder="0" applyAlignment="0" applyProtection="0"/>
    <xf numFmtId="171" fontId="7" fillId="0" borderId="1">
      <alignment horizontal="justify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0" fontId="6" fillId="0" borderId="0"/>
    <xf numFmtId="0" fontId="6" fillId="0" borderId="0"/>
    <xf numFmtId="171" fontId="7" fillId="0" borderId="1">
      <alignment horizontal="justify" vertical="top" wrapText="1"/>
    </xf>
    <xf numFmtId="2" fontId="7" fillId="0" borderId="0" applyFill="0" applyBorder="0" applyAlignment="0" applyProtection="0"/>
    <xf numFmtId="38" fontId="7" fillId="0" borderId="0">
      <alignment horizontal="left" wrapText="1"/>
    </xf>
    <xf numFmtId="168" fontId="7" fillId="0" borderId="0" applyFill="0" applyBorder="0" applyAlignment="0" applyProtection="0"/>
    <xf numFmtId="5" fontId="7" fillId="0" borderId="0" applyFill="0" applyBorder="0" applyAlignment="0" applyProtection="0"/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0" fontId="6" fillId="26" borderId="0" applyNumberFormat="0" applyBorder="0" applyAlignment="0" applyProtection="0"/>
    <xf numFmtId="38" fontId="10" fillId="0" borderId="9" applyFill="0" applyBorder="0" applyAlignment="0" applyProtection="0">
      <protection locked="0"/>
    </xf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37" fontId="7" fillId="0" borderId="0" applyFill="0" applyBorder="0" applyAlignment="0" applyProtection="0"/>
    <xf numFmtId="168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37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0" fontId="46" fillId="32" borderId="0" applyNumberFormat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52" fillId="0" borderId="33" applyNumberFormat="0" applyFill="0" applyAlignment="0" applyProtection="0"/>
    <xf numFmtId="0" fontId="46" fillId="29" borderId="0" applyNumberFormat="0" applyBorder="0" applyAlignment="0" applyProtection="0"/>
    <xf numFmtId="0" fontId="45" fillId="22" borderId="0" applyNumberFormat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4" fontId="66" fillId="0" borderId="0" applyFont="0" applyFill="0" applyBorder="0" applyAlignment="0" applyProtection="0"/>
    <xf numFmtId="5" fontId="7" fillId="0" borderId="0" applyFill="0" applyBorder="0" applyAlignment="0" applyProtection="0"/>
    <xf numFmtId="0" fontId="7" fillId="0" borderId="25" applyNumberFormat="0" applyFill="0" applyAlignment="0" applyProtection="0"/>
    <xf numFmtId="0" fontId="6" fillId="19" borderId="0" applyNumberFormat="0" applyBorder="0" applyAlignment="0" applyProtection="0"/>
    <xf numFmtId="0" fontId="66" fillId="0" borderId="0" applyFont="0" applyFill="0" applyBorder="0" applyAlignment="0" applyProtection="0"/>
    <xf numFmtId="38" fontId="39" fillId="17" borderId="0" applyNumberFormat="0" applyBorder="0" applyAlignment="0" applyProtection="0"/>
    <xf numFmtId="169" fontId="7" fillId="0" borderId="0">
      <protection locked="0"/>
    </xf>
    <xf numFmtId="2" fontId="66" fillId="0" borderId="0" applyFon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6" fillId="0" borderId="25" applyNumberFormat="0" applyFont="0" applyFill="0" applyAlignment="0" applyProtection="0"/>
    <xf numFmtId="171" fontId="7" fillId="0" borderId="1">
      <alignment horizontal="justify" vertical="top" wrapText="1"/>
    </xf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" fontId="66" fillId="0" borderId="0" applyFont="0" applyFill="0" applyBorder="0" applyAlignment="0" applyProtection="0"/>
    <xf numFmtId="37" fontId="7" fillId="0" borderId="0" applyFill="0" applyBorder="0" applyAlignment="0" applyProtection="0"/>
    <xf numFmtId="0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171" fontId="7" fillId="0" borderId="1">
      <alignment horizontal="justify" vertical="top" wrapText="1"/>
    </xf>
    <xf numFmtId="171" fontId="7" fillId="0" borderId="1">
      <alignment horizontal="justify" vertical="top" wrapText="1"/>
    </xf>
    <xf numFmtId="0" fontId="6" fillId="23" borderId="0" applyNumberFormat="0" applyBorder="0" applyAlignment="0" applyProtection="0"/>
    <xf numFmtId="169" fontId="7" fillId="0" borderId="0">
      <protection locked="0"/>
    </xf>
    <xf numFmtId="38" fontId="7" fillId="0" borderId="0">
      <alignment horizontal="left" wrapText="1"/>
    </xf>
    <xf numFmtId="0" fontId="6" fillId="23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0" fontId="15" fillId="0" borderId="0"/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2" fontId="7" fillId="0" borderId="0" applyFill="0" applyBorder="0" applyAlignment="0" applyProtection="0"/>
    <xf numFmtId="0" fontId="6" fillId="20" borderId="0" applyNumberFormat="0" applyBorder="0" applyAlignment="0" applyProtection="0"/>
    <xf numFmtId="168" fontId="7" fillId="0" borderId="0" applyFill="0" applyBorder="0" applyAlignment="0" applyProtection="0"/>
    <xf numFmtId="0" fontId="68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5" fontId="7" fillId="0" borderId="0" applyFill="0" applyBorder="0" applyAlignment="0" applyProtection="0"/>
    <xf numFmtId="169" fontId="7" fillId="0" borderId="0">
      <protection locked="0"/>
    </xf>
    <xf numFmtId="0" fontId="6" fillId="5" borderId="0" applyNumberFormat="0" applyBorder="0" applyAlignment="0" applyProtection="0"/>
    <xf numFmtId="169" fontId="7" fillId="0" borderId="0">
      <protection locked="0"/>
    </xf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15" fillId="0" borderId="0"/>
    <xf numFmtId="0" fontId="6" fillId="21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4" fontId="66" fillId="0" borderId="0" applyFont="0" applyFill="0" applyBorder="0" applyAlignment="0" applyProtection="0"/>
    <xf numFmtId="0" fontId="6" fillId="9" borderId="0" applyNumberFormat="0" applyBorder="0" applyAlignment="0" applyProtection="0"/>
    <xf numFmtId="38" fontId="10" fillId="0" borderId="9" applyFill="0" applyBorder="0" applyAlignment="0" applyProtection="0">
      <protection locked="0"/>
    </xf>
    <xf numFmtId="0" fontId="6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169" fontId="7" fillId="0" borderId="0">
      <protection locked="0"/>
    </xf>
    <xf numFmtId="172" fontId="66" fillId="0" borderId="0" applyFont="0" applyFill="0" applyBorder="0" applyAlignment="0" applyProtection="0"/>
    <xf numFmtId="0" fontId="6" fillId="23" borderId="0" applyNumberFormat="0" applyBorder="0" applyAlignment="0" applyProtection="0"/>
    <xf numFmtId="38" fontId="10" fillId="0" borderId="9" applyFill="0" applyBorder="0" applyAlignment="0" applyProtection="0">
      <protection locked="0"/>
    </xf>
    <xf numFmtId="169" fontId="7" fillId="0" borderId="0">
      <protection locked="0"/>
    </xf>
    <xf numFmtId="0" fontId="6" fillId="11" borderId="0" applyNumberFormat="0" applyBorder="0" applyAlignment="0" applyProtection="0"/>
    <xf numFmtId="0" fontId="18" fillId="0" borderId="0" applyNumberFormat="0" applyFill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5" fontId="7" fillId="0" borderId="0" applyFill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168" fontId="7" fillId="0" borderId="0" applyFill="0" applyBorder="0" applyAlignment="0" applyProtection="0"/>
    <xf numFmtId="0" fontId="6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69" fontId="7" fillId="0" borderId="0">
      <protection locked="0"/>
    </xf>
    <xf numFmtId="0" fontId="6" fillId="21" borderId="0" applyNumberFormat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0" fontId="7" fillId="0" borderId="25" applyNumberFormat="0" applyFill="0" applyAlignment="0" applyProtection="0"/>
    <xf numFmtId="0" fontId="6" fillId="26" borderId="0" applyNumberFormat="0" applyBorder="0" applyAlignment="0" applyProtection="0"/>
    <xf numFmtId="10" fontId="39" fillId="42" borderId="17" applyNumberFormat="0" applyBorder="0" applyAlignment="0" applyProtection="0"/>
    <xf numFmtId="0" fontId="7" fillId="0" borderId="25" applyNumberFormat="0" applyFill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168" fontId="7" fillId="0" borderId="0" applyFill="0" applyBorder="0" applyAlignment="0" applyProtection="0"/>
    <xf numFmtId="0" fontId="6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6" fillId="21" borderId="0" applyNumberFormat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10" fontId="39" fillId="42" borderId="17" applyNumberFormat="0" applyBorder="0" applyAlignment="0" applyProtection="0"/>
    <xf numFmtId="0" fontId="7" fillId="0" borderId="25" applyNumberFormat="0" applyFill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5" fillId="0" borderId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38" fontId="39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0" fontId="39" fillId="42" borderId="17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38" fontId="10" fillId="0" borderId="9" applyFill="0" applyBorder="0" applyAlignment="0" applyProtection="0">
      <protection locked="0"/>
    </xf>
    <xf numFmtId="38" fontId="10" fillId="0" borderId="9" applyFill="0" applyBorder="0" applyAlignment="0" applyProtection="0">
      <protection locked="0"/>
    </xf>
    <xf numFmtId="0" fontId="7" fillId="0" borderId="25" applyNumberFormat="0" applyFill="0" applyAlignment="0" applyProtection="0"/>
    <xf numFmtId="38" fontId="7" fillId="0" borderId="0">
      <alignment horizontal="left" wrapText="1"/>
    </xf>
    <xf numFmtId="171" fontId="7" fillId="0" borderId="1">
      <alignment horizontal="justify" vertical="top" wrapText="1"/>
    </xf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171" fontId="7" fillId="0" borderId="1">
      <alignment horizontal="justify" vertical="top" wrapText="1"/>
    </xf>
    <xf numFmtId="169" fontId="7" fillId="0" borderId="0">
      <protection locked="0"/>
    </xf>
    <xf numFmtId="38" fontId="7" fillId="0" borderId="0">
      <alignment horizontal="left" wrapText="1"/>
    </xf>
    <xf numFmtId="0" fontId="19" fillId="0" borderId="0" applyNumberFormat="0" applyFill="0" applyBorder="0" applyAlignment="0" applyProtection="0"/>
    <xf numFmtId="168" fontId="7" fillId="0" borderId="0" applyFill="0" applyBorder="0" applyAlignment="0" applyProtection="0"/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38" fontId="10" fillId="0" borderId="9" applyFill="0" applyBorder="0" applyAlignment="0" applyProtection="0">
      <protection locked="0"/>
    </xf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169" fontId="7" fillId="0" borderId="0">
      <protection locked="0"/>
    </xf>
    <xf numFmtId="38" fontId="39" fillId="17" borderId="0" applyNumberFormat="0" applyBorder="0" applyAlignment="0" applyProtection="0"/>
    <xf numFmtId="0" fontId="6" fillId="19" borderId="0" applyNumberFormat="0" applyBorder="0" applyAlignment="0" applyProtection="0"/>
    <xf numFmtId="2" fontId="7" fillId="0" borderId="0" applyFill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5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37" fontId="7" fillId="0" borderId="0" applyFill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15" fillId="0" borderId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10" fontId="39" fillId="42" borderId="17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8" fillId="0" borderId="0" applyNumberFormat="0" applyFill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7" fillId="0" borderId="0" applyFill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37" fontId="7" fillId="0" borderId="0" applyFill="0" applyBorder="0" applyAlignment="0" applyProtection="0"/>
    <xf numFmtId="168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37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10" fillId="0" borderId="23" applyNumberFormat="0" applyProtection="0">
      <alignment horizontal="left" vertical="center" indent="1"/>
    </xf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4" fontId="66" fillId="0" borderId="0" applyFont="0" applyFill="0" applyBorder="0" applyAlignment="0" applyProtection="0"/>
    <xf numFmtId="5" fontId="7" fillId="0" borderId="0" applyFill="0" applyBorder="0" applyAlignment="0" applyProtection="0"/>
    <xf numFmtId="0" fontId="6" fillId="19" borderId="0" applyNumberFormat="0" applyBorder="0" applyAlignment="0" applyProtection="0"/>
    <xf numFmtId="0" fontId="66" fillId="0" borderId="0" applyFont="0" applyFill="0" applyBorder="0" applyAlignment="0" applyProtection="0"/>
    <xf numFmtId="169" fontId="7" fillId="0" borderId="0">
      <protection locked="0"/>
    </xf>
    <xf numFmtId="2" fontId="66" fillId="0" borderId="0" applyFon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6" fillId="0" borderId="25" applyNumberFormat="0" applyFont="0" applyFill="0" applyAlignment="0" applyProtection="0"/>
    <xf numFmtId="171" fontId="7" fillId="0" borderId="1">
      <alignment horizontal="justify" vertical="top" wrapText="1"/>
    </xf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171" fontId="7" fillId="0" borderId="1">
      <alignment horizontal="justify" vertical="top" wrapText="1"/>
    </xf>
    <xf numFmtId="0" fontId="6" fillId="23" borderId="0" applyNumberFormat="0" applyBorder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2" fontId="7" fillId="0" borderId="0" applyFill="0" applyBorder="0" applyAlignment="0" applyProtection="0"/>
    <xf numFmtId="0" fontId="6" fillId="20" borderId="0" applyNumberFormat="0" applyBorder="0" applyAlignment="0" applyProtection="0"/>
    <xf numFmtId="168" fontId="7" fillId="0" borderId="0" applyFill="0" applyBorder="0" applyAlignment="0" applyProtection="0"/>
    <xf numFmtId="0" fontId="68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5" fontId="7" fillId="0" borderId="0" applyFill="0" applyBorder="0" applyAlignment="0" applyProtection="0"/>
    <xf numFmtId="0" fontId="6" fillId="25" borderId="0" applyNumberFormat="0" applyBorder="0" applyAlignment="0" applyProtection="0"/>
    <xf numFmtId="0" fontId="6" fillId="5" borderId="0" applyNumberFormat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4" fontId="66" fillId="0" borderId="0" applyFont="0" applyFill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172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169" fontId="7" fillId="0" borderId="0">
      <protection locked="0"/>
    </xf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5" fontId="7" fillId="0" borderId="0" applyFill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168" fontId="7" fillId="0" borderId="0" applyFill="0" applyBorder="0" applyAlignment="0" applyProtection="0"/>
    <xf numFmtId="0" fontId="6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6" fillId="21" borderId="0" applyNumberFormat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7" fillId="0" borderId="25" applyNumberFormat="0" applyFill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168" fontId="7" fillId="0" borderId="0" applyFill="0" applyBorder="0" applyAlignment="0" applyProtection="0"/>
    <xf numFmtId="0" fontId="6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6" fillId="21" borderId="0" applyNumberFormat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7" fillId="0" borderId="25" applyNumberFormat="0" applyFill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7" fillId="0" borderId="0" applyFill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37" fontId="7" fillId="0" borderId="0" applyFill="0" applyBorder="0" applyAlignment="0" applyProtection="0"/>
    <xf numFmtId="168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37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4" fontId="66" fillId="0" borderId="0" applyFont="0" applyFill="0" applyBorder="0" applyAlignment="0" applyProtection="0"/>
    <xf numFmtId="5" fontId="7" fillId="0" borderId="0" applyFill="0" applyBorder="0" applyAlignment="0" applyProtection="0"/>
    <xf numFmtId="0" fontId="6" fillId="19" borderId="0" applyNumberFormat="0" applyBorder="0" applyAlignment="0" applyProtection="0"/>
    <xf numFmtId="0" fontId="66" fillId="0" borderId="0" applyFont="0" applyFill="0" applyBorder="0" applyAlignment="0" applyProtection="0"/>
    <xf numFmtId="169" fontId="7" fillId="0" borderId="0">
      <protection locked="0"/>
    </xf>
    <xf numFmtId="2" fontId="66" fillId="0" borderId="0" applyFon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6" fillId="0" borderId="25" applyNumberFormat="0" applyFont="0" applyFill="0" applyAlignment="0" applyProtection="0"/>
    <xf numFmtId="171" fontId="7" fillId="0" borderId="1">
      <alignment horizontal="justify" vertical="top" wrapText="1"/>
    </xf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171" fontId="7" fillId="0" borderId="1">
      <alignment horizontal="justify" vertical="top" wrapText="1"/>
    </xf>
    <xf numFmtId="0" fontId="6" fillId="23" borderId="0" applyNumberFormat="0" applyBorder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2" fontId="7" fillId="0" borderId="0" applyFill="0" applyBorder="0" applyAlignment="0" applyProtection="0"/>
    <xf numFmtId="0" fontId="6" fillId="20" borderId="0" applyNumberFormat="0" applyBorder="0" applyAlignment="0" applyProtection="0"/>
    <xf numFmtId="168" fontId="7" fillId="0" borderId="0" applyFill="0" applyBorder="0" applyAlignment="0" applyProtection="0"/>
    <xf numFmtId="0" fontId="68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5" fontId="7" fillId="0" borderId="0" applyFill="0" applyBorder="0" applyAlignment="0" applyProtection="0"/>
    <xf numFmtId="0" fontId="6" fillId="5" borderId="0" applyNumberFormat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4" fontId="66" fillId="0" borderId="0" applyFont="0" applyFill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172" fontId="66" fillId="0" borderId="0" applyFont="0" applyFill="0" applyBorder="0" applyAlignment="0" applyProtection="0"/>
    <xf numFmtId="0" fontId="6" fillId="23" borderId="0" applyNumberFormat="0" applyBorder="0" applyAlignment="0" applyProtection="0"/>
    <xf numFmtId="169" fontId="7" fillId="0" borderId="0">
      <protection locked="0"/>
    </xf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5" fontId="7" fillId="0" borderId="0" applyFill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168" fontId="7" fillId="0" borderId="0" applyFill="0" applyBorder="0" applyAlignment="0" applyProtection="0"/>
    <xf numFmtId="0" fontId="6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6" fillId="21" borderId="0" applyNumberFormat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7" fillId="0" borderId="25" applyNumberFormat="0" applyFill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168" fontId="7" fillId="0" borderId="0" applyFill="0" applyBorder="0" applyAlignment="0" applyProtection="0"/>
    <xf numFmtId="0" fontId="6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6" fillId="21" borderId="0" applyNumberFormat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7" fillId="0" borderId="25" applyNumberFormat="0" applyFill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0" fontId="36" fillId="0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5" fillId="0" borderId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38" fontId="39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0" fontId="39" fillId="42" borderId="17" applyNumberFormat="0" applyBorder="0" applyAlignment="0" applyProtection="0"/>
    <xf numFmtId="0" fontId="6" fillId="0" borderId="0"/>
    <xf numFmtId="0" fontId="6" fillId="0" borderId="0"/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171" fontId="7" fillId="0" borderId="1">
      <alignment horizontal="justify" vertical="top" wrapText="1"/>
    </xf>
    <xf numFmtId="38" fontId="7" fillId="0" borderId="0">
      <alignment horizontal="left" wrapText="1"/>
    </xf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38" fontId="10" fillId="0" borderId="9" applyFill="0" applyBorder="0" applyAlignment="0" applyProtection="0">
      <protection locked="0"/>
    </xf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7" fillId="0" borderId="0" applyFill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37" fontId="7" fillId="0" borderId="0" applyFill="0" applyBorder="0" applyAlignment="0" applyProtection="0"/>
    <xf numFmtId="168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37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4" fontId="66" fillId="0" borderId="0" applyFont="0" applyFill="0" applyBorder="0" applyAlignment="0" applyProtection="0"/>
    <xf numFmtId="5" fontId="7" fillId="0" borderId="0" applyFill="0" applyBorder="0" applyAlignment="0" applyProtection="0"/>
    <xf numFmtId="0" fontId="6" fillId="19" borderId="0" applyNumberFormat="0" applyBorder="0" applyAlignment="0" applyProtection="0"/>
    <xf numFmtId="0" fontId="66" fillId="0" borderId="0" applyFont="0" applyFill="0" applyBorder="0" applyAlignment="0" applyProtection="0"/>
    <xf numFmtId="169" fontId="7" fillId="0" borderId="0">
      <protection locked="0"/>
    </xf>
    <xf numFmtId="2" fontId="66" fillId="0" borderId="0" applyFon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6" fillId="0" borderId="25" applyNumberFormat="0" applyFont="0" applyFill="0" applyAlignment="0" applyProtection="0"/>
    <xf numFmtId="171" fontId="7" fillId="0" borderId="1">
      <alignment horizontal="justify" vertical="top" wrapText="1"/>
    </xf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171" fontId="7" fillId="0" borderId="1">
      <alignment horizontal="justify" vertical="top" wrapText="1"/>
    </xf>
    <xf numFmtId="0" fontId="6" fillId="23" borderId="0" applyNumberFormat="0" applyBorder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2" fontId="7" fillId="0" borderId="0" applyFill="0" applyBorder="0" applyAlignment="0" applyProtection="0"/>
    <xf numFmtId="0" fontId="6" fillId="20" borderId="0" applyNumberFormat="0" applyBorder="0" applyAlignment="0" applyProtection="0"/>
    <xf numFmtId="168" fontId="7" fillId="0" borderId="0" applyFill="0" applyBorder="0" applyAlignment="0" applyProtection="0"/>
    <xf numFmtId="0" fontId="68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5" fontId="7" fillId="0" borderId="0" applyFill="0" applyBorder="0" applyAlignment="0" applyProtection="0"/>
    <xf numFmtId="0" fontId="6" fillId="5" borderId="0" applyNumberFormat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4" fontId="66" fillId="0" borderId="0" applyFont="0" applyFill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172" fontId="66" fillId="0" borderId="0" applyFont="0" applyFill="0" applyBorder="0" applyAlignment="0" applyProtection="0"/>
    <xf numFmtId="0" fontId="6" fillId="23" borderId="0" applyNumberFormat="0" applyBorder="0" applyAlignment="0" applyProtection="0"/>
    <xf numFmtId="169" fontId="7" fillId="0" borderId="0">
      <protection locked="0"/>
    </xf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5" fontId="7" fillId="0" borderId="0" applyFill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168" fontId="7" fillId="0" borderId="0" applyFill="0" applyBorder="0" applyAlignment="0" applyProtection="0"/>
    <xf numFmtId="0" fontId="6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6" fillId="21" borderId="0" applyNumberFormat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7" fillId="0" borderId="25" applyNumberFormat="0" applyFill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168" fontId="7" fillId="0" borderId="0" applyFill="0" applyBorder="0" applyAlignment="0" applyProtection="0"/>
    <xf numFmtId="0" fontId="6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6" fillId="21" borderId="0" applyNumberFormat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7" fillId="0" borderId="25" applyNumberFormat="0" applyFill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26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5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15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37" fontId="7" fillId="0" borderId="0" applyFill="0" applyBorder="0" applyAlignment="0" applyProtection="0"/>
    <xf numFmtId="0" fontId="7" fillId="0" borderId="25" applyNumberFormat="0" applyFill="0" applyAlignment="0" applyProtection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0" fontId="66" fillId="0" borderId="25" applyNumberFormat="0" applyFont="0" applyFill="0" applyAlignment="0" applyProtection="0"/>
    <xf numFmtId="0" fontId="68" fillId="0" borderId="0" applyNumberFormat="0" applyFill="0" applyBorder="0" applyAlignment="0" applyProtection="0"/>
    <xf numFmtId="5" fontId="7" fillId="0" borderId="0" applyFill="0" applyBorder="0" applyAlignment="0" applyProtection="0"/>
    <xf numFmtId="0" fontId="6" fillId="5" borderId="0" applyNumberFormat="0" applyBorder="0" applyAlignment="0" applyProtection="0"/>
    <xf numFmtId="0" fontId="68" fillId="0" borderId="0" applyNumberFormat="0" applyFill="0" applyBorder="0" applyAlignment="0" applyProtection="0"/>
    <xf numFmtId="168" fontId="7" fillId="0" borderId="0" applyFill="0" applyBorder="0" applyAlignment="0" applyProtection="0"/>
    <xf numFmtId="0" fontId="6" fillId="20" borderId="0" applyNumberFormat="0" applyBorder="0" applyAlignment="0" applyProtection="0"/>
    <xf numFmtId="2" fontId="7" fillId="0" borderId="0" applyFill="0" applyBorder="0" applyAlignment="0" applyProtection="0"/>
    <xf numFmtId="168" fontId="7" fillId="0" borderId="0" applyFill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2" fontId="7" fillId="0" borderId="0" applyFill="0" applyBorder="0" applyAlignment="0" applyProtection="0"/>
    <xf numFmtId="0" fontId="6" fillId="23" borderId="0" applyNumberFormat="0" applyBorder="0" applyAlignment="0" applyProtection="0"/>
    <xf numFmtId="38" fontId="39" fillId="17" borderId="0" applyNumberFormat="0" applyBorder="0" applyAlignment="0" applyProtection="0"/>
    <xf numFmtId="2" fontId="6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6" fillId="26" borderId="0" applyNumberFormat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67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10" fontId="39" fillId="42" borderId="17" applyNumberFormat="0" applyBorder="0" applyAlignment="0" applyProtection="0"/>
    <xf numFmtId="169" fontId="7" fillId="0" borderId="0">
      <protection locked="0"/>
    </xf>
    <xf numFmtId="0" fontId="6" fillId="26" borderId="0" applyNumberFormat="0" applyBorder="0" applyAlignment="0" applyProtection="0"/>
    <xf numFmtId="169" fontId="7" fillId="0" borderId="0">
      <protection locked="0"/>
    </xf>
    <xf numFmtId="0" fontId="6" fillId="9" borderId="0" applyNumberFormat="0" applyBorder="0" applyAlignment="0" applyProtection="0"/>
    <xf numFmtId="5" fontId="7" fillId="0" borderId="0" applyFill="0" applyBorder="0" applyAlignment="0" applyProtection="0"/>
    <xf numFmtId="0" fontId="6" fillId="23" borderId="0" applyNumberFormat="0" applyBorder="0" applyAlignment="0" applyProtection="0"/>
    <xf numFmtId="171" fontId="7" fillId="0" borderId="1">
      <alignment horizontal="justify" vertical="top" wrapText="1"/>
    </xf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7" fillId="0" borderId="0" applyNumberFormat="0" applyFill="0" applyBorder="0" applyAlignment="0" applyProtection="0"/>
    <xf numFmtId="5" fontId="7" fillId="0" borderId="0" applyFill="0" applyBorder="0" applyAlignment="0" applyProtection="0"/>
    <xf numFmtId="0" fontId="6" fillId="26" borderId="0" applyNumberFormat="0" applyBorder="0" applyAlignment="0" applyProtection="0"/>
    <xf numFmtId="172" fontId="66" fillId="0" borderId="0" applyFont="0" applyFill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2" fontId="7" fillId="0" borderId="0" applyFill="0" applyBorder="0" applyAlignment="0" applyProtection="0"/>
    <xf numFmtId="0" fontId="6" fillId="11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1" borderId="0" applyNumberFormat="0" applyBorder="0" applyAlignment="0" applyProtection="0"/>
    <xf numFmtId="0" fontId="45" fillId="8" borderId="21" applyNumberFormat="0" applyFont="0" applyAlignment="0" applyProtection="0"/>
    <xf numFmtId="0" fontId="45" fillId="8" borderId="21" applyNumberFormat="0" applyFont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171" fontId="7" fillId="0" borderId="1">
      <alignment horizontal="justify" vertical="top" wrapText="1"/>
    </xf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38" fontId="7" fillId="0" borderId="0">
      <alignment horizontal="left" wrapText="1"/>
    </xf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0" borderId="25" applyNumberFormat="0" applyFill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38" fontId="10" fillId="0" borderId="9" applyFill="0" applyBorder="0" applyAlignment="0" applyProtection="0">
      <protection locked="0"/>
    </xf>
    <xf numFmtId="0" fontId="6" fillId="9" borderId="0" applyNumberFormat="0" applyBorder="0" applyAlignment="0" applyProtection="0"/>
    <xf numFmtId="38" fontId="10" fillId="0" borderId="9" applyFill="0" applyBorder="0" applyAlignment="0" applyProtection="0">
      <protection locked="0"/>
    </xf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19" borderId="0" applyNumberFormat="0" applyBorder="0" applyAlignment="0" applyProtection="0"/>
    <xf numFmtId="168" fontId="7" fillId="0" borderId="0" applyFill="0" applyBorder="0" applyAlignment="0" applyProtection="0"/>
    <xf numFmtId="3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169" fontId="7" fillId="0" borderId="0">
      <protection locked="0"/>
    </xf>
    <xf numFmtId="38" fontId="10" fillId="0" borderId="9" applyFill="0" applyBorder="0" applyAlignment="0" applyProtection="0">
      <protection locked="0"/>
    </xf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0" fontId="6" fillId="11" borderId="0" applyNumberFormat="0" applyBorder="0" applyAlignment="0" applyProtection="0"/>
    <xf numFmtId="2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172" fontId="66" fillId="0" borderId="0" applyFont="0" applyFill="0" applyBorder="0" applyAlignment="0" applyProtection="0"/>
    <xf numFmtId="38" fontId="10" fillId="0" borderId="9" applyFill="0" applyBorder="0" applyAlignment="0" applyProtection="0">
      <protection locked="0"/>
    </xf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5" fontId="7" fillId="0" borderId="0" applyFill="0" applyBorder="0" applyAlignment="0" applyProtection="0"/>
    <xf numFmtId="0" fontId="67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3" fontId="66" fillId="0" borderId="0" applyFont="0" applyFill="0" applyBorder="0" applyAlignment="0" applyProtection="0"/>
    <xf numFmtId="0" fontId="66" fillId="0" borderId="0"/>
    <xf numFmtId="4" fontId="66" fillId="0" borderId="0" applyFont="0" applyFill="0" applyBorder="0" applyAlignment="0" applyProtection="0"/>
    <xf numFmtId="0" fontId="6" fillId="19" borderId="0" applyNumberFormat="0" applyBorder="0" applyAlignment="0" applyProtection="0"/>
    <xf numFmtId="172" fontId="66" fillId="0" borderId="0" applyFont="0" applyFill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" fillId="21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6" fillId="0" borderId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26" borderId="0" applyNumberFormat="0" applyBorder="0" applyAlignment="0" applyProtection="0"/>
    <xf numFmtId="5" fontId="7" fillId="0" borderId="0" applyFill="0" applyBorder="0" applyAlignment="0" applyProtection="0"/>
    <xf numFmtId="0" fontId="6" fillId="5" borderId="0" applyNumberFormat="0" applyBorder="0" applyAlignment="0" applyProtection="0"/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171" fontId="7" fillId="0" borderId="1">
      <alignment horizontal="justify" vertical="top" wrapText="1"/>
    </xf>
    <xf numFmtId="0" fontId="6" fillId="26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5" fontId="7" fillId="0" borderId="0" applyFill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7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19" borderId="0" applyNumberFormat="0" applyBorder="0" applyAlignment="0" applyProtection="0"/>
    <xf numFmtId="2" fontId="66" fillId="0" borderId="0" applyFont="0" applyFill="0" applyBorder="0" applyAlignment="0" applyProtection="0"/>
    <xf numFmtId="0" fontId="6" fillId="26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37" fontId="7" fillId="0" borderId="0" applyFill="0" applyBorder="0" applyAlignment="0" applyProtection="0"/>
    <xf numFmtId="0" fontId="6" fillId="19" borderId="0" applyNumberFormat="0" applyBorder="0" applyAlignment="0" applyProtection="0"/>
    <xf numFmtId="0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172" fontId="6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3" fontId="6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9" borderId="0" applyNumberFormat="0" applyBorder="0" applyAlignment="0" applyProtection="0"/>
    <xf numFmtId="2" fontId="7" fillId="0" borderId="0" applyFill="0" applyBorder="0" applyAlignment="0" applyProtection="0"/>
    <xf numFmtId="0" fontId="6" fillId="23" borderId="0" applyNumberFormat="0" applyBorder="0" applyAlignment="0" applyProtection="0"/>
    <xf numFmtId="4" fontId="66" fillId="0" borderId="0" applyFont="0" applyFill="0" applyBorder="0" applyAlignment="0" applyProtection="0"/>
    <xf numFmtId="168" fontId="7" fillId="0" borderId="0" applyFill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6" fillId="0" borderId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171" fontId="7" fillId="0" borderId="1">
      <alignment horizontal="justify" vertical="top" wrapText="1"/>
    </xf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171" fontId="7" fillId="0" borderId="1">
      <alignment horizontal="justify" vertical="top" wrapText="1"/>
    </xf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11" borderId="0" applyNumberFormat="0" applyBorder="0" applyAlignment="0" applyProtection="0"/>
    <xf numFmtId="168" fontId="7" fillId="0" borderId="0" applyFill="0" applyBorder="0" applyAlignment="0" applyProtection="0"/>
    <xf numFmtId="0" fontId="6" fillId="0" borderId="0"/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5" fontId="7" fillId="0" borderId="0" applyFill="0" applyBorder="0" applyAlignment="0" applyProtection="0"/>
    <xf numFmtId="0" fontId="6" fillId="26" borderId="0" applyNumberFormat="0" applyBorder="0" applyAlignment="0" applyProtection="0"/>
    <xf numFmtId="171" fontId="7" fillId="0" borderId="1">
      <alignment horizontal="justify" vertical="top" wrapText="1"/>
    </xf>
    <xf numFmtId="0" fontId="66" fillId="0" borderId="25" applyNumberFormat="0" applyFont="0" applyFill="0" applyAlignment="0" applyProtection="0"/>
    <xf numFmtId="171" fontId="7" fillId="0" borderId="1">
      <alignment horizontal="justify" vertical="top" wrapText="1"/>
    </xf>
    <xf numFmtId="0" fontId="6" fillId="25" borderId="0" applyNumberFormat="0" applyBorder="0" applyAlignment="0" applyProtection="0"/>
    <xf numFmtId="5" fontId="7" fillId="0" borderId="0" applyFill="0" applyBorder="0" applyAlignment="0" applyProtection="0"/>
    <xf numFmtId="0" fontId="6" fillId="0" borderId="0"/>
    <xf numFmtId="0" fontId="6" fillId="21" borderId="0" applyNumberFormat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69" fontId="7" fillId="0" borderId="0">
      <protection locked="0"/>
    </xf>
    <xf numFmtId="168" fontId="7" fillId="0" borderId="0" applyFill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37" fontId="7" fillId="0" borderId="0" applyFill="0" applyBorder="0" applyAlignment="0" applyProtection="0"/>
    <xf numFmtId="0" fontId="6" fillId="9" borderId="0" applyNumberFormat="0" applyBorder="0" applyAlignment="0" applyProtection="0"/>
    <xf numFmtId="169" fontId="7" fillId="0" borderId="0">
      <protection locked="0"/>
    </xf>
    <xf numFmtId="0" fontId="66" fillId="0" borderId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38" fontId="10" fillId="0" borderId="9" applyFill="0" applyBorder="0" applyAlignment="0" applyProtection="0">
      <protection locked="0"/>
    </xf>
    <xf numFmtId="169" fontId="7" fillId="0" borderId="0">
      <protection locked="0"/>
    </xf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2" fontId="7" fillId="0" borderId="0" applyFill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38" fontId="10" fillId="0" borderId="9" applyFill="0" applyBorder="0" applyAlignment="0" applyProtection="0">
      <protection locked="0"/>
    </xf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168" fontId="7" fillId="0" borderId="0" applyFill="0" applyBorder="0" applyAlignment="0" applyProtection="0"/>
    <xf numFmtId="0" fontId="66" fillId="0" borderId="0" applyFont="0" applyFill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5" fontId="7" fillId="0" borderId="0" applyFill="0" applyBorder="0" applyAlignment="0" applyProtection="0"/>
    <xf numFmtId="3" fontId="66" fillId="0" borderId="0" applyFont="0" applyFill="0" applyBorder="0" applyAlignment="0" applyProtection="0"/>
    <xf numFmtId="168" fontId="7" fillId="0" borderId="0" applyFill="0" applyBorder="0" applyAlignment="0" applyProtection="0"/>
    <xf numFmtId="171" fontId="7" fillId="0" borderId="1">
      <alignment horizontal="justify" vertical="top" wrapText="1"/>
    </xf>
    <xf numFmtId="0" fontId="6" fillId="26" borderId="0" applyNumberFormat="0" applyBorder="0" applyAlignment="0" applyProtection="0"/>
    <xf numFmtId="0" fontId="6" fillId="11" borderId="0" applyNumberFormat="0" applyBorder="0" applyAlignment="0" applyProtection="0"/>
    <xf numFmtId="37" fontId="7" fillId="0" borderId="0" applyFill="0" applyBorder="0" applyAlignment="0" applyProtection="0"/>
    <xf numFmtId="169" fontId="7" fillId="0" borderId="0">
      <protection locked="0"/>
    </xf>
    <xf numFmtId="0" fontId="6" fillId="20" borderId="0" applyNumberFormat="0" applyBorder="0" applyAlignment="0" applyProtection="0"/>
    <xf numFmtId="0" fontId="6" fillId="0" borderId="0"/>
    <xf numFmtId="0" fontId="6" fillId="25" borderId="0" applyNumberFormat="0" applyBorder="0" applyAlignment="0" applyProtection="0"/>
    <xf numFmtId="171" fontId="7" fillId="0" borderId="1">
      <alignment horizontal="justify" vertical="top" wrapText="1"/>
    </xf>
    <xf numFmtId="169" fontId="7" fillId="0" borderId="0">
      <protection locked="0"/>
    </xf>
    <xf numFmtId="0" fontId="6" fillId="23" borderId="0" applyNumberFormat="0" applyBorder="0" applyAlignment="0" applyProtection="0"/>
    <xf numFmtId="0" fontId="6" fillId="0" borderId="0"/>
    <xf numFmtId="0" fontId="6" fillId="20" borderId="0" applyNumberFormat="0" applyBorder="0" applyAlignment="0" applyProtection="0"/>
    <xf numFmtId="169" fontId="7" fillId="0" borderId="0">
      <protection locked="0"/>
    </xf>
    <xf numFmtId="0" fontId="6" fillId="21" borderId="0" applyNumberFormat="0" applyBorder="0" applyAlignment="0" applyProtection="0"/>
    <xf numFmtId="0" fontId="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6" fillId="0" borderId="0"/>
    <xf numFmtId="0" fontId="6" fillId="23" borderId="0" applyNumberFormat="0" applyBorder="0" applyAlignment="0" applyProtection="0"/>
    <xf numFmtId="169" fontId="7" fillId="0" borderId="0">
      <protection locked="0"/>
    </xf>
    <xf numFmtId="0" fontId="6" fillId="9" borderId="0" applyNumberFormat="0" applyBorder="0" applyAlignment="0" applyProtection="0"/>
    <xf numFmtId="0" fontId="6" fillId="21" borderId="0" applyNumberFormat="0" applyBorder="0" applyAlignment="0" applyProtection="0"/>
    <xf numFmtId="171" fontId="7" fillId="0" borderId="1">
      <alignment horizontal="justify" vertical="top" wrapText="1"/>
    </xf>
    <xf numFmtId="0" fontId="6" fillId="0" borderId="0"/>
    <xf numFmtId="0" fontId="6" fillId="5" borderId="0" applyNumberFormat="0" applyBorder="0" applyAlignment="0" applyProtection="0"/>
    <xf numFmtId="2" fontId="7" fillId="0" borderId="0" applyFill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26" borderId="0" applyNumberFormat="0" applyBorder="0" applyAlignment="0" applyProtection="0"/>
    <xf numFmtId="2" fontId="7" fillId="0" borderId="0" applyFill="0" applyBorder="0" applyAlignment="0" applyProtection="0"/>
    <xf numFmtId="0" fontId="6" fillId="9" borderId="0" applyNumberFormat="0" applyBorder="0" applyAlignment="0" applyProtection="0"/>
    <xf numFmtId="5" fontId="7" fillId="0" borderId="0" applyFill="0" applyBorder="0" applyAlignment="0" applyProtection="0"/>
    <xf numFmtId="0" fontId="68" fillId="0" borderId="0" applyNumberFormat="0" applyFill="0" applyBorder="0" applyAlignment="0" applyProtection="0"/>
    <xf numFmtId="0" fontId="6" fillId="26" borderId="0" applyNumberFormat="0" applyBorder="0" applyAlignment="0" applyProtection="0"/>
    <xf numFmtId="38" fontId="39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7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6" fillId="0" borderId="0"/>
    <xf numFmtId="0" fontId="6" fillId="26" borderId="0" applyNumberFormat="0" applyBorder="0" applyAlignment="0" applyProtection="0"/>
    <xf numFmtId="0" fontId="6" fillId="11" borderId="0" applyNumberFormat="0" applyBorder="0" applyAlignment="0" applyProtection="0"/>
    <xf numFmtId="2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172" fontId="66" fillId="0" borderId="0" applyFont="0" applyFill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3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" fillId="0" borderId="0"/>
    <xf numFmtId="0" fontId="6" fillId="5" borderId="0" applyNumberFormat="0" applyBorder="0" applyAlignment="0" applyProtection="0"/>
    <xf numFmtId="168" fontId="7" fillId="0" borderId="0" applyFill="0" applyBorder="0" applyAlignment="0" applyProtection="0"/>
    <xf numFmtId="37" fontId="7" fillId="0" borderId="0" applyFill="0" applyBorder="0" applyAlignment="0" applyProtection="0"/>
    <xf numFmtId="0" fontId="6" fillId="11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5" borderId="0" applyNumberFormat="0" applyBorder="0" applyAlignment="0" applyProtection="0"/>
    <xf numFmtId="5" fontId="7" fillId="0" borderId="0" applyFill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5" fontId="7" fillId="0" borderId="0" applyFill="0" applyBorder="0" applyAlignment="0" applyProtection="0"/>
    <xf numFmtId="37" fontId="7" fillId="0" borderId="0" applyFill="0" applyBorder="0" applyAlignment="0" applyProtection="0"/>
    <xf numFmtId="0" fontId="6" fillId="9" borderId="0" applyNumberFormat="0" applyBorder="0" applyAlignment="0" applyProtection="0"/>
    <xf numFmtId="171" fontId="7" fillId="0" borderId="1">
      <alignment horizontal="justify" vertical="top" wrapText="1"/>
    </xf>
    <xf numFmtId="0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6" fillId="0" borderId="25" applyNumberFormat="0" applyFont="0" applyFill="0" applyAlignment="0" applyProtection="0"/>
    <xf numFmtId="169" fontId="7" fillId="0" borderId="0">
      <protection locked="0"/>
    </xf>
    <xf numFmtId="0" fontId="6" fillId="9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25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8" fillId="0" borderId="0" applyNumberFormat="0" applyFill="0" applyBorder="0" applyAlignment="0" applyProtection="0"/>
    <xf numFmtId="0" fontId="6" fillId="26" borderId="0" applyNumberFormat="0" applyBorder="0" applyAlignment="0" applyProtection="0"/>
    <xf numFmtId="168" fontId="7" fillId="0" borderId="0" applyFill="0" applyBorder="0" applyAlignment="0" applyProtection="0"/>
    <xf numFmtId="0" fontId="6" fillId="19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172" fontId="66" fillId="0" borderId="0" applyFont="0" applyFill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168" fontId="7" fillId="0" borderId="0" applyFill="0" applyBorder="0" applyAlignment="0" applyProtection="0"/>
    <xf numFmtId="0" fontId="6" fillId="20" borderId="0" applyNumberFormat="0" applyBorder="0" applyAlignment="0" applyProtection="0"/>
    <xf numFmtId="3" fontId="66" fillId="0" borderId="0" applyFont="0" applyFill="0" applyBorder="0" applyAlignment="0" applyProtection="0"/>
    <xf numFmtId="0" fontId="6" fillId="23" borderId="0" applyNumberFormat="0" applyBorder="0" applyAlignment="0" applyProtection="0"/>
    <xf numFmtId="169" fontId="7" fillId="0" borderId="0">
      <protection locked="0"/>
    </xf>
    <xf numFmtId="0" fontId="6" fillId="20" borderId="0" applyNumberFormat="0" applyBorder="0" applyAlignment="0" applyProtection="0"/>
    <xf numFmtId="2" fontId="7" fillId="0" borderId="0" applyFill="0" applyBorder="0" applyAlignment="0" applyProtection="0"/>
    <xf numFmtId="0" fontId="7" fillId="0" borderId="25" applyNumberFormat="0" applyFill="0" applyAlignment="0" applyProtection="0"/>
    <xf numFmtId="0" fontId="66" fillId="0" borderId="0"/>
    <xf numFmtId="0" fontId="6" fillId="20" borderId="0" applyNumberFormat="0" applyBorder="0" applyAlignment="0" applyProtection="0"/>
    <xf numFmtId="2" fontId="7" fillId="0" borderId="0" applyFill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3" borderId="0" applyNumberFormat="0" applyBorder="0" applyAlignment="0" applyProtection="0"/>
    <xf numFmtId="169" fontId="7" fillId="0" borderId="0">
      <protection locked="0"/>
    </xf>
    <xf numFmtId="3" fontId="66" fillId="0" borderId="0" applyFont="0" applyFill="0" applyBorder="0" applyAlignment="0" applyProtection="0"/>
    <xf numFmtId="0" fontId="6" fillId="0" borderId="0"/>
    <xf numFmtId="0" fontId="6" fillId="0" borderId="0"/>
    <xf numFmtId="0" fontId="6" fillId="25" borderId="0" applyNumberFormat="0" applyBorder="0" applyAlignment="0" applyProtection="0"/>
    <xf numFmtId="37" fontId="7" fillId="0" borderId="0" applyFill="0" applyBorder="0" applyAlignment="0" applyProtection="0"/>
    <xf numFmtId="4" fontId="66" fillId="0" borderId="0" applyFont="0" applyFill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37" fontId="7" fillId="0" borderId="0" applyFill="0" applyBorder="0" applyAlignment="0" applyProtection="0"/>
    <xf numFmtId="168" fontId="7" fillId="0" borderId="0" applyFill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37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4" fontId="66" fillId="0" borderId="0" applyFont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0" fontId="6" fillId="19" borderId="0" applyNumberFormat="0" applyBorder="0" applyAlignment="0" applyProtection="0"/>
    <xf numFmtId="0" fontId="66" fillId="0" borderId="0" applyFont="0" applyFill="0" applyBorder="0" applyAlignment="0" applyProtection="0"/>
    <xf numFmtId="0" fontId="6" fillId="26" borderId="0" applyNumberFormat="0" applyBorder="0" applyAlignment="0" applyProtection="0"/>
    <xf numFmtId="169" fontId="7" fillId="0" borderId="0">
      <protection locked="0"/>
    </xf>
    <xf numFmtId="2" fontId="66" fillId="0" borderId="0" applyFont="0" applyFill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6" fillId="0" borderId="25" applyNumberFormat="0" applyFont="0" applyFill="0" applyAlignment="0" applyProtection="0"/>
    <xf numFmtId="171" fontId="7" fillId="0" borderId="1">
      <alignment horizontal="justify" vertical="top" wrapText="1"/>
    </xf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171" fontId="7" fillId="0" borderId="1">
      <alignment horizontal="justify" vertical="top" wrapText="1"/>
    </xf>
    <xf numFmtId="0" fontId="6" fillId="23" borderId="0" applyNumberFormat="0" applyBorder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2" fontId="7" fillId="0" borderId="0" applyFill="0" applyBorder="0" applyAlignment="0" applyProtection="0"/>
    <xf numFmtId="0" fontId="6" fillId="20" borderId="0" applyNumberFormat="0" applyBorder="0" applyAlignment="0" applyProtection="0"/>
    <xf numFmtId="168" fontId="7" fillId="0" borderId="0" applyFill="0" applyBorder="0" applyAlignment="0" applyProtection="0"/>
    <xf numFmtId="0" fontId="68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5" fontId="7" fillId="0" borderId="0" applyFill="0" applyBorder="0" applyAlignment="0" applyProtection="0"/>
    <xf numFmtId="0" fontId="6" fillId="5" borderId="0" applyNumberFormat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25" borderId="0" applyNumberFormat="0" applyBorder="0" applyAlignment="0" applyProtection="0"/>
    <xf numFmtId="0" fontId="6" fillId="21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4" fontId="66" fillId="0" borderId="0" applyFont="0" applyFill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172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169" fontId="7" fillId="0" borderId="0">
      <protection locked="0"/>
    </xf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5" fontId="7" fillId="0" borderId="0" applyFill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168" fontId="7" fillId="0" borderId="0" applyFill="0" applyBorder="0" applyAlignment="0" applyProtection="0"/>
    <xf numFmtId="0" fontId="6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0" fontId="68" fillId="0" borderId="0" applyNumberFormat="0" applyFill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0" borderId="25" applyNumberFormat="0" applyFill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168" fontId="7" fillId="0" borderId="0" applyFill="0" applyBorder="0" applyAlignment="0" applyProtection="0"/>
    <xf numFmtId="0" fontId="6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6" fillId="21" borderId="0" applyNumberFormat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0" fontId="6" fillId="26" borderId="0" applyNumberFormat="0" applyBorder="0" applyAlignment="0" applyProtection="0"/>
    <xf numFmtId="0" fontId="7" fillId="0" borderId="25" applyNumberFormat="0" applyFill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37" fontId="7" fillId="0" borderId="0" applyFill="0" applyBorder="0" applyAlignment="0" applyProtection="0"/>
    <xf numFmtId="5" fontId="7" fillId="0" borderId="0" applyFill="0" applyBorder="0" applyAlignment="0" applyProtection="0"/>
    <xf numFmtId="168" fontId="7" fillId="0" borderId="0" applyFill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6" fillId="0" borderId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169" fontId="7" fillId="0" borderId="0">
      <protection locked="0"/>
    </xf>
    <xf numFmtId="171" fontId="7" fillId="0" borderId="1">
      <alignment horizontal="justify" vertical="top" wrapText="1"/>
    </xf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2" fontId="7" fillId="0" borderId="0" applyFill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168" fontId="7" fillId="0" borderId="0" applyFill="0" applyBorder="0" applyAlignment="0" applyProtection="0"/>
    <xf numFmtId="0" fontId="6" fillId="25" borderId="0" applyNumberFormat="0" applyBorder="0" applyAlignment="0" applyProtection="0"/>
    <xf numFmtId="37" fontId="7" fillId="0" borderId="0" applyFill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169" fontId="7" fillId="0" borderId="0">
      <protection locked="0"/>
    </xf>
    <xf numFmtId="0" fontId="6" fillId="19" borderId="0" applyNumberFormat="0" applyBorder="0" applyAlignment="0" applyProtection="0"/>
    <xf numFmtId="0" fontId="6" fillId="25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169" fontId="7" fillId="0" borderId="0">
      <protection locked="0"/>
    </xf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169" fontId="7" fillId="0" borderId="0">
      <protection locked="0"/>
    </xf>
    <xf numFmtId="0" fontId="67" fillId="0" borderId="0" applyNumberFormat="0" applyFill="0" applyBorder="0" applyAlignment="0" applyProtection="0"/>
    <xf numFmtId="0" fontId="6" fillId="26" borderId="0" applyNumberFormat="0" applyBorder="0" applyAlignment="0" applyProtection="0"/>
    <xf numFmtId="3" fontId="66" fillId="0" borderId="0" applyFont="0" applyFill="0" applyBorder="0" applyAlignment="0" applyProtection="0"/>
    <xf numFmtId="169" fontId="7" fillId="0" borderId="0">
      <protection locked="0"/>
    </xf>
    <xf numFmtId="4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7" fillId="0" borderId="25" applyNumberFormat="0" applyFill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6" fillId="0" borderId="0" applyFont="0" applyFill="0" applyBorder="0" applyAlignment="0" applyProtection="0"/>
    <xf numFmtId="0" fontId="6" fillId="19" borderId="0" applyNumberFormat="0" applyBorder="0" applyAlignment="0" applyProtection="0"/>
    <xf numFmtId="169" fontId="7" fillId="0" borderId="0">
      <protection locked="0"/>
    </xf>
    <xf numFmtId="172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38" fontId="7" fillId="0" borderId="0">
      <alignment horizontal="left" wrapText="1"/>
    </xf>
    <xf numFmtId="0" fontId="6" fillId="0" borderId="0"/>
    <xf numFmtId="0" fontId="67" fillId="0" borderId="0" applyNumberFormat="0" applyFill="0" applyBorder="0" applyAlignment="0" applyProtection="0"/>
    <xf numFmtId="172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7" fillId="0" borderId="25" applyNumberFormat="0" applyFill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172" fontId="66" fillId="0" borderId="0" applyFont="0" applyFill="0" applyBorder="0" applyAlignment="0" applyProtection="0"/>
    <xf numFmtId="0" fontId="6" fillId="2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2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6" fillId="0" borderId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5" fontId="7" fillId="0" borderId="0" applyFill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19" borderId="0" applyNumberFormat="0" applyBorder="0" applyAlignment="0" applyProtection="0"/>
    <xf numFmtId="4" fontId="66" fillId="0" borderId="0" applyFont="0" applyFill="0" applyBorder="0" applyAlignment="0" applyProtection="0"/>
    <xf numFmtId="169" fontId="7" fillId="0" borderId="0">
      <protection locked="0"/>
    </xf>
    <xf numFmtId="5" fontId="7" fillId="0" borderId="0" applyFill="0" applyBorder="0" applyAlignment="0" applyProtection="0"/>
    <xf numFmtId="169" fontId="7" fillId="0" borderId="0">
      <protection locked="0"/>
    </xf>
    <xf numFmtId="0" fontId="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0" fontId="6" fillId="9" borderId="0" applyNumberFormat="0" applyBorder="0" applyAlignment="0" applyProtection="0"/>
    <xf numFmtId="168" fontId="7" fillId="0" borderId="0" applyFill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7" fillId="0" borderId="25" applyNumberFormat="0" applyFill="0" applyAlignment="0" applyProtection="0"/>
    <xf numFmtId="0" fontId="68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5" borderId="0" applyNumberFormat="0" applyBorder="0" applyAlignment="0" applyProtection="0"/>
    <xf numFmtId="37" fontId="7" fillId="0" borderId="0" applyFill="0" applyBorder="0" applyAlignment="0" applyProtection="0"/>
    <xf numFmtId="0" fontId="6" fillId="2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7" fillId="0" borderId="25" applyNumberFormat="0" applyFill="0" applyAlignment="0" applyProtection="0"/>
    <xf numFmtId="0" fontId="6" fillId="19" borderId="0" applyNumberFormat="0" applyBorder="0" applyAlignment="0" applyProtection="0"/>
    <xf numFmtId="0" fontId="18" fillId="0" borderId="0" applyNumberFormat="0" applyFill="0" applyBorder="0" applyAlignment="0" applyProtection="0"/>
    <xf numFmtId="169" fontId="7" fillId="0" borderId="0">
      <protection locked="0"/>
    </xf>
    <xf numFmtId="0" fontId="6" fillId="26" borderId="0" applyNumberFormat="0" applyBorder="0" applyAlignment="0" applyProtection="0"/>
    <xf numFmtId="0" fontId="67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7" fillId="0" borderId="25" applyNumberFormat="0" applyFill="0" applyAlignment="0" applyProtection="0"/>
    <xf numFmtId="0" fontId="6" fillId="0" borderId="0"/>
    <xf numFmtId="0" fontId="6" fillId="26" borderId="0" applyNumberFormat="0" applyBorder="0" applyAlignment="0" applyProtection="0"/>
    <xf numFmtId="169" fontId="7" fillId="0" borderId="0">
      <protection locked="0"/>
    </xf>
    <xf numFmtId="4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6" fillId="25" borderId="0" applyNumberFormat="0" applyBorder="0" applyAlignment="0" applyProtection="0"/>
    <xf numFmtId="0" fontId="6" fillId="0" borderId="0"/>
    <xf numFmtId="0" fontId="7" fillId="0" borderId="25" applyNumberFormat="0" applyFill="0" applyAlignment="0" applyProtection="0"/>
    <xf numFmtId="2" fontId="66" fillId="0" borderId="0" applyFont="0" applyFill="0" applyBorder="0" applyAlignment="0" applyProtection="0"/>
    <xf numFmtId="0" fontId="6" fillId="9" borderId="0" applyNumberFormat="0" applyBorder="0" applyAlignment="0" applyProtection="0"/>
    <xf numFmtId="0" fontId="15" fillId="0" borderId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8" fillId="0" borderId="0" applyNumberFormat="0" applyFill="0" applyBorder="0" applyAlignment="0" applyProtection="0"/>
    <xf numFmtId="4" fontId="66" fillId="0" borderId="0" applyFont="0" applyFill="0" applyBorder="0" applyAlignment="0" applyProtection="0"/>
    <xf numFmtId="10" fontId="39" fillId="42" borderId="17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2" fontId="66" fillId="0" borderId="0" applyFont="0" applyFill="0" applyBorder="0" applyAlignment="0" applyProtection="0"/>
    <xf numFmtId="0" fontId="6" fillId="0" borderId="0"/>
    <xf numFmtId="4" fontId="66" fillId="0" borderId="0" applyFont="0" applyFill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6" fillId="0" borderId="0"/>
    <xf numFmtId="0" fontId="6" fillId="19" borderId="0" applyNumberFormat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37" fontId="7" fillId="0" borderId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38" fontId="39" fillId="17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171" fontId="7" fillId="0" borderId="1">
      <alignment horizontal="justify" vertical="top" wrapText="1"/>
    </xf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2" fontId="7" fillId="0" borderId="0" applyFill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5" fontId="7" fillId="0" borderId="0" applyFill="0" applyBorder="0" applyAlignment="0" applyProtection="0"/>
    <xf numFmtId="5" fontId="7" fillId="0" borderId="0" applyFill="0" applyBorder="0" applyAlignment="0" applyProtection="0"/>
    <xf numFmtId="0" fontId="68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19" borderId="0" applyNumberFormat="0" applyBorder="0" applyAlignment="0" applyProtection="0"/>
    <xf numFmtId="0" fontId="66" fillId="0" borderId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26" borderId="0" applyNumberFormat="0" applyBorder="0" applyAlignment="0" applyProtection="0"/>
    <xf numFmtId="0" fontId="66" fillId="0" borderId="25" applyNumberFormat="0" applyFont="0" applyFill="0" applyAlignment="0" applyProtection="0"/>
    <xf numFmtId="4" fontId="6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11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7" fillId="0" borderId="0" applyNumberFormat="0" applyFill="0" applyBorder="0" applyAlignment="0" applyProtection="0"/>
    <xf numFmtId="168" fontId="7" fillId="0" borderId="0" applyFill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1" borderId="0" applyNumberFormat="0" applyBorder="0" applyAlignment="0" applyProtection="0"/>
    <xf numFmtId="0" fontId="45" fillId="8" borderId="21" applyNumberFormat="0" applyFont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6" fillId="0" borderId="0"/>
    <xf numFmtId="0" fontId="6" fillId="26" borderId="0" applyNumberFormat="0" applyBorder="0" applyAlignment="0" applyProtection="0"/>
    <xf numFmtId="2" fontId="66" fillId="0" borderId="0" applyFont="0" applyFill="0" applyBorder="0" applyAlignment="0" applyProtection="0"/>
    <xf numFmtId="0" fontId="66" fillId="0" borderId="25" applyNumberFormat="0" applyFont="0" applyFill="0" applyAlignment="0" applyProtection="0"/>
    <xf numFmtId="0" fontId="6" fillId="9" borderId="0" applyNumberFormat="0" applyBorder="0" applyAlignment="0" applyProtection="0"/>
    <xf numFmtId="168" fontId="7" fillId="0" borderId="0" applyFill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5" borderId="0" applyNumberFormat="0" applyBorder="0" applyAlignment="0" applyProtection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172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37" fontId="7" fillId="0" borderId="0" applyFill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2" fontId="7" fillId="0" borderId="0" applyFill="0" applyBorder="0" applyAlignment="0" applyProtection="0"/>
    <xf numFmtId="5" fontId="7" fillId="0" borderId="0" applyFill="0" applyBorder="0" applyAlignment="0" applyProtection="0"/>
    <xf numFmtId="0" fontId="6" fillId="19" borderId="0" applyNumberFormat="0" applyBorder="0" applyAlignment="0" applyProtection="0"/>
    <xf numFmtId="0" fontId="6" fillId="25" borderId="0" applyNumberFormat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7" fillId="0" borderId="0" applyNumberFormat="0" applyFill="0" applyBorder="0" applyAlignment="0" applyProtection="0"/>
    <xf numFmtId="0" fontId="66" fillId="0" borderId="0"/>
    <xf numFmtId="0" fontId="66" fillId="0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2" fontId="7" fillId="0" borderId="0" applyFill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6" fillId="0" borderId="0" applyFont="0" applyFill="0" applyBorder="0" applyAlignment="0" applyProtection="0"/>
    <xf numFmtId="0" fontId="6" fillId="0" borderId="0"/>
    <xf numFmtId="0" fontId="66" fillId="0" borderId="0"/>
    <xf numFmtId="37" fontId="7" fillId="0" borderId="0" applyFill="0" applyBorder="0" applyAlignment="0" applyProtection="0"/>
    <xf numFmtId="2" fontId="7" fillId="0" borderId="0" applyFill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168" fontId="7" fillId="0" borderId="0" applyFill="0" applyBorder="0" applyAlignment="0" applyProtection="0"/>
    <xf numFmtId="2" fontId="66" fillId="0" borderId="0" applyFont="0" applyFill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168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71" fontId="7" fillId="0" borderId="1">
      <alignment horizontal="justify" vertical="top" wrapText="1"/>
    </xf>
    <xf numFmtId="171" fontId="7" fillId="0" borderId="1">
      <alignment horizontal="justify" vertical="top" wrapText="1"/>
    </xf>
    <xf numFmtId="0" fontId="67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169" fontId="7" fillId="0" borderId="0">
      <protection locked="0"/>
    </xf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4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172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6" fillId="0" borderId="0" applyFont="0" applyFill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8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2" fontId="66" fillId="0" borderId="0" applyFont="0" applyFill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19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45" fillId="8" borderId="21" applyNumberFormat="0" applyFont="0" applyAlignment="0" applyProtection="0"/>
    <xf numFmtId="0" fontId="6" fillId="23" borderId="0" applyNumberFormat="0" applyBorder="0" applyAlignment="0" applyProtection="0"/>
    <xf numFmtId="0" fontId="66" fillId="0" borderId="0" applyFont="0" applyFill="0" applyBorder="0" applyAlignment="0" applyProtection="0"/>
    <xf numFmtId="0" fontId="6" fillId="0" borderId="0"/>
    <xf numFmtId="0" fontId="6" fillId="23" borderId="0" applyNumberFormat="0" applyBorder="0" applyAlignment="0" applyProtection="0"/>
    <xf numFmtId="169" fontId="7" fillId="0" borderId="0">
      <protection locked="0"/>
    </xf>
    <xf numFmtId="5" fontId="7" fillId="0" borderId="0" applyFill="0" applyBorder="0" applyAlignment="0" applyProtection="0"/>
    <xf numFmtId="0" fontId="66" fillId="0" borderId="25" applyNumberFormat="0" applyFont="0" applyFill="0" applyAlignment="0" applyProtection="0"/>
    <xf numFmtId="0" fontId="6" fillId="21" borderId="0" applyNumberFormat="0" applyBorder="0" applyAlignment="0" applyProtection="0"/>
    <xf numFmtId="3" fontId="66" fillId="0" borderId="0" applyFont="0" applyFill="0" applyBorder="0" applyAlignment="0" applyProtection="0"/>
    <xf numFmtId="0" fontId="6" fillId="26" borderId="0" applyNumberFormat="0" applyBorder="0" applyAlignment="0" applyProtection="0"/>
    <xf numFmtId="0" fontId="66" fillId="0" borderId="0" applyFont="0" applyFill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172" fontId="66" fillId="0" borderId="0" applyFont="0" applyFill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6" fillId="0" borderId="25" applyNumberFormat="0" applyFont="0" applyFill="0" applyAlignment="0" applyProtection="0"/>
    <xf numFmtId="3" fontId="66" fillId="0" borderId="0" applyFont="0" applyFill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11" borderId="0" applyNumberFormat="0" applyBorder="0" applyAlignment="0" applyProtection="0"/>
    <xf numFmtId="171" fontId="7" fillId="0" borderId="1">
      <alignment horizontal="justify" vertical="top" wrapText="1"/>
    </xf>
    <xf numFmtId="0" fontId="66" fillId="0" borderId="0" applyFont="0" applyFill="0" applyBorder="0" applyAlignment="0" applyProtection="0"/>
    <xf numFmtId="0" fontId="6" fillId="0" borderId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37" fontId="7" fillId="0" borderId="0" applyFill="0" applyBorder="0" applyAlignment="0" applyProtection="0"/>
    <xf numFmtId="0" fontId="6" fillId="9" borderId="0" applyNumberFormat="0" applyBorder="0" applyAlignment="0" applyProtection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" fillId="23" borderId="0" applyNumberFormat="0" applyBorder="0" applyAlignment="0" applyProtection="0"/>
    <xf numFmtId="168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2" fontId="66" fillId="0" borderId="0" applyFont="0" applyFill="0" applyBorder="0" applyAlignment="0" applyProtection="0"/>
    <xf numFmtId="0" fontId="7" fillId="0" borderId="25" applyNumberFormat="0" applyFill="0" applyAlignment="0" applyProtection="0"/>
    <xf numFmtId="171" fontId="7" fillId="0" borderId="1">
      <alignment horizontal="justify" vertical="top" wrapText="1"/>
    </xf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169" fontId="7" fillId="0" borderId="0">
      <protection locked="0"/>
    </xf>
    <xf numFmtId="0" fontId="67" fillId="0" borderId="0" applyNumberFormat="0" applyFill="0" applyBorder="0" applyAlignment="0" applyProtection="0"/>
    <xf numFmtId="3" fontId="66" fillId="0" borderId="0" applyFont="0" applyFill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6" fillId="0" borderId="0" applyFont="0" applyFill="0" applyBorder="0" applyAlignment="0" applyProtection="0"/>
    <xf numFmtId="0" fontId="6" fillId="19" borderId="0" applyNumberFormat="0" applyBorder="0" applyAlignment="0" applyProtection="0"/>
    <xf numFmtId="169" fontId="7" fillId="0" borderId="0">
      <protection locked="0"/>
    </xf>
    <xf numFmtId="172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38" fontId="7" fillId="0" borderId="0">
      <alignment horizontal="left" wrapText="1"/>
    </xf>
    <xf numFmtId="0" fontId="67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172" fontId="66" fillId="0" borderId="0" applyFont="0" applyFill="0" applyBorder="0" applyAlignment="0" applyProtection="0"/>
    <xf numFmtId="0" fontId="6" fillId="2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2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6" fillId="0" borderId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5" fontId="7" fillId="0" borderId="0" applyFill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19" borderId="0" applyNumberFormat="0" applyBorder="0" applyAlignment="0" applyProtection="0"/>
    <xf numFmtId="4" fontId="66" fillId="0" borderId="0" applyFont="0" applyFill="0" applyBorder="0" applyAlignment="0" applyProtection="0"/>
    <xf numFmtId="169" fontId="7" fillId="0" borderId="0">
      <protection locked="0"/>
    </xf>
    <xf numFmtId="0" fontId="6" fillId="0" borderId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0" fontId="6" fillId="9" borderId="0" applyNumberFormat="0" applyBorder="0" applyAlignment="0" applyProtection="0"/>
    <xf numFmtId="168" fontId="7" fillId="0" borderId="0" applyFill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7" fillId="0" borderId="25" applyNumberFormat="0" applyFill="0" applyAlignment="0" applyProtection="0"/>
    <xf numFmtId="0" fontId="68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0" borderId="0"/>
    <xf numFmtId="0" fontId="7" fillId="0" borderId="25" applyNumberFormat="0" applyFill="0" applyAlignment="0" applyProtection="0"/>
    <xf numFmtId="0" fontId="6" fillId="19" borderId="0" applyNumberFormat="0" applyBorder="0" applyAlignment="0" applyProtection="0"/>
    <xf numFmtId="0" fontId="6" fillId="26" borderId="0" applyNumberFormat="0" applyBorder="0" applyAlignment="0" applyProtection="0"/>
    <xf numFmtId="0" fontId="67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6" fillId="0" borderId="0" applyFont="0" applyFill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0" borderId="0"/>
    <xf numFmtId="0" fontId="6" fillId="26" borderId="0" applyNumberFormat="0" applyBorder="0" applyAlignment="0" applyProtection="0"/>
    <xf numFmtId="169" fontId="7" fillId="0" borderId="0">
      <protection locked="0"/>
    </xf>
    <xf numFmtId="4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0" fontId="15" fillId="0" borderId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8" fillId="0" borderId="0" applyNumberFormat="0" applyFill="0" applyBorder="0" applyAlignment="0" applyProtection="0"/>
    <xf numFmtId="4" fontId="66" fillId="0" borderId="0" applyFont="0" applyFill="0" applyBorder="0" applyAlignment="0" applyProtection="0"/>
    <xf numFmtId="10" fontId="39" fillId="42" borderId="17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2" fontId="66" fillId="0" borderId="0" applyFont="0" applyFill="0" applyBorder="0" applyAlignment="0" applyProtection="0"/>
    <xf numFmtId="0" fontId="6" fillId="0" borderId="0"/>
    <xf numFmtId="4" fontId="66" fillId="0" borderId="0" applyFont="0" applyFill="0" applyBorder="0" applyAlignment="0" applyProtection="0"/>
    <xf numFmtId="0" fontId="6" fillId="9" borderId="0" applyNumberFormat="0" applyBorder="0" applyAlignment="0" applyProtection="0"/>
    <xf numFmtId="0" fontId="66" fillId="0" borderId="0"/>
    <xf numFmtId="0" fontId="6" fillId="19" borderId="0" applyNumberFormat="0" applyBorder="0" applyAlignment="0" applyProtection="0"/>
    <xf numFmtId="2" fontId="7" fillId="0" borderId="0" applyFill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171" fontId="7" fillId="0" borderId="1">
      <alignment horizontal="justify" vertical="top" wrapText="1"/>
    </xf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19" borderId="0" applyNumberFormat="0" applyBorder="0" applyAlignment="0" applyProtection="0"/>
    <xf numFmtId="0" fontId="66" fillId="0" borderId="0"/>
    <xf numFmtId="0" fontId="6" fillId="26" borderId="0" applyNumberFormat="0" applyBorder="0" applyAlignment="0" applyProtection="0"/>
    <xf numFmtId="0" fontId="66" fillId="0" borderId="25" applyNumberFormat="0" applyFont="0" applyFill="0" applyAlignment="0" applyProtection="0"/>
    <xf numFmtId="4" fontId="66" fillId="0" borderId="0" applyFont="0" applyFill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7" fillId="0" borderId="0" applyNumberFormat="0" applyFill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45" fillId="8" borderId="21" applyNumberFormat="0" applyFont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171" fontId="7" fillId="0" borderId="1">
      <alignment horizontal="justify" vertical="top" wrapText="1"/>
    </xf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2" fontId="66" fillId="0" borderId="0" applyFont="0" applyFill="0" applyBorder="0" applyAlignment="0" applyProtection="0"/>
    <xf numFmtId="0" fontId="66" fillId="0" borderId="25" applyNumberFormat="0" applyFont="0" applyFill="0" applyAlignment="0" applyProtection="0"/>
    <xf numFmtId="0" fontId="6" fillId="9" borderId="0" applyNumberFormat="0" applyBorder="0" applyAlignment="0" applyProtection="0"/>
    <xf numFmtId="0" fontId="6" fillId="21" borderId="0" applyNumberFormat="0" applyBorder="0" applyAlignment="0" applyProtection="0"/>
    <xf numFmtId="0" fontId="6" fillId="5" borderId="0" applyNumberFormat="0" applyBorder="0" applyAlignment="0" applyProtection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172" fontId="66" fillId="0" borderId="0" applyFont="0" applyFill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37" fontId="7" fillId="0" borderId="0" applyFill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2" fontId="7" fillId="0" borderId="0" applyFill="0" applyBorder="0" applyAlignment="0" applyProtection="0"/>
    <xf numFmtId="5" fontId="7" fillId="0" borderId="0" applyFill="0" applyBorder="0" applyAlignment="0" applyProtection="0"/>
    <xf numFmtId="3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7" fillId="0" borderId="0" applyNumberFormat="0" applyFill="0" applyBorder="0" applyAlignment="0" applyProtection="0"/>
    <xf numFmtId="0" fontId="66" fillId="0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2" fontId="7" fillId="0" borderId="0" applyFill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6" fillId="0" borderId="0" applyFont="0" applyFill="0" applyBorder="0" applyAlignment="0" applyProtection="0"/>
    <xf numFmtId="0" fontId="6" fillId="0" borderId="0"/>
    <xf numFmtId="0" fontId="66" fillId="0" borderId="0"/>
    <xf numFmtId="0" fontId="6" fillId="5" borderId="0" applyNumberFormat="0" applyBorder="0" applyAlignment="0" applyProtection="0"/>
    <xf numFmtId="168" fontId="7" fillId="0" borderId="0" applyFill="0" applyBorder="0" applyAlignment="0" applyProtection="0"/>
    <xf numFmtId="2" fontId="66" fillId="0" borderId="0" applyFont="0" applyFill="0" applyBorder="0" applyAlignment="0" applyProtection="0"/>
    <xf numFmtId="168" fontId="7" fillId="0" borderId="0" applyFill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71" fontId="7" fillId="0" borderId="1">
      <alignment horizontal="justify" vertical="top" wrapText="1"/>
    </xf>
    <xf numFmtId="0" fontId="67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169" fontId="7" fillId="0" borderId="0">
      <protection locked="0"/>
    </xf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4" fontId="66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172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6" fillId="0" borderId="0" applyFont="0" applyFill="0" applyBorder="0" applyAlignment="0" applyProtection="0"/>
    <xf numFmtId="0" fontId="6" fillId="26" borderId="0" applyNumberFormat="0" applyBorder="0" applyAlignment="0" applyProtection="0"/>
    <xf numFmtId="0" fontId="68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2" fontId="66" fillId="0" borderId="0" applyFont="0" applyFill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45" fillId="8" borderId="21" applyNumberFormat="0" applyFont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23" borderId="0" applyNumberFormat="0" applyBorder="0" applyAlignment="0" applyProtection="0"/>
    <xf numFmtId="169" fontId="7" fillId="0" borderId="0">
      <protection locked="0"/>
    </xf>
    <xf numFmtId="5" fontId="7" fillId="0" borderId="0" applyFill="0" applyBorder="0" applyAlignment="0" applyProtection="0"/>
    <xf numFmtId="0" fontId="6" fillId="26" borderId="0" applyNumberFormat="0" applyBorder="0" applyAlignment="0" applyProtection="0"/>
    <xf numFmtId="0" fontId="66" fillId="0" borderId="0" applyFont="0" applyFill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6" fillId="0" borderId="25" applyNumberFormat="0" applyFont="0" applyFill="0" applyAlignment="0" applyProtection="0"/>
    <xf numFmtId="3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37" fontId="7" fillId="0" borderId="0" applyFill="0" applyBorder="0" applyAlignment="0" applyProtection="0"/>
    <xf numFmtId="4" fontId="66" fillId="0" borderId="0" applyFont="0" applyFill="0" applyBorder="0" applyAlignment="0" applyProtection="0"/>
    <xf numFmtId="3" fontId="66" fillId="0" borderId="0" applyFont="0" applyFill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2" fontId="66" fillId="0" borderId="0" applyFont="0" applyFill="0" applyBorder="0" applyAlignment="0" applyProtection="0"/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0" borderId="0"/>
    <xf numFmtId="0" fontId="6" fillId="0" borderId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0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0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5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2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21" borderId="0" applyNumberFormat="0" applyBorder="0" applyAlignment="0" applyProtection="0"/>
    <xf numFmtId="0" fontId="6" fillId="9" borderId="0" applyNumberFormat="0" applyBorder="0" applyAlignment="0" applyProtection="0"/>
    <xf numFmtId="0" fontId="6" fillId="23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1" borderId="0" applyNumberFormat="0" applyBorder="0" applyAlignment="0" applyProtection="0"/>
    <xf numFmtId="0" fontId="6" fillId="26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7" fillId="0" borderId="0" applyFill="0" applyBorder="0" applyAlignment="0" applyProtection="0"/>
    <xf numFmtId="37" fontId="7" fillId="0" borderId="0" applyFill="0" applyBorder="0" applyAlignment="0" applyProtection="0"/>
    <xf numFmtId="2" fontId="7" fillId="0" borderId="0" applyFill="0" applyBorder="0" applyAlignment="0" applyProtection="0"/>
    <xf numFmtId="38" fontId="39" fillId="17" borderId="0" applyNumberFormat="0" applyBorder="0" applyAlignment="0" applyProtection="0"/>
    <xf numFmtId="10" fontId="39" fillId="42" borderId="17" applyNumberFormat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5" fontId="7" fillId="0" borderId="0" applyFill="0" applyBorder="0" applyAlignment="0" applyProtection="0"/>
    <xf numFmtId="168" fontId="7" fillId="0" borderId="0" applyFill="0" applyBorder="0" applyAlignment="0" applyProtection="0"/>
    <xf numFmtId="38" fontId="39" fillId="17" borderId="0" applyNumberFormat="0" applyBorder="0" applyAlignment="0" applyProtection="0"/>
    <xf numFmtId="169" fontId="7" fillId="0" borderId="0">
      <protection locked="0"/>
    </xf>
    <xf numFmtId="2" fontId="7" fillId="0" borderId="0" applyFill="0" applyBorder="0" applyAlignment="0" applyProtection="0"/>
    <xf numFmtId="2" fontId="7" fillId="0" borderId="0" applyFill="0" applyBorder="0" applyAlignment="0" applyProtection="0"/>
    <xf numFmtId="38" fontId="39" fillId="17" borderId="0" applyNumberFormat="0" applyBorder="0" applyAlignment="0" applyProtection="0"/>
    <xf numFmtId="169" fontId="7" fillId="0" borderId="0">
      <protection locked="0"/>
    </xf>
    <xf numFmtId="10" fontId="39" fillId="42" borderId="17" applyNumberFormat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10" fontId="39" fillId="42" borderId="17" applyNumberFormat="0" applyBorder="0" applyAlignment="0" applyProtection="0"/>
    <xf numFmtId="168" fontId="7" fillId="0" borderId="0" applyFill="0" applyBorder="0" applyAlignment="0" applyProtection="0"/>
    <xf numFmtId="5" fontId="7" fillId="0" borderId="0" applyFill="0" applyBorder="0" applyAlignment="0" applyProtection="0"/>
    <xf numFmtId="10" fontId="7" fillId="0" borderId="0" applyFont="0" applyFill="0" applyBorder="0" applyAlignment="0" applyProtection="0"/>
    <xf numFmtId="171" fontId="7" fillId="0" borderId="1">
      <alignment horizontal="justify" vertical="top" wrapText="1"/>
    </xf>
    <xf numFmtId="37" fontId="7" fillId="0" borderId="0" applyFill="0" applyBorder="0" applyAlignment="0" applyProtection="0"/>
    <xf numFmtId="38" fontId="7" fillId="0" borderId="0">
      <alignment horizontal="left" wrapText="1"/>
    </xf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5" fontId="7" fillId="0" borderId="0" applyFill="0" applyBorder="0" applyAlignment="0" applyProtection="0"/>
    <xf numFmtId="10" fontId="7" fillId="0" borderId="0" applyFont="0" applyFill="0" applyBorder="0" applyAlignment="0" applyProtection="0"/>
    <xf numFmtId="171" fontId="7" fillId="0" borderId="1">
      <alignment horizontal="justify" vertical="top" wrapText="1"/>
    </xf>
    <xf numFmtId="37" fontId="7" fillId="0" borderId="0" applyFill="0" applyBorder="0" applyAlignment="0" applyProtection="0"/>
    <xf numFmtId="38" fontId="7" fillId="0" borderId="0">
      <alignment horizontal="left" wrapText="1"/>
    </xf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10" fontId="7" fillId="0" borderId="0" applyFont="0" applyFill="0" applyBorder="0" applyAlignment="0" applyProtection="0"/>
    <xf numFmtId="171" fontId="7" fillId="0" borderId="1">
      <alignment horizontal="justify" vertical="top" wrapText="1"/>
    </xf>
    <xf numFmtId="38" fontId="7" fillId="0" borderId="0">
      <alignment horizontal="left" wrapText="1"/>
    </xf>
    <xf numFmtId="0" fontId="7" fillId="0" borderId="25" applyNumberFormat="0" applyFill="0" applyAlignment="0" applyProtection="0"/>
    <xf numFmtId="38" fontId="10" fillId="0" borderId="9" applyFill="0" applyBorder="0" applyAlignment="0" applyProtection="0">
      <protection locked="0"/>
    </xf>
    <xf numFmtId="0" fontId="35" fillId="20" borderId="0" applyNumberFormat="0" applyBorder="0" applyAlignment="0" applyProtection="0"/>
    <xf numFmtId="37" fontId="7" fillId="0" borderId="0" applyFill="0" applyBorder="0" applyAlignment="0" applyProtection="0"/>
    <xf numFmtId="0" fontId="46" fillId="34" borderId="0" applyNumberFormat="0" applyBorder="0" applyAlignment="0" applyProtection="0"/>
    <xf numFmtId="5" fontId="7" fillId="0" borderId="0" applyFill="0" applyBorder="0" applyAlignment="0" applyProtection="0"/>
    <xf numFmtId="0" fontId="47" fillId="20" borderId="0" applyNumberFormat="0" applyBorder="0" applyAlignment="0" applyProtection="0"/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" fontId="7" fillId="0" borderId="0" applyFill="0" applyBorder="0" applyAlignment="0" applyProtection="0"/>
    <xf numFmtId="0" fontId="51" fillId="22" borderId="0" applyNumberFormat="0" applyBorder="0" applyAlignment="0" applyProtection="0"/>
    <xf numFmtId="0" fontId="28" fillId="26" borderId="0" applyNumberFormat="0" applyBorder="0" applyAlignment="0" applyProtection="0"/>
    <xf numFmtId="37" fontId="7" fillId="0" borderId="0" applyFill="0" applyBorder="0" applyAlignment="0" applyProtection="0"/>
    <xf numFmtId="0" fontId="46" fillId="36" borderId="0" applyNumberFormat="0" applyBorder="0" applyAlignment="0" applyProtection="0"/>
    <xf numFmtId="0" fontId="18" fillId="0" borderId="0" applyNumberFormat="0" applyFill="0" applyBorder="0" applyAlignment="0" applyProtection="0"/>
    <xf numFmtId="0" fontId="60" fillId="0" borderId="31" applyNumberFormat="0" applyFill="0" applyAlignment="0" applyProtection="0"/>
    <xf numFmtId="0" fontId="60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61" fillId="0" borderId="32" applyNumberFormat="0" applyFill="0" applyAlignment="0" applyProtection="0"/>
    <xf numFmtId="0" fontId="61" fillId="0" borderId="32" applyNumberFormat="0" applyFill="0" applyAlignment="0" applyProtection="0"/>
    <xf numFmtId="0" fontId="52" fillId="0" borderId="33" applyNumberFormat="0" applyFill="0" applyAlignment="0" applyProtection="0"/>
    <xf numFmtId="0" fontId="62" fillId="0" borderId="34" applyNumberFormat="0" applyFill="0" applyAlignment="0" applyProtection="0"/>
    <xf numFmtId="0" fontId="5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53" fillId="25" borderId="28" applyNumberFormat="0" applyAlignment="0" applyProtection="0"/>
    <xf numFmtId="0" fontId="45" fillId="28" borderId="0" applyNumberFormat="0" applyBorder="0" applyAlignment="0" applyProtection="0"/>
    <xf numFmtId="0" fontId="30" fillId="5" borderId="18" applyNumberFormat="0" applyAlignment="0" applyProtection="0"/>
    <xf numFmtId="0" fontId="62" fillId="0" borderId="34" applyNumberFormat="0" applyFill="0" applyAlignment="0" applyProtection="0"/>
    <xf numFmtId="0" fontId="54" fillId="0" borderId="35" applyNumberFormat="0" applyFill="0" applyAlignment="0" applyProtection="0"/>
    <xf numFmtId="0" fontId="63" fillId="0" borderId="36" applyNumberFormat="0" applyFill="0" applyAlignment="0" applyProtection="0"/>
    <xf numFmtId="0" fontId="55" fillId="5" borderId="0" applyNumberFormat="0" applyBorder="0" applyAlignment="0" applyProtection="0"/>
    <xf numFmtId="0" fontId="64" fillId="6" borderId="0" applyNumberFormat="0" applyBorder="0" applyAlignment="0" applyProtection="0"/>
    <xf numFmtId="0" fontId="6" fillId="0" borderId="0"/>
    <xf numFmtId="0" fontId="6" fillId="0" borderId="0"/>
    <xf numFmtId="0" fontId="46" fillId="31" borderId="0" applyNumberFormat="0" applyBorder="0" applyAlignment="0" applyProtection="0"/>
    <xf numFmtId="0" fontId="7" fillId="0" borderId="25" applyNumberFormat="0" applyFill="0" applyAlignment="0" applyProtection="0"/>
    <xf numFmtId="0" fontId="6" fillId="26" borderId="0" applyNumberFormat="0" applyBorder="0" applyAlignment="0" applyProtection="0"/>
    <xf numFmtId="0" fontId="35" fillId="38" borderId="0" applyNumberFormat="0" applyBorder="0" applyAlignment="0" applyProtection="0"/>
    <xf numFmtId="0" fontId="7" fillId="0" borderId="25" applyNumberFormat="0" applyFill="0" applyAlignment="0" applyProtection="0"/>
    <xf numFmtId="0" fontId="54" fillId="0" borderId="35" applyNumberFormat="0" applyFill="0" applyAlignment="0" applyProtection="0"/>
    <xf numFmtId="0" fontId="61" fillId="0" borderId="32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52" fillId="0" borderId="0" applyNumberFormat="0" applyFill="0" applyBorder="0" applyAlignment="0" applyProtection="0"/>
    <xf numFmtId="0" fontId="45" fillId="25" borderId="0" applyNumberFormat="0" applyBorder="0" applyAlignment="0" applyProtection="0"/>
    <xf numFmtId="0" fontId="46" fillId="32" borderId="0" applyNumberFormat="0" applyBorder="0" applyAlignment="0" applyProtection="0"/>
    <xf numFmtId="0" fontId="7" fillId="0" borderId="25" applyNumberFormat="0" applyFill="0" applyAlignment="0" applyProtection="0"/>
    <xf numFmtId="0" fontId="45" fillId="18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46" fillId="27" borderId="0" applyNumberFormat="0" applyBorder="0" applyAlignment="0" applyProtection="0"/>
    <xf numFmtId="0" fontId="7" fillId="0" borderId="25" applyNumberFormat="0" applyFill="0" applyAlignment="0" applyProtection="0"/>
    <xf numFmtId="0" fontId="64" fillId="6" borderId="0" applyNumberFormat="0" applyBorder="0" applyAlignment="0" applyProtection="0"/>
    <xf numFmtId="0" fontId="7" fillId="0" borderId="25" applyNumberFormat="0" applyFill="0" applyAlignment="0" applyProtection="0"/>
    <xf numFmtId="169" fontId="7" fillId="0" borderId="0">
      <protection locked="0"/>
    </xf>
    <xf numFmtId="0" fontId="45" fillId="23" borderId="37" applyNumberFormat="0" applyFont="0" applyAlignment="0" applyProtection="0"/>
    <xf numFmtId="0" fontId="45" fillId="8" borderId="21" applyNumberFormat="0" applyFont="0" applyAlignment="0" applyProtection="0"/>
    <xf numFmtId="0" fontId="56" fillId="39" borderId="38" applyNumberFormat="0" applyAlignment="0" applyProtection="0"/>
    <xf numFmtId="0" fontId="31" fillId="40" borderId="19" applyNumberFormat="0" applyAlignment="0" applyProtection="0"/>
    <xf numFmtId="9" fontId="38" fillId="0" borderId="0"/>
    <xf numFmtId="171" fontId="7" fillId="0" borderId="1">
      <alignment horizontal="justify" vertical="top" wrapText="1"/>
    </xf>
    <xf numFmtId="0" fontId="19" fillId="0" borderId="0" applyNumberFormat="0" applyFill="0" applyBorder="0" applyAlignment="0" applyProtection="0"/>
    <xf numFmtId="38" fontId="7" fillId="0" borderId="0">
      <alignment horizontal="left" wrapText="1"/>
    </xf>
    <xf numFmtId="0" fontId="35" fillId="36" borderId="0" applyNumberFormat="0" applyBorder="0" applyAlignment="0" applyProtection="0"/>
    <xf numFmtId="0" fontId="7" fillId="0" borderId="25" applyNumberFormat="0" applyFill="0" applyAlignment="0" applyProtection="0"/>
    <xf numFmtId="0" fontId="5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14" fillId="0" borderId="40" applyNumberFormat="0" applyFill="0" applyAlignment="0" applyProtection="0"/>
    <xf numFmtId="0" fontId="14" fillId="0" borderId="40" applyNumberFormat="0" applyFill="0" applyAlignment="0" applyProtection="0"/>
    <xf numFmtId="0" fontId="7" fillId="0" borderId="25" applyNumberFormat="0" applyFill="0" applyAlignment="0" applyProtection="0"/>
    <xf numFmtId="0" fontId="35" fillId="36" borderId="0" applyNumberFormat="0" applyBorder="0" applyAlignment="0" applyProtection="0"/>
    <xf numFmtId="0" fontId="46" fillId="30" borderId="0" applyNumberFormat="0" applyBorder="0" applyAlignment="0" applyProtection="0"/>
    <xf numFmtId="0" fontId="35" fillId="10" borderId="0" applyNumberFormat="0" applyBorder="0" applyAlignment="0" applyProtection="0"/>
    <xf numFmtId="0" fontId="46" fillId="31" borderId="0" applyNumberFormat="0" applyBorder="0" applyAlignment="0" applyProtection="0"/>
    <xf numFmtId="0" fontId="45" fillId="24" borderId="0" applyNumberFormat="0" applyBorder="0" applyAlignment="0" applyProtection="0"/>
    <xf numFmtId="0" fontId="5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6" fillId="0" borderId="0"/>
    <xf numFmtId="0" fontId="1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5" fillId="19" borderId="0" applyNumberFormat="0" applyBorder="0" applyAlignment="0" applyProtection="0"/>
    <xf numFmtId="0" fontId="35" fillId="30" borderId="0" applyNumberFormat="0" applyBorder="0" applyAlignment="0" applyProtection="0"/>
    <xf numFmtId="0" fontId="52" fillId="0" borderId="33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45" fillId="24" borderId="0" applyNumberFormat="0" applyBorder="0" applyAlignment="0" applyProtection="0"/>
    <xf numFmtId="0" fontId="29" fillId="24" borderId="0" applyNumberFormat="0" applyBorder="0" applyAlignment="0" applyProtection="0"/>
    <xf numFmtId="0" fontId="14" fillId="0" borderId="40" applyNumberFormat="0" applyFill="0" applyAlignment="0" applyProtection="0"/>
    <xf numFmtId="0" fontId="46" fillId="21" borderId="0" applyNumberFormat="0" applyBorder="0" applyAlignment="0" applyProtection="0"/>
    <xf numFmtId="0" fontId="14" fillId="0" borderId="40" applyNumberFormat="0" applyFill="0" applyAlignment="0" applyProtection="0"/>
    <xf numFmtId="0" fontId="14" fillId="0" borderId="40" applyNumberFormat="0" applyFill="0" applyAlignment="0" applyProtection="0"/>
    <xf numFmtId="0" fontId="34" fillId="0" borderId="0" applyNumberFormat="0" applyFill="0" applyBorder="0" applyAlignment="0" applyProtection="0"/>
    <xf numFmtId="0" fontId="14" fillId="0" borderId="40" applyNumberFormat="0" applyFill="0" applyAlignment="0" applyProtection="0"/>
    <xf numFmtId="0" fontId="36" fillId="0" borderId="0"/>
    <xf numFmtId="0" fontId="55" fillId="5" borderId="0" applyNumberFormat="0" applyBorder="0" applyAlignment="0" applyProtection="0"/>
    <xf numFmtId="0" fontId="45" fillId="20" borderId="0" applyNumberFormat="0" applyBorder="0" applyAlignment="0" applyProtection="0"/>
    <xf numFmtId="171" fontId="7" fillId="0" borderId="1">
      <alignment horizontal="justify" vertical="top" wrapText="1"/>
    </xf>
    <xf numFmtId="0" fontId="61" fillId="0" borderId="32" applyNumberFormat="0" applyFill="0" applyAlignment="0" applyProtection="0"/>
    <xf numFmtId="0" fontId="56" fillId="39" borderId="38" applyNumberFormat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4" fontId="66" fillId="0" borderId="0" applyFont="0" applyFill="0" applyBorder="0" applyAlignment="0" applyProtection="0"/>
    <xf numFmtId="9" fontId="38" fillId="0" borderId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0" fontId="7" fillId="0" borderId="25" applyNumberFormat="0" applyFill="0" applyAlignment="0" applyProtection="0"/>
    <xf numFmtId="0" fontId="45" fillId="24" borderId="0" applyNumberFormat="0" applyBorder="0" applyAlignment="0" applyProtection="0"/>
    <xf numFmtId="0" fontId="60" fillId="0" borderId="31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46" fillId="32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60" fillId="0" borderId="31" applyNumberFormat="0" applyFill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2" fontId="7" fillId="0" borderId="0" applyFill="0" applyBorder="0" applyAlignment="0" applyProtection="0"/>
    <xf numFmtId="0" fontId="7" fillId="0" borderId="25" applyNumberFormat="0" applyFill="0" applyAlignment="0" applyProtection="0"/>
    <xf numFmtId="0" fontId="6" fillId="19" borderId="0" applyNumberFormat="0" applyBorder="0" applyAlignment="0" applyProtection="0"/>
    <xf numFmtId="0" fontId="60" fillId="0" borderId="31" applyNumberFormat="0" applyFill="0" applyAlignment="0" applyProtection="0"/>
    <xf numFmtId="0" fontId="6" fillId="26" borderId="0" applyNumberFormat="0" applyBorder="0" applyAlignment="0" applyProtection="0"/>
    <xf numFmtId="0" fontId="7" fillId="0" borderId="25" applyNumberFormat="0" applyFill="0" applyAlignment="0" applyProtection="0"/>
    <xf numFmtId="0" fontId="45" fillId="18" borderId="0" applyNumberFormat="0" applyBorder="0" applyAlignment="0" applyProtection="0"/>
    <xf numFmtId="2" fontId="7" fillId="0" borderId="0" applyFill="0" applyBorder="0" applyAlignment="0" applyProtection="0"/>
    <xf numFmtId="0" fontId="7" fillId="0" borderId="25" applyNumberFormat="0" applyFill="0" applyAlignment="0" applyProtection="0"/>
    <xf numFmtId="0" fontId="46" fillId="32" borderId="0" applyNumberFormat="0" applyBorder="0" applyAlignment="0" applyProtection="0"/>
    <xf numFmtId="0" fontId="45" fillId="24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62" fillId="0" borderId="34" applyNumberFormat="0" applyFill="0" applyAlignment="0" applyProtection="0"/>
    <xf numFmtId="0" fontId="7" fillId="0" borderId="25" applyNumberFormat="0" applyFill="0" applyAlignment="0" applyProtection="0"/>
    <xf numFmtId="0" fontId="35" fillId="38" borderId="0" applyNumberFormat="0" applyBorder="0" applyAlignment="0" applyProtection="0"/>
    <xf numFmtId="0" fontId="35" fillId="26" borderId="0" applyNumberFormat="0" applyBorder="0" applyAlignment="0" applyProtection="0"/>
    <xf numFmtId="0" fontId="7" fillId="0" borderId="25" applyNumberFormat="0" applyFill="0" applyAlignment="0" applyProtection="0"/>
    <xf numFmtId="0" fontId="46" fillId="31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6" fillId="25" borderId="0" applyNumberFormat="0" applyBorder="0" applyAlignment="0" applyProtection="0"/>
    <xf numFmtId="0" fontId="7" fillId="0" borderId="25" applyNumberFormat="0" applyFill="0" applyAlignment="0" applyProtection="0"/>
    <xf numFmtId="0" fontId="35" fillId="28" borderId="0" applyNumberFormat="0" applyBorder="0" applyAlignment="0" applyProtection="0"/>
    <xf numFmtId="0" fontId="65" fillId="0" borderId="0" applyNumberFormat="0" applyFill="0" applyBorder="0" applyAlignment="0" applyProtection="0"/>
    <xf numFmtId="169" fontId="7" fillId="0" borderId="0">
      <protection locked="0"/>
    </xf>
    <xf numFmtId="0" fontId="68" fillId="0" borderId="0" applyNumberFormat="0" applyFill="0" applyBorder="0" applyAlignment="0" applyProtection="0"/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0" fontId="46" fillId="37" borderId="0" applyNumberFormat="0" applyBorder="0" applyAlignment="0" applyProtection="0"/>
    <xf numFmtId="0" fontId="7" fillId="0" borderId="25" applyNumberFormat="0" applyFill="0" applyAlignment="0" applyProtection="0"/>
    <xf numFmtId="0" fontId="45" fillId="18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35" fillId="30" borderId="0" applyNumberFormat="0" applyBorder="0" applyAlignment="0" applyProtection="0"/>
    <xf numFmtId="0" fontId="7" fillId="0" borderId="25" applyNumberFormat="0" applyFill="0" applyAlignment="0" applyProtection="0"/>
    <xf numFmtId="0" fontId="46" fillId="36" borderId="0" applyNumberFormat="0" applyBorder="0" applyAlignment="0" applyProtection="0"/>
    <xf numFmtId="0" fontId="58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35" fillId="35" borderId="0" applyNumberFormat="0" applyBorder="0" applyAlignment="0" applyProtection="0"/>
    <xf numFmtId="0" fontId="66" fillId="0" borderId="25" applyNumberFormat="0" applyFont="0" applyFill="0" applyAlignment="0" applyProtection="0"/>
    <xf numFmtId="0" fontId="7" fillId="0" borderId="25" applyNumberFormat="0" applyFill="0" applyAlignment="0" applyProtection="0"/>
    <xf numFmtId="0" fontId="46" fillId="34" borderId="0" applyNumberFormat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46" fillId="33" borderId="0" applyNumberFormat="0" applyBorder="0" applyAlignment="0" applyProtection="0"/>
    <xf numFmtId="0" fontId="7" fillId="0" borderId="25" applyNumberFormat="0" applyFill="0" applyAlignment="0" applyProtection="0"/>
    <xf numFmtId="0" fontId="45" fillId="26" borderId="0" applyNumberFormat="0" applyBorder="0" applyAlignment="0" applyProtection="0"/>
    <xf numFmtId="0" fontId="7" fillId="0" borderId="25" applyNumberFormat="0" applyFill="0" applyAlignment="0" applyProtection="0"/>
    <xf numFmtId="0" fontId="35" fillId="26" borderId="0" applyNumberFormat="0" applyBorder="0" applyAlignment="0" applyProtection="0"/>
    <xf numFmtId="0" fontId="6" fillId="11" borderId="0" applyNumberFormat="0" applyBorder="0" applyAlignment="0" applyProtection="0"/>
    <xf numFmtId="0" fontId="46" fillId="33" borderId="0" applyNumberFormat="0" applyBorder="0" applyAlignment="0" applyProtection="0"/>
    <xf numFmtId="0" fontId="46" fillId="32" borderId="0" applyNumberFormat="0" applyBorder="0" applyAlignment="0" applyProtection="0"/>
    <xf numFmtId="0" fontId="56" fillId="39" borderId="38" applyNumberFormat="0" applyAlignment="0" applyProtection="0"/>
    <xf numFmtId="4" fontId="66" fillId="0" borderId="0" applyFont="0" applyFill="0" applyBorder="0" applyAlignment="0" applyProtection="0"/>
    <xf numFmtId="0" fontId="7" fillId="0" borderId="25" applyNumberFormat="0" applyFill="0" applyAlignment="0" applyProtection="0"/>
    <xf numFmtId="0" fontId="35" fillId="20" borderId="0" applyNumberFormat="0" applyBorder="0" applyAlignment="0" applyProtection="0"/>
    <xf numFmtId="0" fontId="45" fillId="19" borderId="0" applyNumberFormat="0" applyBorder="0" applyAlignment="0" applyProtection="0"/>
    <xf numFmtId="0" fontId="60" fillId="0" borderId="31" applyNumberFormat="0" applyFill="0" applyAlignment="0" applyProtection="0"/>
    <xf numFmtId="0" fontId="6" fillId="20" borderId="0" applyNumberFormat="0" applyBorder="0" applyAlignment="0" applyProtection="0"/>
    <xf numFmtId="0" fontId="50" fillId="0" borderId="0" applyNumberFormat="0" applyFill="0" applyBorder="0" applyAlignment="0" applyProtection="0"/>
    <xf numFmtId="0" fontId="35" fillId="35" borderId="0" applyNumberFormat="0" applyBorder="0" applyAlignment="0" applyProtection="0"/>
    <xf numFmtId="0" fontId="45" fillId="24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6" fillId="5" borderId="0" applyNumberFormat="0" applyBorder="0" applyAlignment="0" applyProtection="0"/>
    <xf numFmtId="0" fontId="36" fillId="0" borderId="0"/>
    <xf numFmtId="0" fontId="46" fillId="21" borderId="0" applyNumberFormat="0" applyBorder="0" applyAlignment="0" applyProtection="0"/>
    <xf numFmtId="0" fontId="46" fillId="37" borderId="0" applyNumberFormat="0" applyBorder="0" applyAlignment="0" applyProtection="0"/>
    <xf numFmtId="0" fontId="45" fillId="27" borderId="0" applyNumberFormat="0" applyBorder="0" applyAlignment="0" applyProtection="0"/>
    <xf numFmtId="0" fontId="52" fillId="0" borderId="33" applyNumberFormat="0" applyFill="0" applyAlignment="0" applyProtection="0"/>
    <xf numFmtId="0" fontId="6" fillId="9" borderId="0" applyNumberFormat="0" applyBorder="0" applyAlignment="0" applyProtection="0"/>
    <xf numFmtId="0" fontId="35" fillId="21" borderId="0" applyNumberFormat="0" applyBorder="0" applyAlignment="0" applyProtection="0"/>
    <xf numFmtId="0" fontId="14" fillId="0" borderId="40" applyNumberFormat="0" applyFill="0" applyAlignment="0" applyProtection="0"/>
    <xf numFmtId="0" fontId="30" fillId="5" borderId="18" applyNumberFormat="0" applyAlignment="0" applyProtection="0"/>
    <xf numFmtId="0" fontId="45" fillId="21" borderId="0" applyNumberFormat="0" applyBorder="0" applyAlignment="0" applyProtection="0"/>
    <xf numFmtId="0" fontId="54" fillId="0" borderId="35" applyNumberFormat="0" applyFill="0" applyAlignment="0" applyProtection="0"/>
    <xf numFmtId="0" fontId="7" fillId="0" borderId="25" applyNumberFormat="0" applyFill="0" applyAlignment="0" applyProtection="0"/>
    <xf numFmtId="0" fontId="56" fillId="39" borderId="38" applyNumberFormat="0" applyAlignment="0" applyProtection="0"/>
    <xf numFmtId="171" fontId="7" fillId="0" borderId="1">
      <alignment horizontal="justify" vertical="top" wrapText="1"/>
    </xf>
    <xf numFmtId="0" fontId="48" fillId="39" borderId="28" applyNumberFormat="0" applyAlignment="0" applyProtection="0"/>
    <xf numFmtId="0" fontId="66" fillId="0" borderId="25" applyNumberFormat="0" applyFont="0" applyFill="0" applyAlignment="0" applyProtection="0"/>
    <xf numFmtId="0" fontId="35" fillId="26" borderId="0" applyNumberFormat="0" applyBorder="0" applyAlignment="0" applyProtection="0"/>
    <xf numFmtId="0" fontId="49" fillId="41" borderId="29" applyNumberFormat="0" applyAlignment="0" applyProtection="0"/>
    <xf numFmtId="0" fontId="64" fillId="6" borderId="0" applyNumberFormat="0" applyBorder="0" applyAlignment="0" applyProtection="0"/>
    <xf numFmtId="0" fontId="45" fillId="28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45" fillId="19" borderId="0" applyNumberFormat="0" applyBorder="0" applyAlignment="0" applyProtection="0"/>
    <xf numFmtId="0" fontId="7" fillId="0" borderId="25" applyNumberFormat="0" applyFill="0" applyAlignment="0" applyProtection="0"/>
    <xf numFmtId="0" fontId="6" fillId="26" borderId="0" applyNumberFormat="0" applyBorder="0" applyAlignment="0" applyProtection="0"/>
    <xf numFmtId="0" fontId="7" fillId="0" borderId="25" applyNumberFormat="0" applyFill="0" applyAlignment="0" applyProtection="0"/>
    <xf numFmtId="0" fontId="35" fillId="28" borderId="0" applyNumberFormat="0" applyBorder="0" applyAlignment="0" applyProtection="0"/>
    <xf numFmtId="4" fontId="66" fillId="0" borderId="0" applyFont="0" applyFill="0" applyBorder="0" applyAlignment="0" applyProtection="0"/>
    <xf numFmtId="0" fontId="63" fillId="0" borderId="36" applyNumberFormat="0" applyFill="0" applyAlignment="0" applyProtection="0"/>
    <xf numFmtId="0" fontId="46" fillId="29" borderId="0" applyNumberFormat="0" applyBorder="0" applyAlignment="0" applyProtection="0"/>
    <xf numFmtId="0" fontId="59" fillId="40" borderId="18" applyNumberFormat="0" applyAlignment="0" applyProtection="0"/>
    <xf numFmtId="0" fontId="54" fillId="0" borderId="35" applyNumberFormat="0" applyFill="0" applyAlignment="0" applyProtection="0"/>
    <xf numFmtId="0" fontId="14" fillId="0" borderId="40" applyNumberFormat="0" applyFill="0" applyAlignment="0" applyProtection="0"/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45" fillId="8" borderId="21" applyNumberFormat="0" applyFont="0" applyAlignment="0" applyProtection="0"/>
    <xf numFmtId="0" fontId="60" fillId="0" borderId="31" applyNumberFormat="0" applyFill="0" applyAlignment="0" applyProtection="0"/>
    <xf numFmtId="0" fontId="7" fillId="0" borderId="25" applyNumberFormat="0" applyFill="0" applyAlignment="0" applyProtection="0"/>
    <xf numFmtId="0" fontId="36" fillId="0" borderId="0"/>
    <xf numFmtId="0" fontId="6" fillId="26" borderId="0" applyNumberFormat="0" applyBorder="0" applyAlignment="0" applyProtection="0"/>
    <xf numFmtId="0" fontId="18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46" fillId="27" borderId="0" applyNumberFormat="0" applyBorder="0" applyAlignment="0" applyProtection="0"/>
    <xf numFmtId="0" fontId="34" fillId="0" borderId="0" applyNumberFormat="0" applyFill="0" applyBorder="0" applyAlignment="0" applyProtection="0"/>
    <xf numFmtId="0" fontId="36" fillId="0" borderId="0"/>
    <xf numFmtId="0" fontId="6" fillId="23" borderId="0" applyNumberFormat="0" applyBorder="0" applyAlignment="0" applyProtection="0"/>
    <xf numFmtId="0" fontId="45" fillId="28" borderId="0" applyNumberFormat="0" applyBorder="0" applyAlignment="0" applyProtection="0"/>
    <xf numFmtId="0" fontId="7" fillId="0" borderId="25" applyNumberFormat="0" applyFill="0" applyAlignment="0" applyProtection="0"/>
    <xf numFmtId="0" fontId="45" fillId="25" borderId="0" applyNumberFormat="0" applyBorder="0" applyAlignment="0" applyProtection="0"/>
    <xf numFmtId="0" fontId="45" fillId="18" borderId="0" applyNumberFormat="0" applyBorder="0" applyAlignment="0" applyProtection="0"/>
    <xf numFmtId="0" fontId="6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14" fillId="0" borderId="40" applyNumberFormat="0" applyFill="0" applyAlignment="0" applyProtection="0"/>
    <xf numFmtId="171" fontId="7" fillId="0" borderId="1">
      <alignment horizontal="justify" vertical="top" wrapText="1"/>
    </xf>
    <xf numFmtId="0" fontId="53" fillId="25" borderId="28" applyNumberFormat="0" applyAlignment="0" applyProtection="0"/>
    <xf numFmtId="0" fontId="36" fillId="0" borderId="0"/>
    <xf numFmtId="0" fontId="35" fillId="35" borderId="0" applyNumberFormat="0" applyBorder="0" applyAlignment="0" applyProtection="0"/>
    <xf numFmtId="0" fontId="46" fillId="31" borderId="0" applyNumberFormat="0" applyBorder="0" applyAlignment="0" applyProtection="0"/>
    <xf numFmtId="0" fontId="45" fillId="25" borderId="0" applyNumberFormat="0" applyBorder="0" applyAlignment="0" applyProtection="0"/>
    <xf numFmtId="0" fontId="7" fillId="0" borderId="25" applyNumberFormat="0" applyFill="0" applyAlignment="0" applyProtection="0"/>
    <xf numFmtId="169" fontId="7" fillId="0" borderId="0">
      <protection locked="0"/>
    </xf>
    <xf numFmtId="0" fontId="36" fillId="0" borderId="0"/>
    <xf numFmtId="0" fontId="46" fillId="37" borderId="0" applyNumberFormat="0" applyBorder="0" applyAlignment="0" applyProtection="0"/>
    <xf numFmtId="0" fontId="60" fillId="0" borderId="31" applyNumberFormat="0" applyFill="0" applyAlignment="0" applyProtection="0"/>
    <xf numFmtId="0" fontId="62" fillId="0" borderId="34" applyNumberFormat="0" applyFill="0" applyAlignment="0" applyProtection="0"/>
    <xf numFmtId="0" fontId="46" fillId="21" borderId="0" applyNumberFormat="0" applyBorder="0" applyAlignment="0" applyProtection="0"/>
    <xf numFmtId="4" fontId="66" fillId="0" borderId="0" applyFont="0" applyFill="0" applyBorder="0" applyAlignment="0" applyProtection="0"/>
    <xf numFmtId="0" fontId="7" fillId="0" borderId="25" applyNumberFormat="0" applyFill="0" applyAlignment="0" applyProtection="0"/>
    <xf numFmtId="0" fontId="28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0" fontId="56" fillId="39" borderId="38" applyNumberFormat="0" applyAlignment="0" applyProtection="0"/>
    <xf numFmtId="0" fontId="6" fillId="23" borderId="0" applyNumberFormat="0" applyBorder="0" applyAlignment="0" applyProtection="0"/>
    <xf numFmtId="0" fontId="50" fillId="0" borderId="0" applyNumberFormat="0" applyFill="0" applyBorder="0" applyAlignment="0" applyProtection="0"/>
    <xf numFmtId="0" fontId="45" fillId="28" borderId="0" applyNumberFormat="0" applyBorder="0" applyAlignment="0" applyProtection="0"/>
    <xf numFmtId="168" fontId="7" fillId="0" borderId="0" applyFill="0" applyBorder="0" applyAlignment="0" applyProtection="0"/>
    <xf numFmtId="0" fontId="7" fillId="0" borderId="25" applyNumberFormat="0" applyFill="0" applyAlignment="0" applyProtection="0"/>
    <xf numFmtId="0" fontId="60" fillId="0" borderId="31" applyNumberFormat="0" applyFill="0" applyAlignment="0" applyProtection="0"/>
    <xf numFmtId="0" fontId="5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5" fillId="28" borderId="0" applyNumberFormat="0" applyBorder="0" applyAlignment="0" applyProtection="0"/>
    <xf numFmtId="0" fontId="35" fillId="28" borderId="0" applyNumberFormat="0" applyBorder="0" applyAlignment="0" applyProtection="0"/>
    <xf numFmtId="0" fontId="45" fillId="26" borderId="0" applyNumberFormat="0" applyBorder="0" applyAlignment="0" applyProtection="0"/>
    <xf numFmtId="0" fontId="6" fillId="0" borderId="0"/>
    <xf numFmtId="0" fontId="33" fillId="0" borderId="0" applyNumberFormat="0" applyFill="0" applyBorder="0" applyAlignment="0" applyProtection="0"/>
    <xf numFmtId="0" fontId="36" fillId="0" borderId="0"/>
    <xf numFmtId="0" fontId="6" fillId="0" borderId="0"/>
    <xf numFmtId="0" fontId="6" fillId="11" borderId="0" applyNumberFormat="0" applyBorder="0" applyAlignment="0" applyProtection="0"/>
    <xf numFmtId="0" fontId="60" fillId="0" borderId="31" applyNumberFormat="0" applyFill="0" applyAlignment="0" applyProtection="0"/>
    <xf numFmtId="0" fontId="6" fillId="5" borderId="0" applyNumberFormat="0" applyBorder="0" applyAlignment="0" applyProtection="0"/>
    <xf numFmtId="0" fontId="7" fillId="0" borderId="25" applyNumberFormat="0" applyFill="0" applyAlignment="0" applyProtection="0"/>
    <xf numFmtId="0" fontId="57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7" fillId="0" borderId="25" applyNumberFormat="0" applyFill="0" applyAlignment="0" applyProtection="0"/>
    <xf numFmtId="0" fontId="35" fillId="10" borderId="0" applyNumberFormat="0" applyBorder="0" applyAlignment="0" applyProtection="0"/>
    <xf numFmtId="0" fontId="35" fillId="35" borderId="0" applyNumberFormat="0" applyBorder="0" applyAlignment="0" applyProtection="0"/>
    <xf numFmtId="0" fontId="7" fillId="0" borderId="25" applyNumberFormat="0" applyFill="0" applyAlignment="0" applyProtection="0"/>
    <xf numFmtId="0" fontId="46" fillId="27" borderId="0" applyNumberFormat="0" applyBorder="0" applyAlignment="0" applyProtection="0"/>
    <xf numFmtId="0" fontId="7" fillId="0" borderId="25" applyNumberFormat="0" applyFill="0" applyAlignment="0" applyProtection="0"/>
    <xf numFmtId="0" fontId="58" fillId="0" borderId="0" applyNumberFormat="0" applyFill="0" applyBorder="0" applyAlignment="0" applyProtection="0"/>
    <xf numFmtId="0" fontId="47" fillId="20" borderId="0" applyNumberFormat="0" applyBorder="0" applyAlignment="0" applyProtection="0"/>
    <xf numFmtId="0" fontId="60" fillId="0" borderId="31" applyNumberFormat="0" applyFill="0" applyAlignment="0" applyProtection="0"/>
    <xf numFmtId="0" fontId="36" fillId="0" borderId="0"/>
    <xf numFmtId="0" fontId="45" fillId="27" borderId="0" applyNumberFormat="0" applyBorder="0" applyAlignment="0" applyProtection="0"/>
    <xf numFmtId="0" fontId="64" fillId="6" borderId="0" applyNumberFormat="0" applyBorder="0" applyAlignment="0" applyProtection="0"/>
    <xf numFmtId="0" fontId="7" fillId="0" borderId="25" applyNumberFormat="0" applyFill="0" applyAlignment="0" applyProtection="0"/>
    <xf numFmtId="0" fontId="45" fillId="21" borderId="0" applyNumberFormat="0" applyBorder="0" applyAlignment="0" applyProtection="0"/>
    <xf numFmtId="0" fontId="46" fillId="31" borderId="0" applyNumberFormat="0" applyBorder="0" applyAlignment="0" applyProtection="0"/>
    <xf numFmtId="0" fontId="31" fillId="40" borderId="19" applyNumberFormat="0" applyAlignment="0" applyProtection="0"/>
    <xf numFmtId="0" fontId="45" fillId="20" borderId="0" applyNumberFormat="0" applyBorder="0" applyAlignment="0" applyProtection="0"/>
    <xf numFmtId="0" fontId="6" fillId="0" borderId="0"/>
    <xf numFmtId="0" fontId="7" fillId="0" borderId="25" applyNumberFormat="0" applyFill="0" applyAlignment="0" applyProtection="0"/>
    <xf numFmtId="0" fontId="64" fillId="6" borderId="0" applyNumberFormat="0" applyBorder="0" applyAlignment="0" applyProtection="0"/>
    <xf numFmtId="0" fontId="7" fillId="0" borderId="25" applyNumberFormat="0" applyFill="0" applyAlignment="0" applyProtection="0"/>
    <xf numFmtId="0" fontId="36" fillId="0" borderId="0"/>
    <xf numFmtId="0" fontId="53" fillId="25" borderId="28" applyNumberFormat="0" applyAlignment="0" applyProtection="0"/>
    <xf numFmtId="0" fontId="61" fillId="0" borderId="32" applyNumberFormat="0" applyFill="0" applyAlignment="0" applyProtection="0"/>
    <xf numFmtId="0" fontId="32" fillId="7" borderId="20" applyNumberFormat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0" fontId="52" fillId="0" borderId="0" applyNumberFormat="0" applyFill="0" applyBorder="0" applyAlignment="0" applyProtection="0"/>
    <xf numFmtId="0" fontId="46" fillId="31" borderId="0" applyNumberFormat="0" applyBorder="0" applyAlignment="0" applyProtection="0"/>
    <xf numFmtId="38" fontId="7" fillId="0" borderId="0">
      <alignment horizontal="left" wrapText="1"/>
    </xf>
    <xf numFmtId="0" fontId="66" fillId="0" borderId="25" applyNumberFormat="0" applyFont="0" applyFill="0" applyAlignment="0" applyProtection="0"/>
    <xf numFmtId="0" fontId="6" fillId="26" borderId="0" applyNumberFormat="0" applyBorder="0" applyAlignment="0" applyProtection="0"/>
    <xf numFmtId="0" fontId="35" fillId="26" borderId="0" applyNumberFormat="0" applyBorder="0" applyAlignment="0" applyProtection="0"/>
    <xf numFmtId="0" fontId="50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45" fillId="19" borderId="0" applyNumberFormat="0" applyBorder="0" applyAlignment="0" applyProtection="0"/>
    <xf numFmtId="0" fontId="35" fillId="30" borderId="0" applyNumberFormat="0" applyBorder="0" applyAlignment="0" applyProtection="0"/>
    <xf numFmtId="0" fontId="35" fillId="28" borderId="0" applyNumberFormat="0" applyBorder="0" applyAlignment="0" applyProtection="0"/>
    <xf numFmtId="0" fontId="7" fillId="0" borderId="25" applyNumberFormat="0" applyFill="0" applyAlignment="0" applyProtection="0"/>
    <xf numFmtId="0" fontId="54" fillId="0" borderId="35" applyNumberFormat="0" applyFill="0" applyAlignment="0" applyProtection="0"/>
    <xf numFmtId="0" fontId="47" fillId="20" borderId="0" applyNumberFormat="0" applyBorder="0" applyAlignment="0" applyProtection="0"/>
    <xf numFmtId="0" fontId="34" fillId="0" borderId="0" applyNumberFormat="0" applyFill="0" applyBorder="0" applyAlignment="0" applyProtection="0"/>
    <xf numFmtId="0" fontId="59" fillId="40" borderId="18" applyNumberFormat="0" applyAlignment="0" applyProtection="0"/>
    <xf numFmtId="0" fontId="45" fillId="8" borderId="21" applyNumberFormat="0" applyFont="0" applyAlignment="0" applyProtection="0"/>
    <xf numFmtId="0" fontId="52" fillId="0" borderId="33" applyNumberFormat="0" applyFill="0" applyAlignment="0" applyProtection="0"/>
    <xf numFmtId="0" fontId="60" fillId="0" borderId="31" applyNumberFormat="0" applyFill="0" applyAlignment="0" applyProtection="0"/>
    <xf numFmtId="169" fontId="7" fillId="0" borderId="0">
      <protection locked="0"/>
    </xf>
    <xf numFmtId="0" fontId="6" fillId="23" borderId="0" applyNumberFormat="0" applyBorder="0" applyAlignment="0" applyProtection="0"/>
    <xf numFmtId="0" fontId="35" fillId="28" borderId="0" applyNumberFormat="0" applyBorder="0" applyAlignment="0" applyProtection="0"/>
    <xf numFmtId="0" fontId="52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63" fillId="0" borderId="36" applyNumberFormat="0" applyFill="0" applyAlignment="0" applyProtection="0"/>
    <xf numFmtId="169" fontId="7" fillId="0" borderId="0">
      <protection locked="0"/>
    </xf>
    <xf numFmtId="0" fontId="68" fillId="0" borderId="0" applyNumberFormat="0" applyFill="0" applyBorder="0" applyAlignment="0" applyProtection="0"/>
    <xf numFmtId="0" fontId="14" fillId="0" borderId="40" applyNumberFormat="0" applyFill="0" applyAlignment="0" applyProtection="0"/>
    <xf numFmtId="0" fontId="7" fillId="0" borderId="25" applyNumberFormat="0" applyFill="0" applyAlignment="0" applyProtection="0"/>
    <xf numFmtId="0" fontId="51" fillId="22" borderId="0" applyNumberFormat="0" applyBorder="0" applyAlignment="0" applyProtection="0"/>
    <xf numFmtId="0" fontId="46" fillId="34" borderId="0" applyNumberFormat="0" applyBorder="0" applyAlignment="0" applyProtection="0"/>
    <xf numFmtId="0" fontId="62" fillId="0" borderId="34" applyNumberFormat="0" applyFill="0" applyAlignment="0" applyProtection="0"/>
    <xf numFmtId="0" fontId="7" fillId="0" borderId="25" applyNumberFormat="0" applyFill="0" applyAlignment="0" applyProtection="0"/>
    <xf numFmtId="0" fontId="51" fillId="22" borderId="0" applyNumberFormat="0" applyBorder="0" applyAlignment="0" applyProtection="0"/>
    <xf numFmtId="0" fontId="46" fillId="36" borderId="0" applyNumberFormat="0" applyBorder="0" applyAlignment="0" applyProtection="0"/>
    <xf numFmtId="0" fontId="7" fillId="0" borderId="25" applyNumberFormat="0" applyFill="0" applyAlignment="0" applyProtection="0"/>
    <xf numFmtId="0" fontId="45" fillId="23" borderId="37" applyNumberFormat="0" applyFont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45" fillId="22" borderId="0" applyNumberFormat="0" applyBorder="0" applyAlignment="0" applyProtection="0"/>
    <xf numFmtId="9" fontId="38" fillId="0" borderId="0"/>
    <xf numFmtId="0" fontId="35" fillId="35" borderId="0" applyNumberFormat="0" applyBorder="0" applyAlignment="0" applyProtection="0"/>
    <xf numFmtId="0" fontId="7" fillId="0" borderId="25" applyNumberFormat="0" applyFill="0" applyAlignment="0" applyProtection="0"/>
    <xf numFmtId="0" fontId="45" fillId="19" borderId="0" applyNumberFormat="0" applyBorder="0" applyAlignment="0" applyProtection="0"/>
    <xf numFmtId="0" fontId="36" fillId="0" borderId="0"/>
    <xf numFmtId="0" fontId="61" fillId="0" borderId="32" applyNumberFormat="0" applyFill="0" applyAlignment="0" applyProtection="0"/>
    <xf numFmtId="0" fontId="7" fillId="0" borderId="25" applyNumberFormat="0" applyFill="0" applyAlignment="0" applyProtection="0"/>
    <xf numFmtId="9" fontId="38" fillId="0" borderId="0"/>
    <xf numFmtId="0" fontId="31" fillId="40" borderId="19" applyNumberFormat="0" applyAlignment="0" applyProtection="0"/>
    <xf numFmtId="0" fontId="6" fillId="9" borderId="0" applyNumberFormat="0" applyBorder="0" applyAlignment="0" applyProtection="0"/>
    <xf numFmtId="169" fontId="7" fillId="0" borderId="0">
      <protection locked="0"/>
    </xf>
    <xf numFmtId="168" fontId="7" fillId="0" borderId="0" applyFill="0" applyBorder="0" applyAlignment="0" applyProtection="0"/>
    <xf numFmtId="171" fontId="7" fillId="0" borderId="1">
      <alignment horizontal="justify" vertical="top" wrapText="1"/>
    </xf>
    <xf numFmtId="0" fontId="45" fillId="20" borderId="0" applyNumberFormat="0" applyBorder="0" applyAlignment="0" applyProtection="0"/>
    <xf numFmtId="37" fontId="7" fillId="0" borderId="0" applyFill="0" applyBorder="0" applyAlignment="0" applyProtection="0"/>
    <xf numFmtId="0" fontId="66" fillId="0" borderId="25" applyNumberFormat="0" applyFont="0" applyFill="0" applyAlignment="0" applyProtection="0"/>
    <xf numFmtId="0" fontId="35" fillId="26" borderId="0" applyNumberFormat="0" applyBorder="0" applyAlignment="0" applyProtection="0"/>
    <xf numFmtId="4" fontId="6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7" fillId="0" borderId="25" applyNumberFormat="0" applyFill="0" applyAlignment="0" applyProtection="0"/>
    <xf numFmtId="0" fontId="45" fillId="19" borderId="0" applyNumberFormat="0" applyBorder="0" applyAlignment="0" applyProtection="0"/>
    <xf numFmtId="0" fontId="45" fillId="23" borderId="37" applyNumberFormat="0" applyFont="0" applyAlignment="0" applyProtection="0"/>
    <xf numFmtId="0" fontId="61" fillId="0" borderId="32" applyNumberFormat="0" applyFill="0" applyAlignment="0" applyProtection="0"/>
    <xf numFmtId="0" fontId="45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" fillId="25" borderId="0" applyNumberFormat="0" applyBorder="0" applyAlignment="0" applyProtection="0"/>
    <xf numFmtId="0" fontId="45" fillId="24" borderId="0" applyNumberFormat="0" applyBorder="0" applyAlignment="0" applyProtection="0"/>
    <xf numFmtId="0" fontId="14" fillId="0" borderId="40" applyNumberFormat="0" applyFill="0" applyAlignment="0" applyProtection="0"/>
    <xf numFmtId="0" fontId="57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59" fillId="40" borderId="18" applyNumberFormat="0" applyAlignment="0" applyProtection="0"/>
    <xf numFmtId="0" fontId="59" fillId="40" borderId="18" applyNumberFormat="0" applyAlignment="0" applyProtection="0"/>
    <xf numFmtId="0" fontId="52" fillId="0" borderId="33" applyNumberFormat="0" applyFill="0" applyAlignment="0" applyProtection="0"/>
    <xf numFmtId="0" fontId="6" fillId="26" borderId="0" applyNumberFormat="0" applyBorder="0" applyAlignment="0" applyProtection="0"/>
    <xf numFmtId="0" fontId="45" fillId="8" borderId="21" applyNumberFormat="0" applyFont="0" applyAlignment="0" applyProtection="0"/>
    <xf numFmtId="0" fontId="36" fillId="0" borderId="0"/>
    <xf numFmtId="0" fontId="32" fillId="7" borderId="20" applyNumberFormat="0" applyAlignment="0" applyProtection="0"/>
    <xf numFmtId="5" fontId="7" fillId="0" borderId="0" applyFill="0" applyBorder="0" applyAlignment="0" applyProtection="0"/>
    <xf numFmtId="0" fontId="19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0" fontId="6" fillId="19" borderId="0" applyNumberFormat="0" applyBorder="0" applyAlignment="0" applyProtection="0"/>
    <xf numFmtId="0" fontId="58" fillId="0" borderId="0" applyNumberFormat="0" applyFill="0" applyBorder="0" applyAlignment="0" applyProtection="0"/>
    <xf numFmtId="0" fontId="46" fillId="27" borderId="0" applyNumberFormat="0" applyBorder="0" applyAlignment="0" applyProtection="0"/>
    <xf numFmtId="0" fontId="45" fillId="19" borderId="0" applyNumberFormat="0" applyBorder="0" applyAlignment="0" applyProtection="0"/>
    <xf numFmtId="0" fontId="35" fillId="21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5" fillId="26" borderId="0" applyNumberFormat="0" applyBorder="0" applyAlignment="0" applyProtection="0"/>
    <xf numFmtId="0" fontId="7" fillId="0" borderId="25" applyNumberFormat="0" applyFill="0" applyAlignment="0" applyProtection="0"/>
    <xf numFmtId="0" fontId="45" fillId="24" borderId="0" applyNumberFormat="0" applyBorder="0" applyAlignment="0" applyProtection="0"/>
    <xf numFmtId="0" fontId="6" fillId="26" borderId="0" applyNumberFormat="0" applyBorder="0" applyAlignment="0" applyProtection="0"/>
    <xf numFmtId="0" fontId="45" fillId="28" borderId="0" applyNumberFormat="0" applyBorder="0" applyAlignment="0" applyProtection="0"/>
    <xf numFmtId="171" fontId="7" fillId="0" borderId="1">
      <alignment horizontal="justify" vertical="top" wrapText="1"/>
    </xf>
    <xf numFmtId="0" fontId="45" fillId="24" borderId="0" applyNumberFormat="0" applyBorder="0" applyAlignment="0" applyProtection="0"/>
    <xf numFmtId="0" fontId="64" fillId="6" borderId="0" applyNumberFormat="0" applyBorder="0" applyAlignment="0" applyProtection="0"/>
    <xf numFmtId="0" fontId="7" fillId="0" borderId="25" applyNumberFormat="0" applyFill="0" applyAlignment="0" applyProtection="0"/>
    <xf numFmtId="0" fontId="45" fillId="21" borderId="0" applyNumberFormat="0" applyBorder="0" applyAlignment="0" applyProtection="0"/>
    <xf numFmtId="0" fontId="7" fillId="0" borderId="25" applyNumberFormat="0" applyFill="0" applyAlignment="0" applyProtection="0"/>
    <xf numFmtId="0" fontId="28" fillId="26" borderId="0" applyNumberFormat="0" applyBorder="0" applyAlignment="0" applyProtection="0"/>
    <xf numFmtId="0" fontId="6" fillId="23" borderId="0" applyNumberFormat="0" applyBorder="0" applyAlignment="0" applyProtection="0"/>
    <xf numFmtId="0" fontId="48" fillId="39" borderId="28" applyNumberFormat="0" applyAlignment="0" applyProtection="0"/>
    <xf numFmtId="0" fontId="32" fillId="7" borderId="20" applyNumberFormat="0" applyAlignment="0" applyProtection="0"/>
    <xf numFmtId="0" fontId="46" fillId="31" borderId="0" applyNumberFormat="0" applyBorder="0" applyAlignment="0" applyProtection="0"/>
    <xf numFmtId="0" fontId="45" fillId="19" borderId="0" applyNumberFormat="0" applyBorder="0" applyAlignment="0" applyProtection="0"/>
    <xf numFmtId="0" fontId="68" fillId="0" borderId="0" applyNumberFormat="0" applyFill="0" applyBorder="0" applyAlignment="0" applyProtection="0"/>
    <xf numFmtId="0" fontId="46" fillId="36" borderId="0" applyNumberFormat="0" applyBorder="0" applyAlignment="0" applyProtection="0"/>
    <xf numFmtId="0" fontId="45" fillId="8" borderId="21" applyNumberFormat="0" applyFont="0" applyAlignment="0" applyProtection="0"/>
    <xf numFmtId="0" fontId="49" fillId="41" borderId="29" applyNumberFormat="0" applyAlignment="0" applyProtection="0"/>
    <xf numFmtId="0" fontId="35" fillId="10" borderId="0" applyNumberFormat="0" applyBorder="0" applyAlignment="0" applyProtection="0"/>
    <xf numFmtId="0" fontId="45" fillId="24" borderId="0" applyNumberFormat="0" applyBorder="0" applyAlignment="0" applyProtection="0"/>
    <xf numFmtId="0" fontId="55" fillId="5" borderId="0" applyNumberFormat="0" applyBorder="0" applyAlignment="0" applyProtection="0"/>
    <xf numFmtId="0" fontId="54" fillId="0" borderId="35" applyNumberFormat="0" applyFill="0" applyAlignment="0" applyProtection="0"/>
    <xf numFmtId="0" fontId="6" fillId="26" borderId="0" applyNumberFormat="0" applyBorder="0" applyAlignment="0" applyProtection="0"/>
    <xf numFmtId="0" fontId="45" fillId="24" borderId="0" applyNumberFormat="0" applyBorder="0" applyAlignment="0" applyProtection="0"/>
    <xf numFmtId="0" fontId="7" fillId="0" borderId="25" applyNumberFormat="0" applyFill="0" applyAlignment="0" applyProtection="0"/>
    <xf numFmtId="0" fontId="35" fillId="35" borderId="0" applyNumberFormat="0" applyBorder="0" applyAlignment="0" applyProtection="0"/>
    <xf numFmtId="0" fontId="45" fillId="24" borderId="0" applyNumberFormat="0" applyBorder="0" applyAlignment="0" applyProtection="0"/>
    <xf numFmtId="0" fontId="53" fillId="25" borderId="28" applyNumberFormat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2" borderId="0" applyNumberFormat="0" applyBorder="0" applyAlignment="0" applyProtection="0"/>
    <xf numFmtId="0" fontId="7" fillId="0" borderId="25" applyNumberFormat="0" applyFill="0" applyAlignment="0" applyProtection="0"/>
    <xf numFmtId="0" fontId="29" fillId="24" borderId="0" applyNumberFormat="0" applyBorder="0" applyAlignment="0" applyProtection="0"/>
    <xf numFmtId="0" fontId="28" fillId="26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45" fillId="24" borderId="0" applyNumberFormat="0" applyBorder="0" applyAlignment="0" applyProtection="0"/>
    <xf numFmtId="169" fontId="7" fillId="0" borderId="0">
      <protection locked="0"/>
    </xf>
    <xf numFmtId="0" fontId="35" fillId="26" borderId="0" applyNumberFormat="0" applyBorder="0" applyAlignment="0" applyProtection="0"/>
    <xf numFmtId="9" fontId="38" fillId="0" borderId="0"/>
    <xf numFmtId="0" fontId="48" fillId="39" borderId="28" applyNumberFormat="0" applyAlignment="0" applyProtection="0"/>
    <xf numFmtId="0" fontId="6" fillId="11" borderId="0" applyNumberFormat="0" applyBorder="0" applyAlignment="0" applyProtection="0"/>
    <xf numFmtId="0" fontId="65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46" fillId="33" borderId="0" applyNumberFormat="0" applyBorder="0" applyAlignment="0" applyProtection="0"/>
    <xf numFmtId="0" fontId="7" fillId="0" borderId="25" applyNumberFormat="0" applyFill="0" applyAlignment="0" applyProtection="0"/>
    <xf numFmtId="0" fontId="60" fillId="0" borderId="31" applyNumberFormat="0" applyFill="0" applyAlignment="0" applyProtection="0"/>
    <xf numFmtId="0" fontId="53" fillId="25" borderId="28" applyNumberFormat="0" applyAlignment="0" applyProtection="0"/>
    <xf numFmtId="0" fontId="46" fillId="21" borderId="0" applyNumberFormat="0" applyBorder="0" applyAlignment="0" applyProtection="0"/>
    <xf numFmtId="0" fontId="31" fillId="40" borderId="19" applyNumberFormat="0" applyAlignment="0" applyProtection="0"/>
    <xf numFmtId="0" fontId="46" fillId="37" borderId="0" applyNumberFormat="0" applyBorder="0" applyAlignment="0" applyProtection="0"/>
    <xf numFmtId="0" fontId="63" fillId="0" borderId="36" applyNumberFormat="0" applyFill="0" applyAlignment="0" applyProtection="0"/>
    <xf numFmtId="0" fontId="6" fillId="11" borderId="0" applyNumberFormat="0" applyBorder="0" applyAlignment="0" applyProtection="0"/>
    <xf numFmtId="38" fontId="7" fillId="0" borderId="0">
      <alignment horizontal="left" wrapText="1"/>
    </xf>
    <xf numFmtId="0" fontId="7" fillId="0" borderId="25" applyNumberFormat="0" applyFill="0" applyAlignment="0" applyProtection="0"/>
    <xf numFmtId="0" fontId="55" fillId="5" borderId="0" applyNumberFormat="0" applyBorder="0" applyAlignment="0" applyProtection="0"/>
    <xf numFmtId="4" fontId="66" fillId="0" borderId="0" applyFont="0" applyFill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45" fillId="24" borderId="0" applyNumberFormat="0" applyBorder="0" applyAlignment="0" applyProtection="0"/>
    <xf numFmtId="0" fontId="65" fillId="0" borderId="0" applyNumberFormat="0" applyFill="0" applyBorder="0" applyAlignment="0" applyProtection="0"/>
    <xf numFmtId="0" fontId="35" fillId="30" borderId="0" applyNumberFormat="0" applyBorder="0" applyAlignment="0" applyProtection="0"/>
    <xf numFmtId="0" fontId="48" fillId="39" borderId="28" applyNumberFormat="0" applyAlignment="0" applyProtection="0"/>
    <xf numFmtId="169" fontId="7" fillId="0" borderId="0">
      <protection locked="0"/>
    </xf>
    <xf numFmtId="0" fontId="35" fillId="30" borderId="0" applyNumberFormat="0" applyBorder="0" applyAlignment="0" applyProtection="0"/>
    <xf numFmtId="0" fontId="7" fillId="0" borderId="25" applyNumberFormat="0" applyFill="0" applyAlignment="0" applyProtection="0"/>
    <xf numFmtId="0" fontId="65" fillId="0" borderId="0" applyNumberFormat="0" applyFill="0" applyBorder="0" applyAlignment="0" applyProtection="0"/>
    <xf numFmtId="0" fontId="35" fillId="26" borderId="0" applyNumberFormat="0" applyBorder="0" applyAlignment="0" applyProtection="0"/>
    <xf numFmtId="0" fontId="66" fillId="0" borderId="25" applyNumberFormat="0" applyFont="0" applyFill="0" applyAlignment="0" applyProtection="0"/>
    <xf numFmtId="0" fontId="65" fillId="0" borderId="0" applyNumberFormat="0" applyFill="0" applyBorder="0" applyAlignment="0" applyProtection="0"/>
    <xf numFmtId="0" fontId="35" fillId="21" borderId="0" applyNumberFormat="0" applyBorder="0" applyAlignment="0" applyProtection="0"/>
    <xf numFmtId="0" fontId="46" fillId="29" borderId="0" applyNumberFormat="0" applyBorder="0" applyAlignment="0" applyProtection="0"/>
    <xf numFmtId="0" fontId="7" fillId="0" borderId="25" applyNumberFormat="0" applyFill="0" applyAlignment="0" applyProtection="0"/>
    <xf numFmtId="0" fontId="35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18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37" fontId="7" fillId="0" borderId="0" applyFill="0" applyBorder="0" applyAlignment="0" applyProtection="0"/>
    <xf numFmtId="0" fontId="35" fillId="30" borderId="0" applyNumberFormat="0" applyBorder="0" applyAlignment="0" applyProtection="0"/>
    <xf numFmtId="0" fontId="66" fillId="0" borderId="25" applyNumberFormat="0" applyFont="0" applyFill="0" applyAlignment="0" applyProtection="0"/>
    <xf numFmtId="0" fontId="6" fillId="5" borderId="0" applyNumberFormat="0" applyBorder="0" applyAlignment="0" applyProtection="0"/>
    <xf numFmtId="0" fontId="7" fillId="0" borderId="25" applyNumberFormat="0" applyFill="0" applyAlignment="0" applyProtection="0"/>
    <xf numFmtId="0" fontId="30" fillId="5" borderId="18" applyNumberFormat="0" applyAlignment="0" applyProtection="0"/>
    <xf numFmtId="0" fontId="35" fillId="20" borderId="0" applyNumberFormat="0" applyBorder="0" applyAlignment="0" applyProtection="0"/>
    <xf numFmtId="0" fontId="29" fillId="24" borderId="0" applyNumberFormat="0" applyBorder="0" applyAlignment="0" applyProtection="0"/>
    <xf numFmtId="0" fontId="35" fillId="30" borderId="0" applyNumberFormat="0" applyBorder="0" applyAlignment="0" applyProtection="0"/>
    <xf numFmtId="0" fontId="31" fillId="40" borderId="19" applyNumberFormat="0" applyAlignment="0" applyProtection="0"/>
    <xf numFmtId="0" fontId="45" fillId="8" borderId="21" applyNumberFormat="0" applyFont="0" applyAlignment="0" applyProtection="0"/>
    <xf numFmtId="0" fontId="45" fillId="19" borderId="0" applyNumberFormat="0" applyBorder="0" applyAlignment="0" applyProtection="0"/>
    <xf numFmtId="0" fontId="61" fillId="0" borderId="32" applyNumberFormat="0" applyFill="0" applyAlignment="0" applyProtection="0"/>
    <xf numFmtId="0" fontId="47" fillId="20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48" fillId="39" borderId="28" applyNumberFormat="0" applyAlignment="0" applyProtection="0"/>
    <xf numFmtId="0" fontId="7" fillId="0" borderId="25" applyNumberFormat="0" applyFill="0" applyAlignment="0" applyProtection="0"/>
    <xf numFmtId="0" fontId="6" fillId="20" borderId="0" applyNumberFormat="0" applyBorder="0" applyAlignment="0" applyProtection="0"/>
    <xf numFmtId="0" fontId="18" fillId="0" borderId="0" applyNumberFormat="0" applyFill="0" applyBorder="0" applyAlignment="0" applyProtection="0"/>
    <xf numFmtId="0" fontId="14" fillId="0" borderId="40" applyNumberFormat="0" applyFill="0" applyAlignment="0" applyProtection="0"/>
    <xf numFmtId="0" fontId="62" fillId="0" borderId="34" applyNumberFormat="0" applyFill="0" applyAlignment="0" applyProtection="0"/>
    <xf numFmtId="0" fontId="45" fillId="25" borderId="0" applyNumberFormat="0" applyBorder="0" applyAlignment="0" applyProtection="0"/>
    <xf numFmtId="0" fontId="35" fillId="30" borderId="0" applyNumberFormat="0" applyBorder="0" applyAlignment="0" applyProtection="0"/>
    <xf numFmtId="0" fontId="7" fillId="0" borderId="25" applyNumberFormat="0" applyFill="0" applyAlignment="0" applyProtection="0"/>
    <xf numFmtId="0" fontId="50" fillId="0" borderId="0" applyNumberFormat="0" applyFill="0" applyBorder="0" applyAlignment="0" applyProtection="0"/>
    <xf numFmtId="0" fontId="60" fillId="0" borderId="31" applyNumberFormat="0" applyFill="0" applyAlignment="0" applyProtection="0"/>
    <xf numFmtId="0" fontId="52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46" fillId="29" borderId="0" applyNumberFormat="0" applyBorder="0" applyAlignment="0" applyProtection="0"/>
    <xf numFmtId="0" fontId="6" fillId="0" borderId="0"/>
    <xf numFmtId="0" fontId="66" fillId="0" borderId="25" applyNumberFormat="0" applyFont="0" applyFill="0" applyAlignment="0" applyProtection="0"/>
    <xf numFmtId="0" fontId="6" fillId="20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35" fillId="35" borderId="0" applyNumberFormat="0" applyBorder="0" applyAlignment="0" applyProtection="0"/>
    <xf numFmtId="0" fontId="35" fillId="26" borderId="0" applyNumberFormat="0" applyBorder="0" applyAlignment="0" applyProtection="0"/>
    <xf numFmtId="0" fontId="7" fillId="0" borderId="25" applyNumberFormat="0" applyFill="0" applyAlignment="0" applyProtection="0"/>
    <xf numFmtId="0" fontId="45" fillId="22" borderId="0" applyNumberFormat="0" applyBorder="0" applyAlignment="0" applyProtection="0"/>
    <xf numFmtId="0" fontId="7" fillId="0" borderId="25" applyNumberFormat="0" applyFill="0" applyAlignment="0" applyProtection="0"/>
    <xf numFmtId="0" fontId="46" fillId="34" borderId="0" applyNumberFormat="0" applyBorder="0" applyAlignment="0" applyProtection="0"/>
    <xf numFmtId="0" fontId="45" fillId="23" borderId="37" applyNumberFormat="0" applyFont="0" applyAlignment="0" applyProtection="0"/>
    <xf numFmtId="0" fontId="6" fillId="23" borderId="0" applyNumberFormat="0" applyBorder="0" applyAlignment="0" applyProtection="0"/>
    <xf numFmtId="0" fontId="49" fillId="41" borderId="29" applyNumberFormat="0" applyAlignment="0" applyProtection="0"/>
    <xf numFmtId="0" fontId="28" fillId="26" borderId="0" applyNumberFormat="0" applyBorder="0" applyAlignment="0" applyProtection="0"/>
    <xf numFmtId="0" fontId="34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45" fillId="24" borderId="0" applyNumberFormat="0" applyBorder="0" applyAlignment="0" applyProtection="0"/>
    <xf numFmtId="0" fontId="35" fillId="30" borderId="0" applyNumberFormat="0" applyBorder="0" applyAlignment="0" applyProtection="0"/>
    <xf numFmtId="0" fontId="33" fillId="0" borderId="0" applyNumberFormat="0" applyFill="0" applyBorder="0" applyAlignment="0" applyProtection="0"/>
    <xf numFmtId="0" fontId="6" fillId="25" borderId="0" applyNumberFormat="0" applyBorder="0" applyAlignment="0" applyProtection="0"/>
    <xf numFmtId="0" fontId="14" fillId="0" borderId="40" applyNumberFormat="0" applyFill="0" applyAlignment="0" applyProtection="0"/>
    <xf numFmtId="0" fontId="35" fillId="38" borderId="0" applyNumberFormat="0" applyBorder="0" applyAlignment="0" applyProtection="0"/>
    <xf numFmtId="0" fontId="63" fillId="0" borderId="36" applyNumberFormat="0" applyFill="0" applyAlignment="0" applyProtection="0"/>
    <xf numFmtId="0" fontId="35" fillId="28" borderId="0" applyNumberFormat="0" applyBorder="0" applyAlignment="0" applyProtection="0"/>
    <xf numFmtId="0" fontId="46" fillId="33" borderId="0" applyNumberFormat="0" applyBorder="0" applyAlignment="0" applyProtection="0"/>
    <xf numFmtId="0" fontId="35" fillId="28" borderId="0" applyNumberFormat="0" applyBorder="0" applyAlignment="0" applyProtection="0"/>
    <xf numFmtId="0" fontId="6" fillId="23" borderId="0" applyNumberFormat="0" applyBorder="0" applyAlignment="0" applyProtection="0"/>
    <xf numFmtId="0" fontId="51" fillId="22" borderId="0" applyNumberFormat="0" applyBorder="0" applyAlignment="0" applyProtection="0"/>
    <xf numFmtId="0" fontId="46" fillId="32" borderId="0" applyNumberFormat="0" applyBorder="0" applyAlignment="0" applyProtection="0"/>
    <xf numFmtId="0" fontId="46" fillId="29" borderId="0" applyNumberFormat="0" applyBorder="0" applyAlignment="0" applyProtection="0"/>
    <xf numFmtId="0" fontId="7" fillId="0" borderId="25" applyNumberFormat="0" applyFill="0" applyAlignment="0" applyProtection="0"/>
    <xf numFmtId="0" fontId="46" fillId="21" borderId="0" applyNumberFormat="0" applyBorder="0" applyAlignment="0" applyProtection="0"/>
    <xf numFmtId="0" fontId="59" fillId="40" borderId="18" applyNumberFormat="0" applyAlignment="0" applyProtection="0"/>
    <xf numFmtId="0" fontId="36" fillId="0" borderId="0"/>
    <xf numFmtId="0" fontId="35" fillId="21" borderId="0" applyNumberFormat="0" applyBorder="0" applyAlignment="0" applyProtection="0"/>
    <xf numFmtId="0" fontId="7" fillId="0" borderId="25" applyNumberFormat="0" applyFill="0" applyAlignment="0" applyProtection="0"/>
    <xf numFmtId="0" fontId="45" fillId="26" borderId="0" applyNumberFormat="0" applyBorder="0" applyAlignment="0" applyProtection="0"/>
    <xf numFmtId="0" fontId="59" fillId="40" borderId="18" applyNumberFormat="0" applyAlignment="0" applyProtection="0"/>
    <xf numFmtId="0" fontId="61" fillId="0" borderId="32" applyNumberFormat="0" applyFill="0" applyAlignment="0" applyProtection="0"/>
    <xf numFmtId="0" fontId="66" fillId="0" borderId="25" applyNumberFormat="0" applyFont="0" applyFill="0" applyAlignment="0" applyProtection="0"/>
    <xf numFmtId="169" fontId="7" fillId="0" borderId="0">
      <protection locked="0"/>
    </xf>
    <xf numFmtId="0" fontId="63" fillId="0" borderId="36" applyNumberFormat="0" applyFill="0" applyAlignment="0" applyProtection="0"/>
    <xf numFmtId="37" fontId="7" fillId="0" borderId="0" applyFill="0" applyBorder="0" applyAlignment="0" applyProtection="0"/>
    <xf numFmtId="0" fontId="52" fillId="0" borderId="0" applyNumberFormat="0" applyFill="0" applyBorder="0" applyAlignment="0" applyProtection="0"/>
    <xf numFmtId="0" fontId="32" fillId="7" borderId="20" applyNumberFormat="0" applyAlignment="0" applyProtection="0"/>
    <xf numFmtId="0" fontId="45" fillId="27" borderId="0" applyNumberFormat="0" applyBorder="0" applyAlignment="0" applyProtection="0"/>
    <xf numFmtId="0" fontId="36" fillId="0" borderId="0"/>
    <xf numFmtId="0" fontId="46" fillId="33" borderId="0" applyNumberFormat="0" applyBorder="0" applyAlignment="0" applyProtection="0"/>
    <xf numFmtId="0" fontId="62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52" fillId="0" borderId="33" applyNumberFormat="0" applyFill="0" applyAlignment="0" applyProtection="0"/>
    <xf numFmtId="0" fontId="35" fillId="30" borderId="0" applyNumberFormat="0" applyBorder="0" applyAlignment="0" applyProtection="0"/>
    <xf numFmtId="0" fontId="30" fillId="5" borderId="18" applyNumberFormat="0" applyAlignment="0" applyProtection="0"/>
    <xf numFmtId="0" fontId="45" fillId="21" borderId="0" applyNumberFormat="0" applyBorder="0" applyAlignment="0" applyProtection="0"/>
    <xf numFmtId="0" fontId="55" fillId="5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36" fillId="0" borderId="0"/>
    <xf numFmtId="0" fontId="64" fillId="6" borderId="0" applyNumberFormat="0" applyBorder="0" applyAlignment="0" applyProtection="0"/>
    <xf numFmtId="0" fontId="6" fillId="23" borderId="0" applyNumberFormat="0" applyBorder="0" applyAlignment="0" applyProtection="0"/>
    <xf numFmtId="0" fontId="46" fillId="37" borderId="0" applyNumberFormat="0" applyBorder="0" applyAlignment="0" applyProtection="0"/>
    <xf numFmtId="169" fontId="7" fillId="0" borderId="0">
      <protection locked="0"/>
    </xf>
    <xf numFmtId="0" fontId="35" fillId="20" borderId="0" applyNumberFormat="0" applyBorder="0" applyAlignment="0" applyProtection="0"/>
    <xf numFmtId="0" fontId="7" fillId="0" borderId="25" applyNumberFormat="0" applyFill="0" applyAlignment="0" applyProtection="0"/>
    <xf numFmtId="0" fontId="45" fillId="26" borderId="0" applyNumberFormat="0" applyBorder="0" applyAlignment="0" applyProtection="0"/>
    <xf numFmtId="0" fontId="36" fillId="0" borderId="0"/>
    <xf numFmtId="0" fontId="35" fillId="28" borderId="0" applyNumberFormat="0" applyBorder="0" applyAlignment="0" applyProtection="0"/>
    <xf numFmtId="0" fontId="30" fillId="5" borderId="18" applyNumberFormat="0" applyAlignment="0" applyProtection="0"/>
    <xf numFmtId="0" fontId="35" fillId="28" borderId="0" applyNumberFormat="0" applyBorder="0" applyAlignment="0" applyProtection="0"/>
    <xf numFmtId="168" fontId="7" fillId="0" borderId="0" applyFill="0" applyBorder="0" applyAlignment="0" applyProtection="0"/>
    <xf numFmtId="0" fontId="7" fillId="0" borderId="25" applyNumberFormat="0" applyFill="0" applyAlignment="0" applyProtection="0"/>
    <xf numFmtId="0" fontId="57" fillId="0" borderId="0" applyNumberFormat="0" applyFill="0" applyBorder="0" applyAlignment="0" applyProtection="0"/>
    <xf numFmtId="171" fontId="7" fillId="0" borderId="1">
      <alignment horizontal="justify" vertical="top" wrapText="1"/>
    </xf>
    <xf numFmtId="0" fontId="65" fillId="0" borderId="0" applyNumberFormat="0" applyFill="0" applyBorder="0" applyAlignment="0" applyProtection="0"/>
    <xf numFmtId="0" fontId="7" fillId="0" borderId="25" applyNumberFormat="0" applyFill="0" applyAlignment="0" applyProtection="0"/>
    <xf numFmtId="38" fontId="7" fillId="0" borderId="0">
      <alignment horizontal="left" wrapText="1"/>
    </xf>
    <xf numFmtId="0" fontId="46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45" fillId="26" borderId="0" applyNumberFormat="0" applyBorder="0" applyAlignment="0" applyProtection="0"/>
    <xf numFmtId="0" fontId="7" fillId="0" borderId="25" applyNumberFormat="0" applyFill="0" applyAlignment="0" applyProtection="0"/>
    <xf numFmtId="0" fontId="6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1" fillId="40" borderId="19" applyNumberFormat="0" applyAlignment="0" applyProtection="0"/>
    <xf numFmtId="0" fontId="48" fillId="39" borderId="28" applyNumberFormat="0" applyAlignment="0" applyProtection="0"/>
    <xf numFmtId="0" fontId="35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0" borderId="25" applyNumberFormat="0" applyFill="0" applyAlignment="0" applyProtection="0"/>
    <xf numFmtId="0" fontId="46" fillId="32" borderId="0" applyNumberFormat="0" applyBorder="0" applyAlignment="0" applyProtection="0"/>
    <xf numFmtId="0" fontId="67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45" fillId="23" borderId="37" applyNumberFormat="0" applyFont="0" applyAlignment="0" applyProtection="0"/>
    <xf numFmtId="0" fontId="35" fillId="10" borderId="0" applyNumberFormat="0" applyBorder="0" applyAlignment="0" applyProtection="0"/>
    <xf numFmtId="0" fontId="30" fillId="5" borderId="18" applyNumberFormat="0" applyAlignment="0" applyProtection="0"/>
    <xf numFmtId="0" fontId="48" fillId="39" borderId="28" applyNumberFormat="0" applyAlignment="0" applyProtection="0"/>
    <xf numFmtId="0" fontId="62" fillId="0" borderId="34" applyNumberFormat="0" applyFill="0" applyAlignment="0" applyProtection="0"/>
    <xf numFmtId="0" fontId="36" fillId="0" borderId="0"/>
    <xf numFmtId="0" fontId="35" fillId="30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36" fillId="0" borderId="0"/>
    <xf numFmtId="0" fontId="63" fillId="0" borderId="36" applyNumberFormat="0" applyFill="0" applyAlignment="0" applyProtection="0"/>
    <xf numFmtId="0" fontId="61" fillId="0" borderId="32" applyNumberFormat="0" applyFill="0" applyAlignment="0" applyProtection="0"/>
    <xf numFmtId="0" fontId="45" fillId="8" borderId="21" applyNumberFormat="0" applyFont="0" applyAlignment="0" applyProtection="0"/>
    <xf numFmtId="0" fontId="35" fillId="26" borderId="0" applyNumberFormat="0" applyBorder="0" applyAlignment="0" applyProtection="0"/>
    <xf numFmtId="0" fontId="46" fillId="32" borderId="0" applyNumberFormat="0" applyBorder="0" applyAlignment="0" applyProtection="0"/>
    <xf numFmtId="0" fontId="35" fillId="20" borderId="0" applyNumberFormat="0" applyBorder="0" applyAlignment="0" applyProtection="0"/>
    <xf numFmtId="0" fontId="60" fillId="0" borderId="31" applyNumberFormat="0" applyFill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0" fontId="46" fillId="29" borderId="0" applyNumberFormat="0" applyBorder="0" applyAlignment="0" applyProtection="0"/>
    <xf numFmtId="0" fontId="58" fillId="0" borderId="0" applyNumberFormat="0" applyFill="0" applyBorder="0" applyAlignment="0" applyProtection="0"/>
    <xf numFmtId="0" fontId="66" fillId="0" borderId="25" applyNumberFormat="0" applyFont="0" applyFill="0" applyAlignment="0" applyProtection="0"/>
    <xf numFmtId="0" fontId="7" fillId="0" borderId="25" applyNumberFormat="0" applyFill="0" applyAlignment="0" applyProtection="0"/>
    <xf numFmtId="2" fontId="7" fillId="0" borderId="0" applyFill="0" applyBorder="0" applyAlignment="0" applyProtection="0"/>
    <xf numFmtId="0" fontId="45" fillId="19" borderId="0" applyNumberFormat="0" applyBorder="0" applyAlignment="0" applyProtection="0"/>
    <xf numFmtId="0" fontId="61" fillId="0" borderId="32" applyNumberFormat="0" applyFill="0" applyAlignment="0" applyProtection="0"/>
    <xf numFmtId="0" fontId="46" fillId="34" borderId="0" applyNumberFormat="0" applyBorder="0" applyAlignment="0" applyProtection="0"/>
    <xf numFmtId="0" fontId="46" fillId="31" borderId="0" applyNumberFormat="0" applyBorder="0" applyAlignment="0" applyProtection="0"/>
    <xf numFmtId="0" fontId="57" fillId="0" borderId="0" applyNumberFormat="0" applyFill="0" applyBorder="0" applyAlignment="0" applyProtection="0"/>
    <xf numFmtId="0" fontId="61" fillId="0" borderId="32" applyNumberFormat="0" applyFill="0" applyAlignment="0" applyProtection="0"/>
    <xf numFmtId="0" fontId="6" fillId="19" borderId="0" applyNumberFormat="0" applyBorder="0" applyAlignment="0" applyProtection="0"/>
    <xf numFmtId="37" fontId="7" fillId="0" borderId="0" applyFill="0" applyBorder="0" applyAlignment="0" applyProtection="0"/>
    <xf numFmtId="0" fontId="7" fillId="0" borderId="25" applyNumberFormat="0" applyFill="0" applyAlignment="0" applyProtection="0"/>
    <xf numFmtId="168" fontId="7" fillId="0" borderId="0" applyFill="0" applyBorder="0" applyAlignment="0" applyProtection="0"/>
    <xf numFmtId="0" fontId="46" fillId="27" borderId="0" applyNumberFormat="0" applyBorder="0" applyAlignment="0" applyProtection="0"/>
    <xf numFmtId="0" fontId="6" fillId="0" borderId="0"/>
    <xf numFmtId="0" fontId="7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52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46" fillId="36" borderId="0" applyNumberFormat="0" applyBorder="0" applyAlignment="0" applyProtection="0"/>
    <xf numFmtId="0" fontId="7" fillId="0" borderId="25" applyNumberFormat="0" applyFill="0" applyAlignment="0" applyProtection="0"/>
    <xf numFmtId="0" fontId="35" fillId="28" borderId="0" applyNumberFormat="0" applyBorder="0" applyAlignment="0" applyProtection="0"/>
    <xf numFmtId="0" fontId="6" fillId="26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38" fontId="7" fillId="0" borderId="0">
      <alignment horizontal="left" wrapText="1"/>
    </xf>
    <xf numFmtId="0" fontId="59" fillId="40" borderId="18" applyNumberFormat="0" applyAlignment="0" applyProtection="0"/>
    <xf numFmtId="0" fontId="6" fillId="23" borderId="0" applyNumberFormat="0" applyBorder="0" applyAlignment="0" applyProtection="0"/>
    <xf numFmtId="0" fontId="30" fillId="5" borderId="18" applyNumberFormat="0" applyAlignment="0" applyProtection="0"/>
    <xf numFmtId="0" fontId="45" fillId="27" borderId="0" applyNumberFormat="0" applyBorder="0" applyAlignment="0" applyProtection="0"/>
    <xf numFmtId="168" fontId="7" fillId="0" borderId="0" applyFill="0" applyBorder="0" applyAlignment="0" applyProtection="0"/>
    <xf numFmtId="0" fontId="6" fillId="26" borderId="0" applyNumberFormat="0" applyBorder="0" applyAlignment="0" applyProtection="0"/>
    <xf numFmtId="0" fontId="45" fillId="20" borderId="0" applyNumberFormat="0" applyBorder="0" applyAlignment="0" applyProtection="0"/>
    <xf numFmtId="0" fontId="46" fillId="29" borderId="0" applyNumberFormat="0" applyBorder="0" applyAlignment="0" applyProtection="0"/>
    <xf numFmtId="0" fontId="35" fillId="35" borderId="0" applyNumberFormat="0" applyBorder="0" applyAlignment="0" applyProtection="0"/>
    <xf numFmtId="0" fontId="61" fillId="0" borderId="32" applyNumberFormat="0" applyFill="0" applyAlignment="0" applyProtection="0"/>
    <xf numFmtId="0" fontId="35" fillId="26" borderId="0" applyNumberFormat="0" applyBorder="0" applyAlignment="0" applyProtection="0"/>
    <xf numFmtId="0" fontId="7" fillId="0" borderId="25" applyNumberFormat="0" applyFill="0" applyAlignment="0" applyProtection="0"/>
    <xf numFmtId="0" fontId="36" fillId="0" borderId="0"/>
    <xf numFmtId="0" fontId="46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62" fillId="0" borderId="0" applyNumberFormat="0" applyFill="0" applyBorder="0" applyAlignment="0" applyProtection="0"/>
    <xf numFmtId="0" fontId="14" fillId="0" borderId="40" applyNumberFormat="0" applyFill="0" applyAlignment="0" applyProtection="0"/>
    <xf numFmtId="0" fontId="6" fillId="23" borderId="0" applyNumberFormat="0" applyBorder="0" applyAlignment="0" applyProtection="0"/>
    <xf numFmtId="0" fontId="30" fillId="5" borderId="18" applyNumberFormat="0" applyAlignment="0" applyProtection="0"/>
    <xf numFmtId="0" fontId="47" fillId="20" borderId="0" applyNumberFormat="0" applyBorder="0" applyAlignment="0" applyProtection="0"/>
    <xf numFmtId="0" fontId="51" fillId="22" borderId="0" applyNumberFormat="0" applyBorder="0" applyAlignment="0" applyProtection="0"/>
    <xf numFmtId="0" fontId="19" fillId="0" borderId="0" applyNumberFormat="0" applyFill="0" applyBorder="0" applyAlignment="0" applyProtection="0"/>
    <xf numFmtId="9" fontId="38" fillId="0" borderId="0"/>
    <xf numFmtId="0" fontId="56" fillId="39" borderId="38" applyNumberFormat="0" applyAlignment="0" applyProtection="0"/>
    <xf numFmtId="0" fontId="45" fillId="19" borderId="0" applyNumberFormat="0" applyBorder="0" applyAlignment="0" applyProtection="0"/>
    <xf numFmtId="0" fontId="46" fillId="37" borderId="0" applyNumberFormat="0" applyBorder="0" applyAlignment="0" applyProtection="0"/>
    <xf numFmtId="0" fontId="45" fillId="24" borderId="0" applyNumberFormat="0" applyBorder="0" applyAlignment="0" applyProtection="0"/>
    <xf numFmtId="0" fontId="46" fillId="33" borderId="0" applyNumberFormat="0" applyBorder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171" fontId="7" fillId="0" borderId="1">
      <alignment horizontal="justify" vertical="top" wrapText="1"/>
    </xf>
    <xf numFmtId="0" fontId="52" fillId="0" borderId="0" applyNumberFormat="0" applyFill="0" applyBorder="0" applyAlignment="0" applyProtection="0"/>
    <xf numFmtId="0" fontId="32" fillId="7" borderId="20" applyNumberFormat="0" applyAlignment="0" applyProtection="0"/>
    <xf numFmtId="168" fontId="7" fillId="0" borderId="0" applyFill="0" applyBorder="0" applyAlignment="0" applyProtection="0"/>
    <xf numFmtId="0" fontId="62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45" fillId="18" borderId="0" applyNumberFormat="0" applyBorder="0" applyAlignment="0" applyProtection="0"/>
    <xf numFmtId="0" fontId="28" fillId="26" borderId="0" applyNumberFormat="0" applyBorder="0" applyAlignment="0" applyProtection="0"/>
    <xf numFmtId="0" fontId="7" fillId="0" borderId="25" applyNumberFormat="0" applyFill="0" applyAlignment="0" applyProtection="0"/>
    <xf numFmtId="0" fontId="6" fillId="25" borderId="0" applyNumberFormat="0" applyBorder="0" applyAlignment="0" applyProtection="0"/>
    <xf numFmtId="0" fontId="47" fillId="20" borderId="0" applyNumberFormat="0" applyBorder="0" applyAlignment="0" applyProtection="0"/>
    <xf numFmtId="0" fontId="28" fillId="26" borderId="0" applyNumberFormat="0" applyBorder="0" applyAlignment="0" applyProtection="0"/>
    <xf numFmtId="0" fontId="46" fillId="31" borderId="0" applyNumberFormat="0" applyBorder="0" applyAlignment="0" applyProtection="0"/>
    <xf numFmtId="0" fontId="35" fillId="20" borderId="0" applyNumberFormat="0" applyBorder="0" applyAlignment="0" applyProtection="0"/>
    <xf numFmtId="0" fontId="6" fillId="11" borderId="0" applyNumberFormat="0" applyBorder="0" applyAlignment="0" applyProtection="0"/>
    <xf numFmtId="4" fontId="66" fillId="0" borderId="0" applyFont="0" applyFill="0" applyBorder="0" applyAlignment="0" applyProtection="0"/>
    <xf numFmtId="0" fontId="6" fillId="11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0"/>
    <xf numFmtId="0" fontId="6" fillId="21" borderId="0" applyNumberFormat="0" applyBorder="0" applyAlignment="0" applyProtection="0"/>
    <xf numFmtId="0" fontId="68" fillId="0" borderId="0" applyNumberFormat="0" applyFill="0" applyBorder="0" applyAlignment="0" applyProtection="0"/>
    <xf numFmtId="0" fontId="31" fillId="40" borderId="19" applyNumberFormat="0" applyAlignment="0" applyProtection="0"/>
    <xf numFmtId="0" fontId="45" fillId="25" borderId="0" applyNumberFormat="0" applyBorder="0" applyAlignment="0" applyProtection="0"/>
    <xf numFmtId="0" fontId="6" fillId="23" borderId="0" applyNumberFormat="0" applyBorder="0" applyAlignment="0" applyProtection="0"/>
    <xf numFmtId="0" fontId="62" fillId="0" borderId="34" applyNumberFormat="0" applyFill="0" applyAlignment="0" applyProtection="0"/>
    <xf numFmtId="0" fontId="45" fillId="18" borderId="0" applyNumberFormat="0" applyBorder="0" applyAlignment="0" applyProtection="0"/>
    <xf numFmtId="0" fontId="46" fillId="32" borderId="0" applyNumberFormat="0" applyBorder="0" applyAlignment="0" applyProtection="0"/>
    <xf numFmtId="0" fontId="45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45" fillId="26" borderId="0" applyNumberFormat="0" applyBorder="0" applyAlignment="0" applyProtection="0"/>
    <xf numFmtId="0" fontId="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45" fillId="23" borderId="37" applyNumberFormat="0" applyFont="0" applyAlignment="0" applyProtection="0"/>
    <xf numFmtId="0" fontId="35" fillId="28" borderId="0" applyNumberFormat="0" applyBorder="0" applyAlignment="0" applyProtection="0"/>
    <xf numFmtId="0" fontId="50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48" fillId="39" borderId="28" applyNumberFormat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46" fillId="21" borderId="0" applyNumberFormat="0" applyBorder="0" applyAlignment="0" applyProtection="0"/>
    <xf numFmtId="0" fontId="36" fillId="0" borderId="0"/>
    <xf numFmtId="0" fontId="6" fillId="0" borderId="0"/>
    <xf numFmtId="2" fontId="7" fillId="0" borderId="0" applyFill="0" applyBorder="0" applyAlignment="0" applyProtection="0"/>
    <xf numFmtId="0" fontId="6" fillId="20" borderId="0" applyNumberFormat="0" applyBorder="0" applyAlignment="0" applyProtection="0"/>
    <xf numFmtId="0" fontId="46" fillId="36" borderId="0" applyNumberFormat="0" applyBorder="0" applyAlignment="0" applyProtection="0"/>
    <xf numFmtId="0" fontId="7" fillId="0" borderId="25" applyNumberFormat="0" applyFill="0" applyAlignment="0" applyProtection="0"/>
    <xf numFmtId="0" fontId="63" fillId="0" borderId="36" applyNumberFormat="0" applyFill="0" applyAlignment="0" applyProtection="0"/>
    <xf numFmtId="0" fontId="45" fillId="19" borderId="0" applyNumberFormat="0" applyBorder="0" applyAlignment="0" applyProtection="0"/>
    <xf numFmtId="171" fontId="7" fillId="0" borderId="1">
      <alignment horizontal="justify" vertical="top" wrapText="1"/>
    </xf>
    <xf numFmtId="0" fontId="6" fillId="5" borderId="0" applyNumberFormat="0" applyBorder="0" applyAlignment="0" applyProtection="0"/>
    <xf numFmtId="0" fontId="32" fillId="7" borderId="20" applyNumberFormat="0" applyAlignment="0" applyProtection="0"/>
    <xf numFmtId="0" fontId="7" fillId="0" borderId="25" applyNumberFormat="0" applyFill="0" applyAlignment="0" applyProtection="0"/>
    <xf numFmtId="0" fontId="6" fillId="25" borderId="0" applyNumberFormat="0" applyBorder="0" applyAlignment="0" applyProtection="0"/>
    <xf numFmtId="0" fontId="6" fillId="0" borderId="0"/>
    <xf numFmtId="0" fontId="53" fillId="25" borderId="28" applyNumberFormat="0" applyAlignment="0" applyProtection="0"/>
    <xf numFmtId="0" fontId="45" fillId="23" borderId="37" applyNumberFormat="0" applyFont="0" applyAlignment="0" applyProtection="0"/>
    <xf numFmtId="0" fontId="61" fillId="0" borderId="32" applyNumberFormat="0" applyFill="0" applyAlignment="0" applyProtection="0"/>
    <xf numFmtId="0" fontId="31" fillId="40" borderId="19" applyNumberFormat="0" applyAlignment="0" applyProtection="0"/>
    <xf numFmtId="0" fontId="45" fillId="8" borderId="21" applyNumberFormat="0" applyFont="0" applyAlignment="0" applyProtection="0"/>
    <xf numFmtId="0" fontId="14" fillId="0" borderId="40" applyNumberFormat="0" applyFill="0" applyAlignment="0" applyProtection="0"/>
    <xf numFmtId="0" fontId="6" fillId="25" borderId="0" applyNumberFormat="0" applyBorder="0" applyAlignment="0" applyProtection="0"/>
    <xf numFmtId="0" fontId="32" fillId="7" borderId="20" applyNumberFormat="0" applyAlignment="0" applyProtection="0"/>
    <xf numFmtId="0" fontId="6" fillId="9" borderId="0" applyNumberFormat="0" applyBorder="0" applyAlignment="0" applyProtection="0"/>
    <xf numFmtId="0" fontId="6" fillId="0" borderId="0"/>
    <xf numFmtId="0" fontId="6" fillId="0" borderId="0"/>
    <xf numFmtId="0" fontId="53" fillId="25" borderId="28" applyNumberFormat="0" applyAlignment="0" applyProtection="0"/>
    <xf numFmtId="0" fontId="18" fillId="0" borderId="0" applyNumberFormat="0" applyFill="0" applyBorder="0" applyAlignment="0" applyProtection="0"/>
    <xf numFmtId="0" fontId="6" fillId="9" borderId="0" applyNumberFormat="0" applyBorder="0" applyAlignment="0" applyProtection="0"/>
    <xf numFmtId="0" fontId="7" fillId="0" borderId="25" applyNumberFormat="0" applyFill="0" applyAlignment="0" applyProtection="0"/>
    <xf numFmtId="0" fontId="35" fillId="26" borderId="0" applyNumberFormat="0" applyBorder="0" applyAlignment="0" applyProtection="0"/>
    <xf numFmtId="0" fontId="5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9" fontId="7" fillId="0" borderId="0">
      <protection locked="0"/>
    </xf>
    <xf numFmtId="0" fontId="14" fillId="0" borderId="40" applyNumberFormat="0" applyFill="0" applyAlignment="0" applyProtection="0"/>
    <xf numFmtId="0" fontId="6" fillId="5" borderId="0" applyNumberFormat="0" applyBorder="0" applyAlignment="0" applyProtection="0"/>
    <xf numFmtId="0" fontId="56" fillId="39" borderId="38" applyNumberFormat="0" applyAlignment="0" applyProtection="0"/>
    <xf numFmtId="37" fontId="7" fillId="0" borderId="0" applyFill="0" applyBorder="0" applyAlignment="0" applyProtection="0"/>
    <xf numFmtId="9" fontId="38" fillId="0" borderId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45" fillId="28" borderId="0" applyNumberFormat="0" applyBorder="0" applyAlignment="0" applyProtection="0"/>
    <xf numFmtId="0" fontId="46" fillId="36" borderId="0" applyNumberFormat="0" applyBorder="0" applyAlignment="0" applyProtection="0"/>
    <xf numFmtId="0" fontId="6" fillId="5" borderId="0" applyNumberFormat="0" applyBorder="0" applyAlignment="0" applyProtection="0"/>
    <xf numFmtId="0" fontId="6" fillId="0" borderId="0"/>
    <xf numFmtId="0" fontId="46" fillId="27" borderId="0" applyNumberFormat="0" applyBorder="0" applyAlignment="0" applyProtection="0"/>
    <xf numFmtId="0" fontId="45" fillId="2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0" borderId="25" applyNumberFormat="0" applyFill="0" applyAlignment="0" applyProtection="0"/>
    <xf numFmtId="0" fontId="45" fillId="22" borderId="0" applyNumberFormat="0" applyBorder="0" applyAlignment="0" applyProtection="0"/>
    <xf numFmtId="0" fontId="35" fillId="26" borderId="0" applyNumberFormat="0" applyBorder="0" applyAlignment="0" applyProtection="0"/>
    <xf numFmtId="0" fontId="61" fillId="0" borderId="32" applyNumberFormat="0" applyFill="0" applyAlignment="0" applyProtection="0"/>
    <xf numFmtId="0" fontId="45" fillId="19" borderId="0" applyNumberFormat="0" applyBorder="0" applyAlignment="0" applyProtection="0"/>
    <xf numFmtId="4" fontId="6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56" fillId="39" borderId="38" applyNumberFormat="0" applyAlignment="0" applyProtection="0"/>
    <xf numFmtId="0" fontId="55" fillId="5" borderId="0" applyNumberFormat="0" applyBorder="0" applyAlignment="0" applyProtection="0"/>
    <xf numFmtId="0" fontId="7" fillId="0" borderId="25" applyNumberFormat="0" applyFill="0" applyAlignment="0" applyProtection="0"/>
    <xf numFmtId="0" fontId="35" fillId="36" borderId="0" applyNumberFormat="0" applyBorder="0" applyAlignment="0" applyProtection="0"/>
    <xf numFmtId="0" fontId="62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36" fillId="0" borderId="0"/>
    <xf numFmtId="169" fontId="7" fillId="0" borderId="0">
      <protection locked="0"/>
    </xf>
    <xf numFmtId="0" fontId="6" fillId="0" borderId="0"/>
    <xf numFmtId="4" fontId="66" fillId="0" borderId="0" applyFont="0" applyFill="0" applyBorder="0" applyAlignment="0" applyProtection="0"/>
    <xf numFmtId="0" fontId="46" fillId="32" borderId="0" applyNumberFormat="0" applyBorder="0" applyAlignment="0" applyProtection="0"/>
    <xf numFmtId="0" fontId="6" fillId="5" borderId="0" applyNumberFormat="0" applyBorder="0" applyAlignment="0" applyProtection="0"/>
    <xf numFmtId="0" fontId="7" fillId="0" borderId="25" applyNumberFormat="0" applyFill="0" applyAlignment="0" applyProtection="0"/>
    <xf numFmtId="0" fontId="6" fillId="0" borderId="0"/>
    <xf numFmtId="0" fontId="54" fillId="0" borderId="35" applyNumberFormat="0" applyFill="0" applyAlignment="0" applyProtection="0"/>
    <xf numFmtId="0" fontId="28" fillId="26" borderId="0" applyNumberFormat="0" applyBorder="0" applyAlignment="0" applyProtection="0"/>
    <xf numFmtId="0" fontId="45" fillId="27" borderId="0" applyNumberFormat="0" applyBorder="0" applyAlignment="0" applyProtection="0"/>
    <xf numFmtId="0" fontId="46" fillId="29" borderId="0" applyNumberFormat="0" applyBorder="0" applyAlignment="0" applyProtection="0"/>
    <xf numFmtId="9" fontId="38" fillId="0" borderId="0"/>
    <xf numFmtId="0" fontId="28" fillId="26" borderId="0" applyNumberFormat="0" applyBorder="0" applyAlignment="0" applyProtection="0"/>
    <xf numFmtId="0" fontId="14" fillId="0" borderId="40" applyNumberFormat="0" applyFill="0" applyAlignment="0" applyProtection="0"/>
    <xf numFmtId="0" fontId="35" fillId="38" borderId="0" applyNumberFormat="0" applyBorder="0" applyAlignment="0" applyProtection="0"/>
    <xf numFmtId="0" fontId="14" fillId="0" borderId="40" applyNumberFormat="0" applyFill="0" applyAlignment="0" applyProtection="0"/>
    <xf numFmtId="0" fontId="35" fillId="21" borderId="0" applyNumberFormat="0" applyBorder="0" applyAlignment="0" applyProtection="0"/>
    <xf numFmtId="0" fontId="45" fillId="27" borderId="0" applyNumberFormat="0" applyBorder="0" applyAlignment="0" applyProtection="0"/>
    <xf numFmtId="0" fontId="46" fillId="31" borderId="0" applyNumberFormat="0" applyBorder="0" applyAlignment="0" applyProtection="0"/>
    <xf numFmtId="0" fontId="33" fillId="0" borderId="0" applyNumberFormat="0" applyFill="0" applyBorder="0" applyAlignment="0" applyProtection="0"/>
    <xf numFmtId="0" fontId="60" fillId="0" borderId="31" applyNumberFormat="0" applyFill="0" applyAlignment="0" applyProtection="0"/>
    <xf numFmtId="0" fontId="68" fillId="0" borderId="0" applyNumberFormat="0" applyFill="0" applyBorder="0" applyAlignment="0" applyProtection="0"/>
    <xf numFmtId="0" fontId="7" fillId="0" borderId="25" applyNumberFormat="0" applyFill="0" applyAlignment="0" applyProtection="0"/>
    <xf numFmtId="2" fontId="7" fillId="0" borderId="0" applyFill="0" applyBorder="0" applyAlignment="0" applyProtection="0"/>
    <xf numFmtId="0" fontId="6" fillId="23" borderId="0" applyNumberFormat="0" applyBorder="0" applyAlignment="0" applyProtection="0"/>
    <xf numFmtId="0" fontId="46" fillId="37" borderId="0" applyNumberFormat="0" applyBorder="0" applyAlignment="0" applyProtection="0"/>
    <xf numFmtId="0" fontId="45" fillId="23" borderId="37" applyNumberFormat="0" applyFont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30" fillId="5" borderId="18" applyNumberFormat="0" applyAlignment="0" applyProtection="0"/>
    <xf numFmtId="0" fontId="64" fillId="6" borderId="0" applyNumberFormat="0" applyBorder="0" applyAlignment="0" applyProtection="0"/>
    <xf numFmtId="0" fontId="35" fillId="28" borderId="0" applyNumberFormat="0" applyBorder="0" applyAlignment="0" applyProtection="0"/>
    <xf numFmtId="0" fontId="6" fillId="0" borderId="0"/>
    <xf numFmtId="0" fontId="49" fillId="41" borderId="29" applyNumberFormat="0" applyAlignment="0" applyProtection="0"/>
    <xf numFmtId="0" fontId="46" fillId="31" borderId="0" applyNumberFormat="0" applyBorder="0" applyAlignment="0" applyProtection="0"/>
    <xf numFmtId="2" fontId="7" fillId="0" borderId="0" applyFill="0" applyBorder="0" applyAlignment="0" applyProtection="0"/>
    <xf numFmtId="0" fontId="7" fillId="0" borderId="25" applyNumberFormat="0" applyFill="0" applyAlignment="0" applyProtection="0"/>
    <xf numFmtId="0" fontId="52" fillId="0" borderId="0" applyNumberFormat="0" applyFill="0" applyBorder="0" applyAlignment="0" applyProtection="0"/>
    <xf numFmtId="0" fontId="46" fillId="36" borderId="0" applyNumberFormat="0" applyBorder="0" applyAlignment="0" applyProtection="0"/>
    <xf numFmtId="0" fontId="53" fillId="25" borderId="28" applyNumberFormat="0" applyAlignment="0" applyProtection="0"/>
    <xf numFmtId="38" fontId="7" fillId="0" borderId="0">
      <alignment horizontal="left" wrapText="1"/>
    </xf>
    <xf numFmtId="0" fontId="18" fillId="0" borderId="0" applyNumberFormat="0" applyFill="0" applyBorder="0" applyAlignment="0" applyProtection="0"/>
    <xf numFmtId="0" fontId="45" fillId="19" borderId="0" applyNumberFormat="0" applyBorder="0" applyAlignment="0" applyProtection="0"/>
    <xf numFmtId="0" fontId="46" fillId="27" borderId="0" applyNumberFormat="0" applyBorder="0" applyAlignment="0" applyProtection="0"/>
    <xf numFmtId="0" fontId="46" fillId="30" borderId="0" applyNumberFormat="0" applyBorder="0" applyAlignment="0" applyProtection="0"/>
    <xf numFmtId="0" fontId="6" fillId="0" borderId="0"/>
    <xf numFmtId="0" fontId="7" fillId="0" borderId="25" applyNumberFormat="0" applyFill="0" applyAlignment="0" applyProtection="0"/>
    <xf numFmtId="0" fontId="35" fillId="30" borderId="0" applyNumberFormat="0" applyBorder="0" applyAlignment="0" applyProtection="0"/>
    <xf numFmtId="0" fontId="6" fillId="20" borderId="0" applyNumberFormat="0" applyBorder="0" applyAlignment="0" applyProtection="0"/>
    <xf numFmtId="0" fontId="49" fillId="41" borderId="29" applyNumberFormat="0" applyAlignment="0" applyProtection="0"/>
    <xf numFmtId="0" fontId="6" fillId="23" borderId="0" applyNumberFormat="0" applyBorder="0" applyAlignment="0" applyProtection="0"/>
    <xf numFmtId="0" fontId="36" fillId="0" borderId="0"/>
    <xf numFmtId="0" fontId="7" fillId="0" borderId="25" applyNumberFormat="0" applyFill="0" applyAlignment="0" applyProtection="0"/>
    <xf numFmtId="0" fontId="45" fillId="24" borderId="0" applyNumberFormat="0" applyBorder="0" applyAlignment="0" applyProtection="0"/>
    <xf numFmtId="169" fontId="7" fillId="0" borderId="0">
      <protection locked="0"/>
    </xf>
    <xf numFmtId="0" fontId="6" fillId="20" borderId="0" applyNumberFormat="0" applyBorder="0" applyAlignment="0" applyProtection="0"/>
    <xf numFmtId="9" fontId="38" fillId="0" borderId="0"/>
    <xf numFmtId="0" fontId="46" fillId="21" borderId="0" applyNumberFormat="0" applyBorder="0" applyAlignment="0" applyProtection="0"/>
    <xf numFmtId="0" fontId="63" fillId="0" borderId="36" applyNumberFormat="0" applyFill="0" applyAlignment="0" applyProtection="0"/>
    <xf numFmtId="0" fontId="35" fillId="21" borderId="0" applyNumberFormat="0" applyBorder="0" applyAlignment="0" applyProtection="0"/>
    <xf numFmtId="0" fontId="35" fillId="38" borderId="0" applyNumberFormat="0" applyBorder="0" applyAlignment="0" applyProtection="0"/>
    <xf numFmtId="0" fontId="52" fillId="0" borderId="33" applyNumberFormat="0" applyFill="0" applyAlignment="0" applyProtection="0"/>
    <xf numFmtId="2" fontId="7" fillId="0" borderId="0" applyFill="0" applyBorder="0" applyAlignment="0" applyProtection="0"/>
    <xf numFmtId="0" fontId="46" fillId="30" borderId="0" applyNumberFormat="0" applyBorder="0" applyAlignment="0" applyProtection="0"/>
    <xf numFmtId="0" fontId="28" fillId="26" borderId="0" applyNumberFormat="0" applyBorder="0" applyAlignment="0" applyProtection="0"/>
    <xf numFmtId="0" fontId="6" fillId="23" borderId="0" applyNumberFormat="0" applyBorder="0" applyAlignment="0" applyProtection="0"/>
    <xf numFmtId="0" fontId="31" fillId="40" borderId="19" applyNumberFormat="0" applyAlignment="0" applyProtection="0"/>
    <xf numFmtId="0" fontId="6" fillId="20" borderId="0" applyNumberFormat="0" applyBorder="0" applyAlignment="0" applyProtection="0"/>
    <xf numFmtId="0" fontId="35" fillId="28" borderId="0" applyNumberFormat="0" applyBorder="0" applyAlignment="0" applyProtection="0"/>
    <xf numFmtId="0" fontId="6" fillId="26" borderId="0" applyNumberFormat="0" applyBorder="0" applyAlignment="0" applyProtection="0"/>
    <xf numFmtId="0" fontId="7" fillId="0" borderId="25" applyNumberFormat="0" applyFill="0" applyAlignment="0" applyProtection="0"/>
    <xf numFmtId="0" fontId="62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7" fillId="0" borderId="25" applyNumberFormat="0" applyFill="0" applyAlignment="0" applyProtection="0"/>
    <xf numFmtId="0" fontId="6" fillId="26" borderId="0" applyNumberFormat="0" applyBorder="0" applyAlignment="0" applyProtection="0"/>
    <xf numFmtId="0" fontId="34" fillId="0" borderId="0" applyNumberFormat="0" applyFill="0" applyBorder="0" applyAlignment="0" applyProtection="0"/>
    <xf numFmtId="0" fontId="36" fillId="0" borderId="0"/>
    <xf numFmtId="0" fontId="6" fillId="25" borderId="0" applyNumberFormat="0" applyBorder="0" applyAlignment="0" applyProtection="0"/>
    <xf numFmtId="0" fontId="7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60" fillId="0" borderId="31" applyNumberFormat="0" applyFill="0" applyAlignment="0" applyProtection="0"/>
    <xf numFmtId="0" fontId="7" fillId="0" borderId="25" applyNumberFormat="0" applyFill="0" applyAlignment="0" applyProtection="0"/>
    <xf numFmtId="0" fontId="45" fillId="18" borderId="0" applyNumberFormat="0" applyBorder="0" applyAlignment="0" applyProtection="0"/>
    <xf numFmtId="0" fontId="45" fillId="26" borderId="0" applyNumberFormat="0" applyBorder="0" applyAlignment="0" applyProtection="0"/>
    <xf numFmtId="0" fontId="35" fillId="38" borderId="0" applyNumberFormat="0" applyBorder="0" applyAlignment="0" applyProtection="0"/>
    <xf numFmtId="0" fontId="46" fillId="31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49" fillId="41" borderId="29" applyNumberFormat="0" applyAlignment="0" applyProtection="0"/>
    <xf numFmtId="0" fontId="7" fillId="0" borderId="25" applyNumberFormat="0" applyFill="0" applyAlignment="0" applyProtection="0"/>
    <xf numFmtId="169" fontId="7" fillId="0" borderId="0">
      <protection locked="0"/>
    </xf>
    <xf numFmtId="0" fontId="45" fillId="26" borderId="0" applyNumberFormat="0" applyBorder="0" applyAlignment="0" applyProtection="0"/>
    <xf numFmtId="0" fontId="35" fillId="10" borderId="0" applyNumberFormat="0" applyBorder="0" applyAlignment="0" applyProtection="0"/>
    <xf numFmtId="171" fontId="7" fillId="0" borderId="1">
      <alignment horizontal="justify" vertical="top" wrapText="1"/>
    </xf>
    <xf numFmtId="0" fontId="7" fillId="0" borderId="25" applyNumberFormat="0" applyFill="0" applyAlignment="0" applyProtection="0"/>
    <xf numFmtId="0" fontId="35" fillId="38" borderId="0" applyNumberFormat="0" applyBorder="0" applyAlignment="0" applyProtection="0"/>
    <xf numFmtId="0" fontId="7" fillId="0" borderId="25" applyNumberFormat="0" applyFill="0" applyAlignment="0" applyProtection="0"/>
    <xf numFmtId="0" fontId="65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51" fillId="22" borderId="0" applyNumberFormat="0" applyBorder="0" applyAlignment="0" applyProtection="0"/>
    <xf numFmtId="0" fontId="45" fillId="18" borderId="0" applyNumberFormat="0" applyBorder="0" applyAlignment="0" applyProtection="0"/>
    <xf numFmtId="0" fontId="6" fillId="23" borderId="0" applyNumberFormat="0" applyBorder="0" applyAlignment="0" applyProtection="0"/>
    <xf numFmtId="0" fontId="46" fillId="21" borderId="0" applyNumberFormat="0" applyBorder="0" applyAlignment="0" applyProtection="0"/>
    <xf numFmtId="0" fontId="45" fillId="28" borderId="0" applyNumberFormat="0" applyBorder="0" applyAlignment="0" applyProtection="0"/>
    <xf numFmtId="0" fontId="35" fillId="30" borderId="0" applyNumberFormat="0" applyBorder="0" applyAlignment="0" applyProtection="0"/>
    <xf numFmtId="0" fontId="46" fillId="32" borderId="0" applyNumberFormat="0" applyBorder="0" applyAlignment="0" applyProtection="0"/>
    <xf numFmtId="0" fontId="62" fillId="0" borderId="0" applyNumberFormat="0" applyFill="0" applyBorder="0" applyAlignment="0" applyProtection="0"/>
    <xf numFmtId="169" fontId="7" fillId="0" borderId="0">
      <protection locked="0"/>
    </xf>
    <xf numFmtId="0" fontId="45" fillId="8" borderId="21" applyNumberFormat="0" applyFont="0" applyAlignment="0" applyProtection="0"/>
    <xf numFmtId="0" fontId="6" fillId="9" borderId="0" applyNumberFormat="0" applyBorder="0" applyAlignment="0" applyProtection="0"/>
    <xf numFmtId="0" fontId="59" fillId="40" borderId="18" applyNumberFormat="0" applyAlignment="0" applyProtection="0"/>
    <xf numFmtId="0" fontId="6" fillId="19" borderId="0" applyNumberFormat="0" applyBorder="0" applyAlignment="0" applyProtection="0"/>
    <xf numFmtId="0" fontId="6" fillId="0" borderId="0"/>
    <xf numFmtId="0" fontId="62" fillId="0" borderId="34" applyNumberFormat="0" applyFill="0" applyAlignment="0" applyProtection="0"/>
    <xf numFmtId="0" fontId="7" fillId="0" borderId="25" applyNumberFormat="0" applyFill="0" applyAlignment="0" applyProtection="0"/>
    <xf numFmtId="0" fontId="45" fillId="19" borderId="0" applyNumberFormat="0" applyBorder="0" applyAlignment="0" applyProtection="0"/>
    <xf numFmtId="0" fontId="52" fillId="0" borderId="33" applyNumberFormat="0" applyFill="0" applyAlignment="0" applyProtection="0"/>
    <xf numFmtId="0" fontId="45" fillId="23" borderId="37" applyNumberFormat="0" applyFont="0" applyAlignment="0" applyProtection="0"/>
    <xf numFmtId="0" fontId="6" fillId="26" borderId="0" applyNumberFormat="0" applyBorder="0" applyAlignment="0" applyProtection="0"/>
    <xf numFmtId="0" fontId="32" fillId="7" borderId="20" applyNumberFormat="0" applyAlignment="0" applyProtection="0"/>
    <xf numFmtId="0" fontId="36" fillId="0" borderId="0"/>
    <xf numFmtId="37" fontId="7" fillId="0" borderId="0" applyFill="0" applyBorder="0" applyAlignment="0" applyProtection="0"/>
    <xf numFmtId="0" fontId="52" fillId="0" borderId="33" applyNumberFormat="0" applyFill="0" applyAlignment="0" applyProtection="0"/>
    <xf numFmtId="0" fontId="50" fillId="0" borderId="0" applyNumberFormat="0" applyFill="0" applyBorder="0" applyAlignment="0" applyProtection="0"/>
    <xf numFmtId="37" fontId="7" fillId="0" borderId="0" applyFill="0" applyBorder="0" applyAlignment="0" applyProtection="0"/>
    <xf numFmtId="0" fontId="7" fillId="0" borderId="25" applyNumberFormat="0" applyFill="0" applyAlignment="0" applyProtection="0"/>
    <xf numFmtId="0" fontId="56" fillId="39" borderId="38" applyNumberFormat="0" applyAlignment="0" applyProtection="0"/>
    <xf numFmtId="0" fontId="6" fillId="11" borderId="0" applyNumberFormat="0" applyBorder="0" applyAlignment="0" applyProtection="0"/>
    <xf numFmtId="2" fontId="7" fillId="0" borderId="0" applyFill="0" applyBorder="0" applyAlignment="0" applyProtection="0"/>
    <xf numFmtId="38" fontId="7" fillId="0" borderId="0">
      <alignment horizontal="left" wrapText="1"/>
    </xf>
    <xf numFmtId="0" fontId="45" fillId="25" borderId="0" applyNumberFormat="0" applyBorder="0" applyAlignment="0" applyProtection="0"/>
    <xf numFmtId="0" fontId="6" fillId="0" borderId="0"/>
    <xf numFmtId="0" fontId="6" fillId="20" borderId="0" applyNumberFormat="0" applyBorder="0" applyAlignment="0" applyProtection="0"/>
    <xf numFmtId="0" fontId="46" fillId="31" borderId="0" applyNumberFormat="0" applyBorder="0" applyAlignment="0" applyProtection="0"/>
    <xf numFmtId="0" fontId="7" fillId="0" borderId="25" applyNumberFormat="0" applyFill="0" applyAlignment="0" applyProtection="0"/>
    <xf numFmtId="0" fontId="6" fillId="11" borderId="0" applyNumberFormat="0" applyBorder="0" applyAlignment="0" applyProtection="0"/>
    <xf numFmtId="0" fontId="29" fillId="24" borderId="0" applyNumberFormat="0" applyBorder="0" applyAlignment="0" applyProtection="0"/>
    <xf numFmtId="0" fontId="60" fillId="0" borderId="31" applyNumberFormat="0" applyFill="0" applyAlignment="0" applyProtection="0"/>
    <xf numFmtId="0" fontId="55" fillId="5" borderId="0" applyNumberFormat="0" applyBorder="0" applyAlignment="0" applyProtection="0"/>
    <xf numFmtId="0" fontId="62" fillId="0" borderId="0" applyNumberFormat="0" applyFill="0" applyBorder="0" applyAlignment="0" applyProtection="0"/>
    <xf numFmtId="0" fontId="6" fillId="9" borderId="0" applyNumberFormat="0" applyBorder="0" applyAlignment="0" applyProtection="0"/>
    <xf numFmtId="9" fontId="38" fillId="0" borderId="0"/>
    <xf numFmtId="0" fontId="58" fillId="0" borderId="0" applyNumberFormat="0" applyFill="0" applyBorder="0" applyAlignment="0" applyProtection="0"/>
    <xf numFmtId="0" fontId="60" fillId="0" borderId="31" applyNumberFormat="0" applyFill="0" applyAlignment="0" applyProtection="0"/>
    <xf numFmtId="0" fontId="6" fillId="20" borderId="0" applyNumberFormat="0" applyBorder="0" applyAlignment="0" applyProtection="0"/>
    <xf numFmtId="0" fontId="6" fillId="26" borderId="0" applyNumberFormat="0" applyBorder="0" applyAlignment="0" applyProtection="0"/>
    <xf numFmtId="5" fontId="7" fillId="0" borderId="0" applyFill="0" applyBorder="0" applyAlignment="0" applyProtection="0"/>
    <xf numFmtId="0" fontId="45" fillId="19" borderId="0" applyNumberFormat="0" applyBorder="0" applyAlignment="0" applyProtection="0"/>
    <xf numFmtId="0" fontId="45" fillId="21" borderId="0" applyNumberFormat="0" applyBorder="0" applyAlignment="0" applyProtection="0"/>
    <xf numFmtId="0" fontId="35" fillId="20" borderId="0" applyNumberFormat="0" applyBorder="0" applyAlignment="0" applyProtection="0"/>
    <xf numFmtId="0" fontId="67" fillId="0" borderId="0" applyNumberFormat="0" applyFill="0" applyBorder="0" applyAlignment="0" applyProtection="0"/>
    <xf numFmtId="0" fontId="35" fillId="35" borderId="0" applyNumberFormat="0" applyBorder="0" applyAlignment="0" applyProtection="0"/>
    <xf numFmtId="0" fontId="61" fillId="0" borderId="32" applyNumberFormat="0" applyFill="0" applyAlignment="0" applyProtection="0"/>
    <xf numFmtId="0" fontId="47" fillId="20" borderId="0" applyNumberFormat="0" applyBorder="0" applyAlignment="0" applyProtection="0"/>
    <xf numFmtId="0" fontId="30" fillId="5" borderId="18" applyNumberFormat="0" applyAlignment="0" applyProtection="0"/>
    <xf numFmtId="0" fontId="49" fillId="41" borderId="29" applyNumberFormat="0" applyAlignment="0" applyProtection="0"/>
    <xf numFmtId="0" fontId="31" fillId="40" borderId="19" applyNumberFormat="0" applyAlignment="0" applyProtection="0"/>
    <xf numFmtId="0" fontId="48" fillId="39" borderId="28" applyNumberFormat="0" applyAlignment="0" applyProtection="0"/>
    <xf numFmtId="0" fontId="6" fillId="23" borderId="0" applyNumberFormat="0" applyBorder="0" applyAlignment="0" applyProtection="0"/>
    <xf numFmtId="0" fontId="35" fillId="26" borderId="0" applyNumberFormat="0" applyBorder="0" applyAlignment="0" applyProtection="0"/>
    <xf numFmtId="0" fontId="46" fillId="32" borderId="0" applyNumberFormat="0" applyBorder="0" applyAlignment="0" applyProtection="0"/>
    <xf numFmtId="0" fontId="61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46" fillId="31" borderId="0" applyNumberFormat="0" applyBorder="0" applyAlignment="0" applyProtection="0"/>
    <xf numFmtId="0" fontId="36" fillId="0" borderId="0"/>
    <xf numFmtId="0" fontId="7" fillId="0" borderId="25" applyNumberFormat="0" applyFill="0" applyAlignment="0" applyProtection="0"/>
    <xf numFmtId="0" fontId="49" fillId="41" borderId="29" applyNumberFormat="0" applyAlignment="0" applyProtection="0"/>
    <xf numFmtId="0" fontId="7" fillId="0" borderId="25" applyNumberFormat="0" applyFill="0" applyAlignment="0" applyProtection="0"/>
    <xf numFmtId="0" fontId="55" fillId="5" borderId="0" applyNumberFormat="0" applyBorder="0" applyAlignment="0" applyProtection="0"/>
    <xf numFmtId="0" fontId="7" fillId="0" borderId="25" applyNumberFormat="0" applyFill="0" applyAlignment="0" applyProtection="0"/>
    <xf numFmtId="0" fontId="62" fillId="0" borderId="34" applyNumberFormat="0" applyFill="0" applyAlignment="0" applyProtection="0"/>
    <xf numFmtId="0" fontId="46" fillId="31" borderId="0" applyNumberFormat="0" applyBorder="0" applyAlignment="0" applyProtection="0"/>
    <xf numFmtId="0" fontId="53" fillId="25" borderId="28" applyNumberFormat="0" applyAlignment="0" applyProtection="0"/>
    <xf numFmtId="0" fontId="6" fillId="26" borderId="0" applyNumberFormat="0" applyBorder="0" applyAlignment="0" applyProtection="0"/>
    <xf numFmtId="0" fontId="45" fillId="28" borderId="0" applyNumberFormat="0" applyBorder="0" applyAlignment="0" applyProtection="0"/>
    <xf numFmtId="0" fontId="6" fillId="25" borderId="0" applyNumberFormat="0" applyBorder="0" applyAlignment="0" applyProtection="0"/>
    <xf numFmtId="2" fontId="7" fillId="0" borderId="0" applyFill="0" applyBorder="0" applyAlignment="0" applyProtection="0"/>
    <xf numFmtId="169" fontId="7" fillId="0" borderId="0">
      <protection locked="0"/>
    </xf>
    <xf numFmtId="169" fontId="7" fillId="0" borderId="0">
      <protection locked="0"/>
    </xf>
    <xf numFmtId="0" fontId="7" fillId="0" borderId="25" applyNumberFormat="0" applyFill="0" applyAlignment="0" applyProtection="0"/>
    <xf numFmtId="0" fontId="46" fillId="33" borderId="0" applyNumberFormat="0" applyBorder="0" applyAlignment="0" applyProtection="0"/>
    <xf numFmtId="0" fontId="56" fillId="39" borderId="38" applyNumberFormat="0" applyAlignment="0" applyProtection="0"/>
    <xf numFmtId="0" fontId="36" fillId="0" borderId="0"/>
    <xf numFmtId="0" fontId="47" fillId="20" borderId="0" applyNumberFormat="0" applyBorder="0" applyAlignment="0" applyProtection="0"/>
    <xf numFmtId="0" fontId="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59" fillId="40" borderId="18" applyNumberFormat="0" applyAlignment="0" applyProtection="0"/>
    <xf numFmtId="0" fontId="7" fillId="0" borderId="25" applyNumberFormat="0" applyFill="0" applyAlignment="0" applyProtection="0"/>
    <xf numFmtId="0" fontId="46" fillId="29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46" fillId="37" borderId="0" applyNumberFormat="0" applyBorder="0" applyAlignment="0" applyProtection="0"/>
    <xf numFmtId="0" fontId="45" fillId="27" borderId="0" applyNumberFormat="0" applyBorder="0" applyAlignment="0" applyProtection="0"/>
    <xf numFmtId="0" fontId="7" fillId="0" borderId="25" applyNumberFormat="0" applyFill="0" applyAlignment="0" applyProtection="0"/>
    <xf numFmtId="37" fontId="7" fillId="0" borderId="0" applyFill="0" applyBorder="0" applyAlignment="0" applyProtection="0"/>
    <xf numFmtId="0" fontId="7" fillId="0" borderId="25" applyNumberFormat="0" applyFill="0" applyAlignment="0" applyProtection="0"/>
    <xf numFmtId="38" fontId="7" fillId="0" borderId="0">
      <alignment horizontal="left" wrapText="1"/>
    </xf>
    <xf numFmtId="0" fontId="50" fillId="0" borderId="0" applyNumberFormat="0" applyFill="0" applyBorder="0" applyAlignment="0" applyProtection="0"/>
    <xf numFmtId="0" fontId="55" fillId="5" borderId="0" applyNumberFormat="0" applyBorder="0" applyAlignment="0" applyProtection="0"/>
    <xf numFmtId="0" fontId="7" fillId="0" borderId="25" applyNumberFormat="0" applyFill="0" applyAlignment="0" applyProtection="0"/>
    <xf numFmtId="0" fontId="68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45" fillId="25" borderId="0" applyNumberFormat="0" applyBorder="0" applyAlignment="0" applyProtection="0"/>
    <xf numFmtId="0" fontId="45" fillId="27" borderId="0" applyNumberFormat="0" applyBorder="0" applyAlignment="0" applyProtection="0"/>
    <xf numFmtId="0" fontId="6" fillId="23" borderId="0" applyNumberFormat="0" applyBorder="0" applyAlignment="0" applyProtection="0"/>
    <xf numFmtId="0" fontId="7" fillId="0" borderId="25" applyNumberFormat="0" applyFill="0" applyAlignment="0" applyProtection="0"/>
    <xf numFmtId="0" fontId="32" fillId="7" borderId="20" applyNumberFormat="0" applyAlignment="0" applyProtection="0"/>
    <xf numFmtId="0" fontId="6" fillId="25" borderId="0" applyNumberFormat="0" applyBorder="0" applyAlignment="0" applyProtection="0"/>
    <xf numFmtId="0" fontId="35" fillId="28" borderId="0" applyNumberFormat="0" applyBorder="0" applyAlignment="0" applyProtection="0"/>
    <xf numFmtId="0" fontId="7" fillId="0" borderId="25" applyNumberFormat="0" applyFill="0" applyAlignment="0" applyProtection="0"/>
    <xf numFmtId="0" fontId="57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6" fillId="21" borderId="0" applyNumberFormat="0" applyBorder="0" applyAlignment="0" applyProtection="0"/>
    <xf numFmtId="0" fontId="61" fillId="0" borderId="32" applyNumberFormat="0" applyFill="0" applyAlignment="0" applyProtection="0"/>
    <xf numFmtId="0" fontId="6" fillId="9" borderId="0" applyNumberFormat="0" applyBorder="0" applyAlignment="0" applyProtection="0"/>
    <xf numFmtId="0" fontId="5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6" fillId="9" borderId="0" applyNumberFormat="0" applyBorder="0" applyAlignment="0" applyProtection="0"/>
    <xf numFmtId="0" fontId="45" fillId="21" borderId="0" applyNumberFormat="0" applyBorder="0" applyAlignment="0" applyProtection="0"/>
    <xf numFmtId="0" fontId="35" fillId="21" borderId="0" applyNumberFormat="0" applyBorder="0" applyAlignment="0" applyProtection="0"/>
    <xf numFmtId="0" fontId="51" fillId="22" borderId="0" applyNumberFormat="0" applyBorder="0" applyAlignment="0" applyProtection="0"/>
    <xf numFmtId="0" fontId="7" fillId="0" borderId="25" applyNumberFormat="0" applyFill="0" applyAlignment="0" applyProtection="0"/>
    <xf numFmtId="0" fontId="45" fillId="21" borderId="0" applyNumberFormat="0" applyBorder="0" applyAlignment="0" applyProtection="0"/>
    <xf numFmtId="0" fontId="14" fillId="0" borderId="40" applyNumberFormat="0" applyFill="0" applyAlignment="0" applyProtection="0"/>
    <xf numFmtId="0" fontId="54" fillId="0" borderId="3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55" fillId="5" borderId="0" applyNumberFormat="0" applyBorder="0" applyAlignment="0" applyProtection="0"/>
    <xf numFmtId="0" fontId="45" fillId="19" borderId="0" applyNumberFormat="0" applyBorder="0" applyAlignment="0" applyProtection="0"/>
    <xf numFmtId="0" fontId="7" fillId="0" borderId="25" applyNumberFormat="0" applyFill="0" applyAlignment="0" applyProtection="0"/>
    <xf numFmtId="0" fontId="57" fillId="0" borderId="0" applyNumberFormat="0" applyFill="0" applyBorder="0" applyAlignment="0" applyProtection="0"/>
    <xf numFmtId="0" fontId="35" fillId="26" borderId="0" applyNumberFormat="0" applyBorder="0" applyAlignment="0" applyProtection="0"/>
    <xf numFmtId="0" fontId="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5" fillId="20" borderId="0" applyNumberFormat="0" applyBorder="0" applyAlignment="0" applyProtection="0"/>
    <xf numFmtId="0" fontId="49" fillId="41" borderId="29" applyNumberFormat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0" borderId="35" applyNumberFormat="0" applyFill="0" applyAlignment="0" applyProtection="0"/>
    <xf numFmtId="0" fontId="7" fillId="0" borderId="25" applyNumberFormat="0" applyFill="0" applyAlignment="0" applyProtection="0"/>
    <xf numFmtId="169" fontId="7" fillId="0" borderId="0">
      <protection locked="0"/>
    </xf>
    <xf numFmtId="0" fontId="58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45" fillId="22" borderId="0" applyNumberFormat="0" applyBorder="0" applyAlignment="0" applyProtection="0"/>
    <xf numFmtId="5" fontId="7" fillId="0" borderId="0" applyFill="0" applyBorder="0" applyAlignment="0" applyProtection="0"/>
    <xf numFmtId="0" fontId="46" fillId="30" borderId="0" applyNumberFormat="0" applyBorder="0" applyAlignment="0" applyProtection="0"/>
    <xf numFmtId="0" fontId="6" fillId="21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6" fillId="0" borderId="0"/>
    <xf numFmtId="0" fontId="47" fillId="20" borderId="0" applyNumberFormat="0" applyBorder="0" applyAlignment="0" applyProtection="0"/>
    <xf numFmtId="0" fontId="45" fillId="20" borderId="0" applyNumberFormat="0" applyBorder="0" applyAlignment="0" applyProtection="0"/>
    <xf numFmtId="0" fontId="7" fillId="0" borderId="25" applyNumberFormat="0" applyFill="0" applyAlignment="0" applyProtection="0"/>
    <xf numFmtId="0" fontId="50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35" fillId="30" borderId="0" applyNumberFormat="0" applyBorder="0" applyAlignment="0" applyProtection="0"/>
    <xf numFmtId="38" fontId="7" fillId="0" borderId="0">
      <alignment horizontal="left" wrapText="1"/>
    </xf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46" fillId="36" borderId="0" applyNumberFormat="0" applyBorder="0" applyAlignment="0" applyProtection="0"/>
    <xf numFmtId="0" fontId="46" fillId="32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25" applyNumberFormat="0" applyFill="0" applyAlignment="0" applyProtection="0"/>
    <xf numFmtId="0" fontId="46" fillId="37" borderId="0" applyNumberFormat="0" applyBorder="0" applyAlignment="0" applyProtection="0"/>
    <xf numFmtId="0" fontId="45" fillId="21" borderId="0" applyNumberFormat="0" applyBorder="0" applyAlignment="0" applyProtection="0"/>
    <xf numFmtId="168" fontId="7" fillId="0" borderId="0" applyFill="0" applyBorder="0" applyAlignment="0" applyProtection="0"/>
    <xf numFmtId="0" fontId="35" fillId="38" borderId="0" applyNumberFormat="0" applyBorder="0" applyAlignment="0" applyProtection="0"/>
    <xf numFmtId="0" fontId="45" fillId="22" borderId="0" applyNumberFormat="0" applyBorder="0" applyAlignment="0" applyProtection="0"/>
    <xf numFmtId="0" fontId="61" fillId="0" borderId="32" applyNumberFormat="0" applyFill="0" applyAlignment="0" applyProtection="0"/>
    <xf numFmtId="5" fontId="7" fillId="0" borderId="0" applyFill="0" applyBorder="0" applyAlignment="0" applyProtection="0"/>
    <xf numFmtId="0" fontId="46" fillId="32" borderId="0" applyNumberFormat="0" applyBorder="0" applyAlignment="0" applyProtection="0"/>
    <xf numFmtId="0" fontId="53" fillId="25" borderId="28" applyNumberFormat="0" applyAlignment="0" applyProtection="0"/>
    <xf numFmtId="0" fontId="6" fillId="21" borderId="0" applyNumberFormat="0" applyBorder="0" applyAlignment="0" applyProtection="0"/>
    <xf numFmtId="0" fontId="46" fillId="31" borderId="0" applyNumberFormat="0" applyBorder="0" applyAlignment="0" applyProtection="0"/>
    <xf numFmtId="0" fontId="7" fillId="0" borderId="25" applyNumberFormat="0" applyFill="0" applyAlignment="0" applyProtection="0"/>
    <xf numFmtId="0" fontId="35" fillId="30" borderId="0" applyNumberFormat="0" applyBorder="0" applyAlignment="0" applyProtection="0"/>
    <xf numFmtId="0" fontId="46" fillId="34" borderId="0" applyNumberFormat="0" applyBorder="0" applyAlignment="0" applyProtection="0"/>
    <xf numFmtId="0" fontId="60" fillId="0" borderId="31" applyNumberFormat="0" applyFill="0" applyAlignment="0" applyProtection="0"/>
    <xf numFmtId="0" fontId="7" fillId="0" borderId="25" applyNumberFormat="0" applyFill="0" applyAlignment="0" applyProtection="0"/>
    <xf numFmtId="0" fontId="46" fillId="21" borderId="0" applyNumberFormat="0" applyBorder="0" applyAlignment="0" applyProtection="0"/>
    <xf numFmtId="0" fontId="46" fillId="27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35" fillId="36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52" fillId="0" borderId="0" applyNumberFormat="0" applyFill="0" applyBorder="0" applyAlignment="0" applyProtection="0"/>
    <xf numFmtId="0" fontId="35" fillId="30" borderId="0" applyNumberFormat="0" applyBorder="0" applyAlignment="0" applyProtection="0"/>
    <xf numFmtId="0" fontId="36" fillId="0" borderId="0"/>
    <xf numFmtId="0" fontId="45" fillId="24" borderId="0" applyNumberFormat="0" applyBorder="0" applyAlignment="0" applyProtection="0"/>
    <xf numFmtId="0" fontId="45" fillId="20" borderId="0" applyNumberFormat="0" applyBorder="0" applyAlignment="0" applyProtection="0"/>
    <xf numFmtId="0" fontId="46" fillId="30" borderId="0" applyNumberFormat="0" applyBorder="0" applyAlignment="0" applyProtection="0"/>
    <xf numFmtId="0" fontId="45" fillId="20" borderId="0" applyNumberFormat="0" applyBorder="0" applyAlignment="0" applyProtection="0"/>
    <xf numFmtId="0" fontId="35" fillId="36" borderId="0" applyNumberFormat="0" applyBorder="0" applyAlignment="0" applyProtection="0"/>
    <xf numFmtId="0" fontId="46" fillId="34" borderId="0" applyNumberFormat="0" applyBorder="0" applyAlignment="0" applyProtection="0"/>
    <xf numFmtId="0" fontId="7" fillId="0" borderId="25" applyNumberFormat="0" applyFill="0" applyAlignment="0" applyProtection="0"/>
    <xf numFmtId="0" fontId="4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51" fillId="22" borderId="0" applyNumberFormat="0" applyBorder="0" applyAlignment="0" applyProtection="0"/>
    <xf numFmtId="0" fontId="45" fillId="24" borderId="0" applyNumberFormat="0" applyBorder="0" applyAlignment="0" applyProtection="0"/>
    <xf numFmtId="0" fontId="7" fillId="0" borderId="25" applyNumberFormat="0" applyFill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46" fillId="27" borderId="0" applyNumberFormat="0" applyBorder="0" applyAlignment="0" applyProtection="0"/>
    <xf numFmtId="0" fontId="61" fillId="0" borderId="32" applyNumberFormat="0" applyFill="0" applyAlignment="0" applyProtection="0"/>
    <xf numFmtId="0" fontId="14" fillId="0" borderId="40" applyNumberFormat="0" applyFill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25" applyNumberFormat="0" applyFill="0" applyAlignment="0" applyProtection="0"/>
    <xf numFmtId="38" fontId="7" fillId="0" borderId="0">
      <alignment horizontal="left" wrapText="1"/>
    </xf>
    <xf numFmtId="0" fontId="63" fillId="0" borderId="36" applyNumberFormat="0" applyFill="0" applyAlignment="0" applyProtection="0"/>
    <xf numFmtId="5" fontId="7" fillId="0" borderId="0" applyFill="0" applyBorder="0" applyAlignment="0" applyProtection="0"/>
    <xf numFmtId="0" fontId="46" fillId="34" borderId="0" applyNumberFormat="0" applyBorder="0" applyAlignment="0" applyProtection="0"/>
    <xf numFmtId="0" fontId="46" fillId="30" borderId="0" applyNumberFormat="0" applyBorder="0" applyAlignment="0" applyProtection="0"/>
    <xf numFmtId="0" fontId="6" fillId="21" borderId="0" applyNumberFormat="0" applyBorder="0" applyAlignment="0" applyProtection="0"/>
    <xf numFmtId="0" fontId="35" fillId="36" borderId="0" applyNumberFormat="0" applyBorder="0" applyAlignment="0" applyProtection="0"/>
    <xf numFmtId="0" fontId="45" fillId="20" borderId="0" applyNumberFormat="0" applyBorder="0" applyAlignment="0" applyProtection="0"/>
    <xf numFmtId="0" fontId="7" fillId="0" borderId="25" applyNumberFormat="0" applyFill="0" applyAlignment="0" applyProtection="0"/>
    <xf numFmtId="0" fontId="36" fillId="0" borderId="0"/>
    <xf numFmtId="0" fontId="6" fillId="0" borderId="0"/>
    <xf numFmtId="0" fontId="7" fillId="0" borderId="25" applyNumberFormat="0" applyFill="0" applyAlignment="0" applyProtection="0"/>
    <xf numFmtId="0" fontId="45" fillId="27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9" borderId="0" applyNumberFormat="0" applyBorder="0" applyAlignment="0" applyProtection="0"/>
    <xf numFmtId="0" fontId="7" fillId="0" borderId="25" applyNumberFormat="0" applyFill="0" applyAlignment="0" applyProtection="0"/>
    <xf numFmtId="0" fontId="45" fillId="18" borderId="0" applyNumberFormat="0" applyBorder="0" applyAlignment="0" applyProtection="0"/>
    <xf numFmtId="168" fontId="7" fillId="0" borderId="0" applyFill="0" applyBorder="0" applyAlignment="0" applyProtection="0"/>
    <xf numFmtId="0" fontId="35" fillId="38" borderId="0" applyNumberFormat="0" applyBorder="0" applyAlignment="0" applyProtection="0"/>
    <xf numFmtId="0" fontId="45" fillId="22" borderId="0" applyNumberFormat="0" applyBorder="0" applyAlignment="0" applyProtection="0"/>
    <xf numFmtId="0" fontId="35" fillId="20" borderId="0" applyNumberFormat="0" applyBorder="0" applyAlignment="0" applyProtection="0"/>
    <xf numFmtId="5" fontId="7" fillId="0" borderId="0" applyFill="0" applyBorder="0" applyAlignment="0" applyProtection="0"/>
    <xf numFmtId="0" fontId="46" fillId="32" borderId="0" applyNumberFormat="0" applyBorder="0" applyAlignment="0" applyProtection="0"/>
    <xf numFmtId="0" fontId="6" fillId="21" borderId="0" applyNumberFormat="0" applyBorder="0" applyAlignment="0" applyProtection="0"/>
    <xf numFmtId="0" fontId="35" fillId="26" borderId="0" applyNumberFormat="0" applyBorder="0" applyAlignment="0" applyProtection="0"/>
    <xf numFmtId="0" fontId="58" fillId="0" borderId="0" applyNumberFormat="0" applyFill="0" applyBorder="0" applyAlignment="0" applyProtection="0"/>
    <xf numFmtId="4" fontId="66" fillId="0" borderId="0" applyFont="0" applyFill="0" applyBorder="0" applyAlignment="0" applyProtection="0"/>
    <xf numFmtId="0" fontId="7" fillId="0" borderId="25" applyNumberFormat="0" applyFill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8" borderId="21" applyNumberFormat="0" applyFont="0" applyAlignment="0" applyProtection="0"/>
    <xf numFmtId="0" fontId="7" fillId="0" borderId="25" applyNumberFormat="0" applyFill="0" applyAlignment="0" applyProtection="0"/>
    <xf numFmtId="0" fontId="35" fillId="36" borderId="0" applyNumberFormat="0" applyBorder="0" applyAlignment="0" applyProtection="0"/>
    <xf numFmtId="0" fontId="45" fillId="20" borderId="0" applyNumberFormat="0" applyBorder="0" applyAlignment="0" applyProtection="0"/>
    <xf numFmtId="0" fontId="7" fillId="0" borderId="25" applyNumberFormat="0" applyFill="0" applyAlignment="0" applyProtection="0"/>
    <xf numFmtId="0" fontId="6" fillId="19" borderId="0" applyNumberFormat="0" applyBorder="0" applyAlignment="0" applyProtection="0"/>
    <xf numFmtId="0" fontId="7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7" fillId="0" borderId="25" applyNumberFormat="0" applyFill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7" fillId="0" borderId="0" applyNumberFormat="0" applyFill="0" applyBorder="0" applyAlignment="0" applyProtection="0"/>
    <xf numFmtId="0" fontId="36" fillId="0" borderId="0"/>
    <xf numFmtId="0" fontId="7" fillId="0" borderId="25" applyNumberFormat="0" applyFill="0" applyAlignment="0" applyProtection="0"/>
    <xf numFmtId="0" fontId="35" fillId="10" borderId="0" applyNumberFormat="0" applyBorder="0" applyAlignment="0" applyProtection="0"/>
    <xf numFmtId="0" fontId="45" fillId="22" borderId="0" applyNumberFormat="0" applyBorder="0" applyAlignment="0" applyProtection="0"/>
    <xf numFmtId="5" fontId="7" fillId="0" borderId="0" applyFill="0" applyBorder="0" applyAlignment="0" applyProtection="0"/>
    <xf numFmtId="0" fontId="46" fillId="30" borderId="0" applyNumberFormat="0" applyBorder="0" applyAlignment="0" applyProtection="0"/>
    <xf numFmtId="0" fontId="6" fillId="21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25" applyNumberFormat="0" applyFill="0" applyAlignment="0" applyProtection="0"/>
    <xf numFmtId="0" fontId="35" fillId="10" borderId="0" applyNumberFormat="0" applyBorder="0" applyAlignment="0" applyProtection="0"/>
    <xf numFmtId="0" fontId="45" fillId="22" borderId="0" applyNumberFormat="0" applyBorder="0" applyAlignment="0" applyProtection="0"/>
    <xf numFmtId="5" fontId="7" fillId="0" borderId="0" applyFill="0" applyBorder="0" applyAlignment="0" applyProtection="0"/>
    <xf numFmtId="0" fontId="46" fillId="30" borderId="0" applyNumberFormat="0" applyBorder="0" applyAlignment="0" applyProtection="0"/>
    <xf numFmtId="0" fontId="6" fillId="21" borderId="0" applyNumberFormat="0" applyBorder="0" applyAlignment="0" applyProtection="0"/>
    <xf numFmtId="0" fontId="7" fillId="0" borderId="25" applyNumberFormat="0" applyFill="0" applyAlignment="0" applyProtection="0"/>
    <xf numFmtId="0" fontId="7" fillId="0" borderId="25" applyNumberFormat="0" applyFill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22" borderId="0" applyNumberFormat="0" applyBorder="0" applyAlignment="0" applyProtection="0"/>
    <xf numFmtId="5" fontId="7" fillId="0" borderId="0" applyFill="0" applyBorder="0" applyAlignment="0" applyProtection="0"/>
    <xf numFmtId="0" fontId="6" fillId="21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10" fillId="44" borderId="23" applyNumberFormat="0" applyProtection="0">
      <alignment horizontal="left" vertical="center" indent="1"/>
    </xf>
    <xf numFmtId="4" fontId="10" fillId="0" borderId="23" applyNumberFormat="0" applyProtection="0">
      <alignment horizontal="left" vertical="center" indent="1"/>
    </xf>
    <xf numFmtId="0" fontId="70" fillId="0" borderId="0"/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10" fillId="44" borderId="23" applyNumberFormat="0" applyProtection="0">
      <alignment horizontal="left" vertical="center" indent="1"/>
    </xf>
    <xf numFmtId="9" fontId="6" fillId="0" borderId="0" applyFont="0" applyFill="0" applyBorder="0" applyAlignment="0" applyProtection="0"/>
    <xf numFmtId="0" fontId="7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10" fillId="44" borderId="23" applyNumberFormat="0" applyProtection="0">
      <alignment horizontal="left" vertical="center" indent="1"/>
    </xf>
    <xf numFmtId="4" fontId="10" fillId="0" borderId="23" applyNumberFormat="0" applyProtection="0">
      <alignment horizontal="left" vertical="center" indent="1"/>
    </xf>
    <xf numFmtId="0" fontId="70" fillId="0" borderId="0"/>
    <xf numFmtId="4" fontId="10" fillId="0" borderId="23" applyNumberFormat="0" applyProtection="0">
      <alignment horizontal="left" vertical="center" indent="1"/>
    </xf>
    <xf numFmtId="9" fontId="6" fillId="0" borderId="0" applyFont="0" applyFill="0" applyBorder="0" applyAlignment="0" applyProtection="0"/>
    <xf numFmtId="4" fontId="10" fillId="0" borderId="23" applyNumberFormat="0" applyProtection="0">
      <alignment horizontal="left" vertical="center" indent="1"/>
    </xf>
    <xf numFmtId="43" fontId="7" fillId="0" borderId="0" applyFont="0" applyFill="0" applyBorder="0" applyAlignment="0" applyProtection="0"/>
    <xf numFmtId="4" fontId="10" fillId="44" borderId="23" applyNumberFormat="0" applyProtection="0">
      <alignment horizontal="left" vertical="center" indent="1"/>
    </xf>
    <xf numFmtId="9" fontId="6" fillId="0" borderId="0" applyFont="0" applyFill="0" applyBorder="0" applyAlignment="0" applyProtection="0"/>
    <xf numFmtId="0" fontId="70" fillId="0" borderId="0"/>
    <xf numFmtId="0" fontId="7" fillId="0" borderId="0"/>
    <xf numFmtId="43" fontId="7" fillId="0" borderId="0" applyFont="0" applyFill="0" applyBorder="0" applyAlignment="0" applyProtection="0"/>
    <xf numFmtId="4" fontId="10" fillId="44" borderId="23" applyNumberFormat="0" applyProtection="0">
      <alignment horizontal="left" vertical="center" indent="1"/>
    </xf>
    <xf numFmtId="9" fontId="6" fillId="0" borderId="0" applyFont="0" applyFill="0" applyBorder="0" applyAlignment="0" applyProtection="0"/>
    <xf numFmtId="0" fontId="70" fillId="0" borderId="0"/>
    <xf numFmtId="43" fontId="7" fillId="0" borderId="0" applyFont="0" applyFill="0" applyBorder="0" applyAlignment="0" applyProtection="0"/>
    <xf numFmtId="4" fontId="10" fillId="44" borderId="23" applyNumberFormat="0" applyProtection="0">
      <alignment horizontal="left" vertical="center" indent="1"/>
    </xf>
    <xf numFmtId="0" fontId="70" fillId="0" borderId="0"/>
    <xf numFmtId="0" fontId="7" fillId="0" borderId="0"/>
    <xf numFmtId="4" fontId="11" fillId="5" borderId="23" applyNumberFormat="0" applyProtection="0">
      <alignment vertical="center"/>
    </xf>
    <xf numFmtId="4" fontId="11" fillId="4" borderId="23" applyNumberFormat="0" applyProtection="0">
      <alignment horizontal="left" vertical="center" indent="1"/>
    </xf>
    <xf numFmtId="4" fontId="11" fillId="3" borderId="23" applyNumberFormat="0" applyProtection="0"/>
    <xf numFmtId="4" fontId="10" fillId="0" borderId="23" applyNumberFormat="0" applyProtection="0">
      <alignment horizontal="right" vertical="center"/>
    </xf>
    <xf numFmtId="4" fontId="10" fillId="0" borderId="23" applyNumberFormat="0" applyProtection="0">
      <alignment horizontal="left" vertical="center" indent="1"/>
    </xf>
    <xf numFmtId="0" fontId="10" fillId="3" borderId="23" applyNumberFormat="0" applyProtection="0">
      <alignment horizontal="left" vertical="top"/>
    </xf>
    <xf numFmtId="4" fontId="10" fillId="44" borderId="42" applyNumberFormat="0" applyProtection="0">
      <alignment horizontal="left" vertical="center" indent="1"/>
    </xf>
    <xf numFmtId="43" fontId="7" fillId="0" borderId="0" applyFont="0" applyFill="0" applyBorder="0" applyAlignment="0" applyProtection="0"/>
    <xf numFmtId="0" fontId="6" fillId="0" borderId="0"/>
    <xf numFmtId="0" fontId="66" fillId="0" borderId="0"/>
    <xf numFmtId="4" fontId="66" fillId="0" borderId="0" applyFont="0" applyFill="0" applyBorder="0" applyAlignment="0" applyProtection="0"/>
    <xf numFmtId="0" fontId="70" fillId="0" borderId="0"/>
    <xf numFmtId="9" fontId="6" fillId="0" borderId="0" applyFont="0" applyFill="0" applyBorder="0" applyAlignment="0" applyProtection="0"/>
    <xf numFmtId="0" fontId="66" fillId="0" borderId="0"/>
    <xf numFmtId="43" fontId="7" fillId="0" borderId="0" applyFont="0" applyFill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0" borderId="42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3" fontId="7" fillId="0" borderId="0" applyFont="0" applyFill="0" applyBorder="0" applyAlignment="0" applyProtection="0"/>
    <xf numFmtId="4" fontId="10" fillId="0" borderId="43" applyNumberFormat="0" applyProtection="0">
      <alignment horizontal="left" vertical="center" indent="1"/>
    </xf>
    <xf numFmtId="43" fontId="7" fillId="0" borderId="0" applyFont="0" applyFill="0" applyBorder="0" applyAlignment="0" applyProtection="0"/>
    <xf numFmtId="0" fontId="70" fillId="0" borderId="0"/>
    <xf numFmtId="0" fontId="7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0" fillId="44" borderId="43" applyNumberFormat="0" applyProtection="0">
      <alignment horizontal="left" vertical="center" indent="1"/>
    </xf>
    <xf numFmtId="0" fontId="70" fillId="0" borderId="0"/>
    <xf numFmtId="4" fontId="10" fillId="44" borderId="42" applyNumberFormat="0" applyProtection="0">
      <alignment horizontal="left" vertical="center" indent="1"/>
    </xf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10" fillId="0" borderId="43" applyNumberFormat="0" applyProtection="0">
      <alignment horizontal="left" vertical="center" indent="1"/>
    </xf>
    <xf numFmtId="43" fontId="7" fillId="0" borderId="0" applyFont="0" applyFill="0" applyBorder="0" applyAlignment="0" applyProtection="0"/>
    <xf numFmtId="4" fontId="10" fillId="0" borderId="42" applyNumberFormat="0" applyProtection="0">
      <alignment horizontal="left" vertical="center" indent="1"/>
    </xf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0" fillId="0" borderId="0"/>
    <xf numFmtId="9" fontId="6" fillId="0" borderId="0" applyFont="0" applyFill="0" applyBorder="0" applyAlignment="0" applyProtection="0"/>
    <xf numFmtId="4" fontId="10" fillId="44" borderId="42" applyNumberFormat="0" applyProtection="0">
      <alignment horizontal="left" vertical="center" indent="1"/>
    </xf>
    <xf numFmtId="4" fontId="10" fillId="44" borderId="42" applyNumberFormat="0" applyProtection="0">
      <alignment horizontal="left" vertical="center" indent="1"/>
    </xf>
    <xf numFmtId="43" fontId="7" fillId="0" borderId="0" applyFont="0" applyFill="0" applyBorder="0" applyAlignment="0" applyProtection="0"/>
    <xf numFmtId="4" fontId="10" fillId="0" borderId="42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2" applyNumberFormat="0" applyProtection="0">
      <alignment horizontal="left" vertical="center" indent="1"/>
    </xf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0" fillId="44" borderId="42" applyNumberFormat="0" applyProtection="0">
      <alignment horizontal="left" vertical="center" indent="1"/>
    </xf>
    <xf numFmtId="0" fontId="70" fillId="0" borderId="0"/>
    <xf numFmtId="0" fontId="70" fillId="0" borderId="0"/>
    <xf numFmtId="0" fontId="70" fillId="0" borderId="0"/>
    <xf numFmtId="4" fontId="10" fillId="0" borderId="42" applyNumberFormat="0" applyProtection="0">
      <alignment horizontal="left" vertical="center" indent="1"/>
    </xf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" fontId="10" fillId="0" borderId="43" applyNumberFormat="0" applyProtection="0">
      <alignment horizontal="left" vertical="center" indent="1"/>
    </xf>
    <xf numFmtId="4" fontId="11" fillId="3" borderId="43" applyNumberFormat="0" applyProtection="0"/>
    <xf numFmtId="0" fontId="10" fillId="3" borderId="43" applyNumberFormat="0" applyProtection="0">
      <alignment horizontal="left" vertical="top"/>
    </xf>
    <xf numFmtId="4" fontId="10" fillId="0" borderId="43" applyNumberFormat="0" applyProtection="0">
      <alignment horizontal="right" vertical="center"/>
    </xf>
    <xf numFmtId="4" fontId="11" fillId="4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0" fillId="0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1" fillId="4" borderId="43" applyNumberFormat="0" applyProtection="0">
      <alignment horizontal="left" vertical="center" indent="1"/>
    </xf>
    <xf numFmtId="4" fontId="11" fillId="3" borderId="43" applyNumberFormat="0" applyProtection="0"/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4" fontId="10" fillId="0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1" fillId="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1" fillId="3" borderId="43" applyNumberForma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0" fontId="10" fillId="3" borderId="43" applyNumberFormat="0" applyProtection="0">
      <alignment horizontal="left" vertical="top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0" fontId="10" fillId="3" borderId="43" applyNumberFormat="0" applyProtection="0">
      <alignment horizontal="left" vertical="top"/>
    </xf>
    <xf numFmtId="10" fontId="39" fillId="42" borderId="48" applyNumberFormat="0" applyBorder="0" applyAlignment="0" applyProtection="0"/>
    <xf numFmtId="0" fontId="10" fillId="3" borderId="43" applyNumberFormat="0" applyProtection="0">
      <alignment horizontal="left" vertical="top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0" fontId="10" fillId="3" borderId="43" applyNumberFormat="0" applyProtection="0">
      <alignment horizontal="left" vertical="top"/>
    </xf>
    <xf numFmtId="4" fontId="10" fillId="44" borderId="43" applyNumberFormat="0" applyProtection="0">
      <alignment horizontal="left" vertical="center" indent="1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right" vertical="center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1" fillId="3" borderId="43" applyNumberFormat="0" applyProtection="0"/>
    <xf numFmtId="4" fontId="10" fillId="0" borderId="43" applyNumberFormat="0" applyProtection="0">
      <alignment horizontal="left" vertical="center" indent="1"/>
    </xf>
    <xf numFmtId="4" fontId="11" fillId="3" borderId="43" applyNumberFormat="0" applyProtection="0"/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1" fillId="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1" fillId="3" borderId="43" applyNumberFormat="0" applyProtection="0"/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0" fontId="10" fillId="3" borderId="43" applyNumberFormat="0" applyProtection="0">
      <alignment horizontal="left" vertical="top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1" fillId="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0" fontId="10" fillId="3" borderId="43" applyNumberFormat="0" applyProtection="0">
      <alignment horizontal="left" vertical="top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1" fillId="3" borderId="43" applyNumberFormat="0" applyProtection="0"/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4" fontId="10" fillId="44" borderId="43" applyNumberFormat="0" applyProtection="0">
      <alignment horizontal="left" vertical="center" indent="1"/>
    </xf>
    <xf numFmtId="38" fontId="10" fillId="0" borderId="47" applyFill="0" applyBorder="0" applyAlignment="0" applyProtection="0">
      <protection locked="0"/>
    </xf>
    <xf numFmtId="4" fontId="10" fillId="0" borderId="43" applyNumberFormat="0" applyProtection="0">
      <alignment horizontal="left" vertical="center" indent="1"/>
    </xf>
    <xf numFmtId="38" fontId="10" fillId="0" borderId="47" applyFill="0" applyBorder="0" applyAlignment="0" applyProtection="0">
      <protection locked="0"/>
    </xf>
    <xf numFmtId="4" fontId="10" fillId="0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4" fontId="11" fillId="3" borderId="43" applyNumberFormat="0" applyProtection="0"/>
    <xf numFmtId="4" fontId="11" fillId="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4" fontId="11" fillId="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1" fillId="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right" vertical="center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0" fontId="10" fillId="3" borderId="43" applyNumberFormat="0" applyProtection="0">
      <alignment horizontal="left" vertical="top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1" fillId="5" borderId="43" applyNumberFormat="0" applyProtection="0">
      <alignment vertical="center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0" fontId="10" fillId="3" borderId="43" applyNumberFormat="0" applyProtection="0">
      <alignment horizontal="left" vertical="top"/>
    </xf>
    <xf numFmtId="4" fontId="11" fillId="5" borderId="43" applyNumberFormat="0" applyProtection="0">
      <alignment vertical="center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1" fillId="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1" fillId="4" borderId="43" applyNumberFormat="0" applyProtection="0">
      <alignment horizontal="left" vertical="center" indent="1"/>
    </xf>
    <xf numFmtId="4" fontId="11" fillId="3" borderId="43" applyNumberForma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0" fontId="10" fillId="3" borderId="43" applyNumberFormat="0" applyProtection="0">
      <alignment horizontal="left" vertical="top"/>
    </xf>
    <xf numFmtId="10" fontId="39" fillId="42" borderId="48" applyNumberFormat="0" applyBorder="0" applyAlignment="0" applyProtection="0"/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1" fillId="3" borderId="43" applyNumberFormat="0" applyProtection="0"/>
    <xf numFmtId="4" fontId="10" fillId="0" borderId="43" applyNumberFormat="0" applyProtection="0">
      <alignment horizontal="right" vertical="center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1" fillId="3" borderId="43" applyNumberFormat="0" applyProtection="0"/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1" fillId="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1" fillId="3" borderId="43" applyNumberFormat="0" applyProtection="0"/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right" vertical="center"/>
    </xf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38" fontId="10" fillId="0" borderId="47" applyFill="0" applyBorder="0" applyAlignment="0" applyProtection="0">
      <protection locked="0"/>
    </xf>
    <xf numFmtId="4" fontId="11" fillId="3" borderId="43" applyNumberFormat="0" applyProtection="0"/>
    <xf numFmtId="4" fontId="10" fillId="0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1" fillId="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right" vertical="center"/>
    </xf>
    <xf numFmtId="10" fontId="39" fillId="42" borderId="48" applyNumberFormat="0" applyBorder="0" applyAlignment="0" applyProtection="0"/>
    <xf numFmtId="4" fontId="11" fillId="4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4" fontId="11" fillId="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1" fillId="5" borderId="43" applyNumberFormat="0" applyProtection="0">
      <alignment vertical="center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1" fillId="3" borderId="43" applyNumberFormat="0" applyProtection="0"/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1" fillId="5" borderId="43" applyNumberFormat="0" applyProtection="0">
      <alignment vertical="center"/>
    </xf>
    <xf numFmtId="4" fontId="11" fillId="5" borderId="43" applyNumberFormat="0" applyProtection="0">
      <alignment vertical="center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right" vertical="center"/>
    </xf>
    <xf numFmtId="0" fontId="10" fillId="3" borderId="43" applyNumberFormat="0" applyProtection="0">
      <alignment horizontal="left" vertical="top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right" vertical="center"/>
    </xf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1" fillId="3" borderId="43" applyNumberFormat="0" applyProtection="0"/>
    <xf numFmtId="4" fontId="10" fillId="0" borderId="43" applyNumberFormat="0" applyProtection="0">
      <alignment horizontal="right" vertical="center"/>
    </xf>
    <xf numFmtId="10" fontId="39" fillId="42" borderId="48" applyNumberFormat="0" applyBorder="0" applyAlignment="0" applyProtection="0"/>
    <xf numFmtId="4" fontId="11" fillId="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1" fillId="4" borderId="43" applyNumberFormat="0" applyProtection="0">
      <alignment horizontal="left" vertical="center" indent="1"/>
    </xf>
    <xf numFmtId="4" fontId="10" fillId="0" borderId="43" applyNumberFormat="0" applyProtection="0">
      <alignment horizontal="right" vertical="center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right" vertical="center"/>
    </xf>
    <xf numFmtId="4" fontId="11" fillId="3" borderId="43" applyNumberForma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right" vertical="center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1" fillId="4" borderId="43" applyNumberFormat="0" applyProtection="0">
      <alignment horizontal="left" vertical="center" indent="1"/>
    </xf>
    <xf numFmtId="4" fontId="11" fillId="3" borderId="43" applyNumberFormat="0" applyProtection="0"/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1" fillId="4" borderId="43" applyNumberFormat="0" applyProtection="0">
      <alignment horizontal="left" vertical="center" indent="1"/>
    </xf>
    <xf numFmtId="4" fontId="11" fillId="3" borderId="43" applyNumberFormat="0" applyProtection="0"/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1" fillId="4" borderId="43" applyNumberFormat="0" applyProtection="0">
      <alignment horizontal="left" vertical="center" indent="1"/>
    </xf>
    <xf numFmtId="4" fontId="11" fillId="3" borderId="43" applyNumberFormat="0" applyProtection="0"/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1" fillId="4" borderId="43" applyNumberFormat="0" applyProtection="0">
      <alignment horizontal="left" vertical="center" indent="1"/>
    </xf>
    <xf numFmtId="4" fontId="11" fillId="3" borderId="43" applyNumberFormat="0" applyProtection="0"/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1" fillId="4" borderId="43" applyNumberFormat="0" applyProtection="0">
      <alignment horizontal="left" vertical="center" indent="1"/>
    </xf>
    <xf numFmtId="4" fontId="11" fillId="3" borderId="43" applyNumberFormat="0" applyProtection="0"/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1" fillId="4" borderId="43" applyNumberFormat="0" applyProtection="0">
      <alignment horizontal="left" vertical="center" indent="1"/>
    </xf>
    <xf numFmtId="4" fontId="11" fillId="3" borderId="43" applyNumberFormat="0" applyProtection="0"/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10" fontId="39" fillId="42" borderId="48" applyNumberFormat="0" applyBorder="0" applyAlignment="0" applyProtection="0"/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1" fillId="4" borderId="43" applyNumberFormat="0" applyProtection="0">
      <alignment horizontal="left" vertical="center" indent="1"/>
    </xf>
    <xf numFmtId="4" fontId="11" fillId="3" borderId="43" applyNumberFormat="0" applyProtection="0"/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1" fillId="5" borderId="43" applyNumberFormat="0" applyProtection="0">
      <alignment vertical="center"/>
    </xf>
    <xf numFmtId="4" fontId="11" fillId="4" borderId="43" applyNumberFormat="0" applyProtection="0">
      <alignment horizontal="left" vertical="center" indent="1"/>
    </xf>
    <xf numFmtId="4" fontId="11" fillId="3" borderId="43" applyNumberFormat="0" applyProtection="0"/>
    <xf numFmtId="4" fontId="10" fillId="0" borderId="43" applyNumberFormat="0" applyProtection="0">
      <alignment horizontal="right" vertical="center"/>
    </xf>
    <xf numFmtId="4" fontId="10" fillId="0" borderId="43" applyNumberFormat="0" applyProtection="0">
      <alignment horizontal="left" vertical="center" indent="1"/>
    </xf>
    <xf numFmtId="0" fontId="10" fillId="3" borderId="43" applyNumberFormat="0" applyProtection="0">
      <alignment horizontal="left" vertical="top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" fontId="10" fillId="44" borderId="43" applyNumberFormat="0" applyProtection="0">
      <alignment horizontal="left" vertical="center" indent="1"/>
    </xf>
    <xf numFmtId="4" fontId="10" fillId="0" borderId="43" applyNumberFormat="0" applyProtection="0">
      <alignment horizontal="left" vertical="center" indent="1"/>
    </xf>
    <xf numFmtId="43" fontId="6" fillId="0" borderId="0" applyFont="0" applyFill="0" applyBorder="0" applyAlignment="0" applyProtection="0"/>
    <xf numFmtId="4" fontId="11" fillId="3" borderId="57" applyNumberFormat="0" applyProtection="0"/>
    <xf numFmtId="0" fontId="10" fillId="3" borderId="57" applyNumberFormat="0" applyProtection="0">
      <alignment horizontal="left" vertical="top"/>
    </xf>
    <xf numFmtId="4" fontId="10" fillId="0" borderId="57" applyNumberFormat="0" applyProtection="0">
      <alignment horizontal="left" vertical="center" indent="1"/>
    </xf>
    <xf numFmtId="4" fontId="10" fillId="0" borderId="57" applyNumberFormat="0" applyProtection="0">
      <alignment horizontal="right" vertical="center"/>
    </xf>
    <xf numFmtId="4" fontId="11" fillId="4" borderId="57" applyNumberFormat="0" applyProtection="0">
      <alignment horizontal="left" vertical="center" indent="1"/>
    </xf>
    <xf numFmtId="4" fontId="11" fillId="5" borderId="57" applyNumberFormat="0" applyProtection="0">
      <alignment vertical="center"/>
    </xf>
    <xf numFmtId="4" fontId="11" fillId="5" borderId="57" applyNumberFormat="0" applyProtection="0">
      <alignment vertical="center"/>
    </xf>
    <xf numFmtId="4" fontId="11" fillId="4" borderId="57" applyNumberFormat="0" applyProtection="0">
      <alignment horizontal="left" vertical="center" indent="1"/>
    </xf>
    <xf numFmtId="4" fontId="11" fillId="3" borderId="57" applyNumberFormat="0" applyProtection="0"/>
    <xf numFmtId="4" fontId="10" fillId="0" borderId="57" applyNumberFormat="0" applyProtection="0">
      <alignment horizontal="right" vertical="center"/>
    </xf>
    <xf numFmtId="4" fontId="10" fillId="0" borderId="57" applyNumberFormat="0" applyProtection="0">
      <alignment horizontal="left" vertical="center" indent="1"/>
    </xf>
    <xf numFmtId="0" fontId="10" fillId="3" borderId="57" applyNumberFormat="0" applyProtection="0">
      <alignment horizontal="left" vertical="top"/>
    </xf>
    <xf numFmtId="171" fontId="7" fillId="0" borderId="53">
      <alignment horizontal="justify" vertical="top" wrapText="1"/>
    </xf>
    <xf numFmtId="4" fontId="10" fillId="0" borderId="57" applyNumberFormat="0" applyProtection="0">
      <alignment horizontal="left" vertical="center" inden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0" fontId="48" fillId="39" borderId="59" applyNumberFormat="0" applyAlignment="0" applyProtection="0"/>
    <xf numFmtId="0" fontId="45" fillId="23" borderId="61" applyNumberFormat="0" applyFont="0" applyAlignment="0" applyProtection="0"/>
    <xf numFmtId="0" fontId="40" fillId="0" borderId="60"/>
    <xf numFmtId="0" fontId="53" fillId="25" borderId="59" applyNumberFormat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0" fontId="41" fillId="43" borderId="60"/>
    <xf numFmtId="0" fontId="45" fillId="23" borderId="61" applyNumberFormat="0" applyFont="0" applyAlignment="0" applyProtection="0"/>
    <xf numFmtId="171" fontId="7" fillId="0" borderId="53">
      <alignment horizontal="justify" vertical="top" wrapText="1"/>
    </xf>
    <xf numFmtId="0" fontId="40" fillId="0" borderId="60"/>
    <xf numFmtId="0" fontId="41" fillId="0" borderId="60"/>
    <xf numFmtId="0" fontId="48" fillId="39" borderId="59" applyNumberFormat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0" fontId="40" fillId="0" borderId="63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0" fontId="41" fillId="43" borderId="63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58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0" fontId="39" fillId="42" borderId="58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58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58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58" applyNumberFormat="0" applyBorder="0" applyAlignment="0" applyProtection="0"/>
    <xf numFmtId="171" fontId="7" fillId="0" borderId="53">
      <alignment horizontal="justify" vertical="top" wrapText="1"/>
    </xf>
    <xf numFmtId="4" fontId="10" fillId="0" borderId="57" applyNumberFormat="0" applyProtection="0">
      <alignment horizontal="left" vertical="center" inden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58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58" applyNumberFormat="0" applyBorder="0" applyAlignment="0" applyProtection="0"/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0" fontId="40" fillId="0" borderId="63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58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58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0" fontId="53" fillId="25" borderId="59" applyNumberFormat="0" applyAlignment="0" applyProtection="0"/>
    <xf numFmtId="0" fontId="41" fillId="0" borderId="63"/>
    <xf numFmtId="0" fontId="45" fillId="23" borderId="61" applyNumberFormat="0" applyFont="0" applyAlignment="0" applyProtection="0"/>
    <xf numFmtId="171" fontId="7" fillId="0" borderId="53">
      <alignment horizontal="justify" vertical="top" wrapText="1"/>
    </xf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0" fontId="48" fillId="39" borderId="59" applyNumberFormat="0" applyAlignment="0" applyProtection="0"/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0" fontId="53" fillId="25" borderId="59" applyNumberFormat="0" applyAlignment="0" applyProtection="0"/>
    <xf numFmtId="10" fontId="39" fillId="42" borderId="62" applyNumberFormat="0" applyBorder="0" applyAlignment="0" applyProtection="0"/>
    <xf numFmtId="0" fontId="53" fillId="25" borderId="59" applyNumberFormat="0" applyAlignment="0" applyProtection="0"/>
    <xf numFmtId="0" fontId="45" fillId="23" borderId="61" applyNumberFormat="0" applyFont="0" applyAlignment="0" applyProtection="0"/>
    <xf numFmtId="171" fontId="7" fillId="0" borderId="53">
      <alignment horizontal="justify" vertical="top" wrapText="1"/>
    </xf>
    <xf numFmtId="0" fontId="45" fillId="23" borderId="61" applyNumberFormat="0" applyFont="0" applyAlignment="0" applyProtection="0"/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0" fontId="48" fillId="39" borderId="59" applyNumberFormat="0" applyAlignment="0" applyProtection="0"/>
    <xf numFmtId="0" fontId="53" fillId="25" borderId="59" applyNumberFormat="0" applyAlignment="0" applyProtection="0"/>
    <xf numFmtId="0" fontId="48" fillId="39" borderId="59" applyNumberFormat="0" applyAlignment="0" applyProtection="0"/>
    <xf numFmtId="0" fontId="53" fillId="25" borderId="59" applyNumberFormat="0" applyAlignment="0" applyProtection="0"/>
    <xf numFmtId="0" fontId="48" fillId="39" borderId="59" applyNumberFormat="0" applyAlignment="0" applyProtection="0"/>
    <xf numFmtId="10" fontId="39" fillId="42" borderId="62" applyNumberFormat="0" applyBorder="0" applyAlignment="0" applyProtection="0"/>
    <xf numFmtId="0" fontId="48" fillId="39" borderId="59" applyNumberFormat="0" applyAlignment="0" applyProtection="0"/>
    <xf numFmtId="0" fontId="45" fillId="23" borderId="61" applyNumberFormat="0" applyFont="0" applyAlignment="0" applyProtection="0"/>
    <xf numFmtId="10" fontId="39" fillId="42" borderId="62" applyNumberFormat="0" applyBorder="0" applyAlignment="0" applyProtection="0"/>
    <xf numFmtId="171" fontId="7" fillId="0" borderId="53">
      <alignment horizontal="justify" vertical="top" wrapText="1"/>
    </xf>
    <xf numFmtId="0" fontId="48" fillId="39" borderId="59" applyNumberFormat="0" applyAlignment="0" applyProtection="0"/>
    <xf numFmtId="0" fontId="45" fillId="23" borderId="61" applyNumberFormat="0" applyFont="0" applyAlignment="0" applyProtection="0"/>
    <xf numFmtId="0" fontId="48" fillId="39" borderId="59" applyNumberFormat="0" applyAlignment="0" applyProtection="0"/>
    <xf numFmtId="171" fontId="7" fillId="0" borderId="53">
      <alignment horizontal="justify" vertical="top" wrapText="1"/>
    </xf>
    <xf numFmtId="0" fontId="45" fillId="23" borderId="61" applyNumberFormat="0" applyFont="0" applyAlignment="0" applyProtection="0"/>
    <xf numFmtId="0" fontId="48" fillId="39" borderId="59" applyNumberFormat="0" applyAlignment="0" applyProtection="0"/>
    <xf numFmtId="171" fontId="7" fillId="0" borderId="53">
      <alignment horizontal="justify" vertical="top" wrapText="1"/>
    </xf>
    <xf numFmtId="0" fontId="53" fillId="25" borderId="59" applyNumberFormat="0" applyAlignment="0" applyProtection="0"/>
    <xf numFmtId="0" fontId="45" fillId="23" borderId="61" applyNumberFormat="0" applyFont="0" applyAlignment="0" applyProtection="0"/>
    <xf numFmtId="0" fontId="53" fillId="25" borderId="59" applyNumberFormat="0" applyAlignment="0" applyProtection="0"/>
    <xf numFmtId="0" fontId="45" fillId="23" borderId="61" applyNumberFormat="0" applyFont="0" applyAlignment="0" applyProtection="0"/>
    <xf numFmtId="0" fontId="53" fillId="25" borderId="59" applyNumberFormat="0" applyAlignment="0" applyProtection="0"/>
    <xf numFmtId="171" fontId="7" fillId="0" borderId="53">
      <alignment horizontal="justify" vertical="top" wrapText="1"/>
    </xf>
    <xf numFmtId="10" fontId="39" fillId="42" borderId="62" applyNumberFormat="0" applyBorder="0" applyAlignment="0" applyProtection="0"/>
    <xf numFmtId="0" fontId="45" fillId="23" borderId="61" applyNumberFormat="0" applyFont="0" applyAlignment="0" applyProtection="0"/>
    <xf numFmtId="0" fontId="48" fillId="39" borderId="59" applyNumberFormat="0" applyAlignment="0" applyProtection="0"/>
    <xf numFmtId="0" fontId="53" fillId="25" borderId="59" applyNumberFormat="0" applyAlignment="0" applyProtection="0"/>
    <xf numFmtId="10" fontId="39" fillId="42" borderId="62" applyNumberFormat="0" applyBorder="0" applyAlignment="0" applyProtection="0"/>
    <xf numFmtId="0" fontId="53" fillId="25" borderId="59" applyNumberFormat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4" fontId="10" fillId="44" borderId="57" applyNumberFormat="0" applyProtection="0">
      <alignment horizontal="left" vertical="center" indent="1"/>
    </xf>
    <xf numFmtId="4" fontId="10" fillId="0" borderId="57" applyNumberFormat="0" applyProtection="0">
      <alignment horizontal="left" vertical="center" indent="1"/>
    </xf>
    <xf numFmtId="4" fontId="10" fillId="44" borderId="57" applyNumberFormat="0" applyProtection="0">
      <alignment horizontal="left" vertical="center" indent="1"/>
    </xf>
    <xf numFmtId="4" fontId="10" fillId="44" borderId="57" applyNumberFormat="0" applyProtection="0">
      <alignment horizontal="left" vertical="center" indent="1"/>
    </xf>
    <xf numFmtId="4" fontId="10" fillId="0" borderId="57" applyNumberFormat="0" applyProtection="0">
      <alignment horizontal="left" vertical="center" indent="1"/>
    </xf>
    <xf numFmtId="4" fontId="10" fillId="0" borderId="57" applyNumberFormat="0" applyProtection="0">
      <alignment horizontal="left" vertical="center" indent="1"/>
    </xf>
    <xf numFmtId="4" fontId="10" fillId="0" borderId="57" applyNumberFormat="0" applyProtection="0">
      <alignment horizontal="left" vertical="center" indent="1"/>
    </xf>
    <xf numFmtId="4" fontId="10" fillId="44" borderId="57" applyNumberFormat="0" applyProtection="0">
      <alignment horizontal="left" vertical="center" indent="1"/>
    </xf>
    <xf numFmtId="4" fontId="10" fillId="44" borderId="57" applyNumberFormat="0" applyProtection="0">
      <alignment horizontal="left" vertical="center" indent="1"/>
    </xf>
    <xf numFmtId="4" fontId="10" fillId="44" borderId="57" applyNumberFormat="0" applyProtection="0">
      <alignment horizontal="left" vertical="center" indent="1"/>
    </xf>
    <xf numFmtId="4" fontId="11" fillId="5" borderId="57" applyNumberFormat="0" applyProtection="0">
      <alignment vertical="center"/>
    </xf>
    <xf numFmtId="4" fontId="11" fillId="4" borderId="57" applyNumberFormat="0" applyProtection="0">
      <alignment horizontal="left" vertical="center" indent="1"/>
    </xf>
    <xf numFmtId="4" fontId="11" fillId="3" borderId="57" applyNumberFormat="0" applyProtection="0"/>
    <xf numFmtId="4" fontId="10" fillId="0" borderId="57" applyNumberFormat="0" applyProtection="0">
      <alignment horizontal="right" vertical="center"/>
    </xf>
    <xf numFmtId="4" fontId="10" fillId="0" borderId="57" applyNumberFormat="0" applyProtection="0">
      <alignment horizontal="left" vertical="center" indent="1"/>
    </xf>
    <xf numFmtId="0" fontId="10" fillId="3" borderId="57" applyNumberFormat="0" applyProtection="0">
      <alignment horizontal="left" vertical="top"/>
    </xf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62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58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10" fontId="39" fillId="42" borderId="62" applyNumberFormat="0" applyBorder="0" applyAlignment="0" applyProtection="0"/>
    <xf numFmtId="0" fontId="7" fillId="0" borderId="0"/>
    <xf numFmtId="0" fontId="93" fillId="47" borderId="0" applyNumberFormat="0" applyBorder="0" applyAlignment="0" applyProtection="0"/>
    <xf numFmtId="0" fontId="48" fillId="39" borderId="96" applyNumberFormat="0" applyAlignment="0" applyProtection="0"/>
    <xf numFmtId="43" fontId="7" fillId="0" borderId="0" applyFont="0" applyFill="0" applyBorder="0" applyAlignment="0" applyProtection="0"/>
    <xf numFmtId="176" fontId="7" fillId="0" borderId="0"/>
    <xf numFmtId="176" fontId="7" fillId="0" borderId="0"/>
    <xf numFmtId="176" fontId="7" fillId="0" borderId="0"/>
    <xf numFmtId="176" fontId="7" fillId="0" borderId="0"/>
    <xf numFmtId="176" fontId="7" fillId="0" borderId="0"/>
    <xf numFmtId="176" fontId="7" fillId="0" borderId="0"/>
    <xf numFmtId="176" fontId="7" fillId="0" borderId="0"/>
    <xf numFmtId="176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69" fillId="0" borderId="0" applyFont="0" applyFill="0" applyBorder="0" applyAlignment="0" applyProtection="0"/>
    <xf numFmtId="178" fontId="82" fillId="0" borderId="0" applyFont="0" applyFill="0" applyBorder="0" applyProtection="0">
      <alignment horizontal="right"/>
    </xf>
    <xf numFmtId="172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80" fillId="0" borderId="0" applyFont="0" applyFill="0" applyBorder="0" applyAlignment="0" applyProtection="0"/>
    <xf numFmtId="2" fontId="80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left"/>
    </xf>
    <xf numFmtId="0" fontId="83" fillId="0" borderId="0"/>
    <xf numFmtId="0" fontId="19" fillId="0" borderId="97" applyNumberFormat="0" applyAlignment="0" applyProtection="0">
      <alignment horizontal="left" vertical="center"/>
    </xf>
    <xf numFmtId="0" fontId="19" fillId="0" borderId="98">
      <alignment horizontal="left" vertical="center"/>
    </xf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0" fontId="39" fillId="42" borderId="99" applyNumberFormat="0" applyBorder="0" applyAlignment="0" applyProtection="0"/>
    <xf numFmtId="0" fontId="86" fillId="0" borderId="0" applyNumberFormat="0" applyFill="0" applyBorder="0" applyAlignment="0">
      <protection locked="0"/>
    </xf>
    <xf numFmtId="0" fontId="86" fillId="0" borderId="0" applyNumberFormat="0" applyFill="0" applyBorder="0" applyAlignment="0">
      <protection locked="0"/>
    </xf>
    <xf numFmtId="179" fontId="7" fillId="0" borderId="0"/>
    <xf numFmtId="173" fontId="74" fillId="0" borderId="0" applyNumberFormat="0" applyFill="0" applyBorder="0" applyAlignment="0" applyProtection="0"/>
    <xf numFmtId="37" fontId="22" fillId="0" borderId="0" applyNumberFormat="0" applyFill="0" applyBorder="0"/>
    <xf numFmtId="0" fontId="39" fillId="0" borderId="100" applyNumberFormat="0" applyBorder="0" applyAlignment="0"/>
    <xf numFmtId="180" fontId="7" fillId="0" borderId="0"/>
    <xf numFmtId="0" fontId="8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87" fillId="0" borderId="0"/>
    <xf numFmtId="0" fontId="7" fillId="0" borderId="0"/>
    <xf numFmtId="0" fontId="6" fillId="0" borderId="0"/>
    <xf numFmtId="0" fontId="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41" fontId="7" fillId="0" borderId="0"/>
    <xf numFmtId="41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81" fillId="0" borderId="0"/>
    <xf numFmtId="0" fontId="7" fillId="0" borderId="0"/>
    <xf numFmtId="0" fontId="69" fillId="0" borderId="0"/>
    <xf numFmtId="0" fontId="7" fillId="23" borderId="101" applyNumberFormat="0" applyFont="0" applyAlignment="0" applyProtection="0"/>
    <xf numFmtId="0" fontId="7" fillId="23" borderId="101" applyNumberFormat="0" applyFont="0" applyAlignment="0" applyProtection="0"/>
    <xf numFmtId="0" fontId="6" fillId="8" borderId="21" applyNumberFormat="0" applyFont="0" applyAlignment="0" applyProtection="0"/>
    <xf numFmtId="0" fontId="6" fillId="8" borderId="21" applyNumberFormat="0" applyFont="0" applyAlignment="0" applyProtection="0"/>
    <xf numFmtId="0" fontId="6" fillId="8" borderId="21" applyNumberFormat="0" applyFont="0" applyAlignment="0" applyProtection="0"/>
    <xf numFmtId="0" fontId="6" fillId="8" borderId="21" applyNumberFormat="0" applyFont="0" applyAlignment="0" applyProtection="0"/>
    <xf numFmtId="0" fontId="6" fillId="8" borderId="21" applyNumberFormat="0" applyFont="0" applyAlignment="0" applyProtection="0"/>
    <xf numFmtId="181" fontId="69" fillId="0" borderId="0" applyFont="0" applyFill="0" applyBorder="0" applyProtection="0"/>
    <xf numFmtId="0" fontId="56" fillId="39" borderId="102" applyNumberFormat="0" applyAlignment="0" applyProtection="0"/>
    <xf numFmtId="12" fontId="19" fillId="48" borderId="92">
      <alignment horizontal="left"/>
    </xf>
    <xf numFmtId="9" fontId="7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11" fillId="5" borderId="103" applyNumberFormat="0" applyProtection="0">
      <alignment vertical="center"/>
    </xf>
    <xf numFmtId="4" fontId="88" fillId="4" borderId="103" applyNumberFormat="0" applyProtection="0">
      <alignment vertical="center"/>
    </xf>
    <xf numFmtId="4" fontId="11" fillId="4" borderId="103" applyNumberFormat="0" applyProtection="0">
      <alignment vertical="center"/>
    </xf>
    <xf numFmtId="0" fontId="11" fillId="4" borderId="103" applyNumberFormat="0" applyProtection="0">
      <alignment horizontal="left" vertical="top" indent="1"/>
    </xf>
    <xf numFmtId="4" fontId="11" fillId="3" borderId="0" applyNumberFormat="0" applyProtection="0">
      <alignment horizontal="left" vertical="center" indent="1"/>
    </xf>
    <xf numFmtId="4" fontId="11" fillId="3" borderId="103" applyNumberFormat="0" applyProtection="0"/>
    <xf numFmtId="4" fontId="11" fillId="3" borderId="104" applyNumberFormat="0" applyProtection="0">
      <alignment vertical="center"/>
    </xf>
    <xf numFmtId="4" fontId="10" fillId="20" borderId="103" applyNumberFormat="0" applyProtection="0">
      <alignment horizontal="right" vertical="center"/>
    </xf>
    <xf numFmtId="4" fontId="10" fillId="21" borderId="103" applyNumberFormat="0" applyProtection="0">
      <alignment horizontal="right" vertical="center"/>
    </xf>
    <xf numFmtId="4" fontId="10" fillId="36" borderId="103" applyNumberFormat="0" applyProtection="0">
      <alignment horizontal="right" vertical="center"/>
    </xf>
    <xf numFmtId="4" fontId="10" fillId="28" borderId="103" applyNumberFormat="0" applyProtection="0">
      <alignment horizontal="right" vertical="center"/>
    </xf>
    <xf numFmtId="4" fontId="10" fillId="33" borderId="103" applyNumberFormat="0" applyProtection="0">
      <alignment horizontal="right" vertical="center"/>
    </xf>
    <xf numFmtId="4" fontId="10" fillId="30" borderId="103" applyNumberFormat="0" applyProtection="0">
      <alignment horizontal="right" vertical="center"/>
    </xf>
    <xf numFmtId="4" fontId="10" fillId="37" borderId="103" applyNumberFormat="0" applyProtection="0">
      <alignment horizontal="right" vertical="center"/>
    </xf>
    <xf numFmtId="4" fontId="10" fillId="49" borderId="103" applyNumberFormat="0" applyProtection="0">
      <alignment horizontal="right" vertical="center"/>
    </xf>
    <xf numFmtId="4" fontId="10" fillId="27" borderId="103" applyNumberFormat="0" applyProtection="0">
      <alignment horizontal="right" vertical="center"/>
    </xf>
    <xf numFmtId="4" fontId="10" fillId="13" borderId="0" applyNumberFormat="0" applyProtection="0">
      <alignment horizontal="left" vertical="center" indent="1"/>
    </xf>
    <xf numFmtId="4" fontId="10" fillId="13" borderId="0" applyNumberFormat="0" applyProtection="0">
      <alignment horizontal="left" indent="1"/>
    </xf>
    <xf numFmtId="4" fontId="89" fillId="50" borderId="0" applyNumberFormat="0" applyProtection="0">
      <alignment horizontal="left" vertical="center" indent="1"/>
    </xf>
    <xf numFmtId="4" fontId="10" fillId="51" borderId="103" applyNumberFormat="0" applyProtection="0">
      <alignment horizontal="right" vertical="center"/>
    </xf>
    <xf numFmtId="4" fontId="79" fillId="0" borderId="0" applyNumberFormat="0" applyProtection="0">
      <alignment horizontal="left" vertical="center" indent="1"/>
    </xf>
    <xf numFmtId="4" fontId="90" fillId="52" borderId="0" applyNumberFormat="0" applyProtection="0">
      <alignment horizontal="left" indent="1"/>
    </xf>
    <xf numFmtId="4" fontId="25" fillId="0" borderId="0" applyNumberFormat="0" applyProtection="0">
      <alignment horizontal="left" vertical="center" indent="1"/>
    </xf>
    <xf numFmtId="4" fontId="25" fillId="14" borderId="0" applyNumberFormat="0" applyProtection="0"/>
    <xf numFmtId="0" fontId="7" fillId="50" borderId="103" applyNumberFormat="0" applyProtection="0">
      <alignment horizontal="left" vertical="center" indent="1"/>
    </xf>
    <xf numFmtId="0" fontId="7" fillId="50" borderId="103" applyNumberFormat="0" applyProtection="0">
      <alignment horizontal="left" vertical="top" indent="1"/>
    </xf>
    <xf numFmtId="0" fontId="7" fillId="3" borderId="103" applyNumberFormat="0" applyProtection="0">
      <alignment horizontal="left" vertical="center" indent="1"/>
    </xf>
    <xf numFmtId="0" fontId="7" fillId="3" borderId="103" applyNumberFormat="0" applyProtection="0">
      <alignment horizontal="left" vertical="top" indent="1"/>
    </xf>
    <xf numFmtId="0" fontId="7" fillId="53" borderId="103" applyNumberFormat="0" applyProtection="0">
      <alignment horizontal="left" vertical="center" indent="1"/>
    </xf>
    <xf numFmtId="0" fontId="7" fillId="53" borderId="103" applyNumberFormat="0" applyProtection="0">
      <alignment horizontal="left" vertical="top" indent="1"/>
    </xf>
    <xf numFmtId="0" fontId="7" fillId="54" borderId="103" applyNumberFormat="0" applyProtection="0">
      <alignment horizontal="left" vertical="center" indent="1"/>
    </xf>
    <xf numFmtId="0" fontId="7" fillId="54" borderId="103" applyNumberFormat="0" applyProtection="0">
      <alignment horizontal="left" vertical="top" indent="1"/>
    </xf>
    <xf numFmtId="4" fontId="10" fillId="42" borderId="103" applyNumberFormat="0" applyProtection="0">
      <alignment vertical="center"/>
    </xf>
    <xf numFmtId="4" fontId="91" fillId="42" borderId="103" applyNumberFormat="0" applyProtection="0">
      <alignment vertical="center"/>
    </xf>
    <xf numFmtId="4" fontId="10" fillId="42" borderId="103" applyNumberFormat="0" applyProtection="0">
      <alignment horizontal="left" vertical="center" indent="1"/>
    </xf>
    <xf numFmtId="0" fontId="10" fillId="42" borderId="103" applyNumberFormat="0" applyProtection="0">
      <alignment horizontal="left" vertical="top" indent="1"/>
    </xf>
    <xf numFmtId="4" fontId="10" fillId="44" borderId="105" applyNumberFormat="0" applyProtection="0">
      <alignment horizontal="right" vertical="center"/>
    </xf>
    <xf numFmtId="4" fontId="10" fillId="0" borderId="103" applyNumberFormat="0" applyProtection="0">
      <alignment horizontal="right" vertical="center"/>
    </xf>
    <xf numFmtId="4" fontId="91" fillId="13" borderId="103" applyNumberFormat="0" applyProtection="0">
      <alignment horizontal="right" vertical="center"/>
    </xf>
    <xf numFmtId="4" fontId="10" fillId="0" borderId="103" applyNumberFormat="0" applyProtection="0">
      <alignment horizontal="left" vertical="center" indent="1"/>
    </xf>
    <xf numFmtId="4" fontId="10" fillId="0" borderId="103" applyNumberFormat="0" applyProtection="0">
      <alignment horizontal="left" vertical="center" indent="1"/>
    </xf>
    <xf numFmtId="4" fontId="10" fillId="44" borderId="103" applyNumberFormat="0" applyProtection="0">
      <alignment horizontal="left" vertical="center" indent="1"/>
    </xf>
    <xf numFmtId="0" fontId="10" fillId="3" borderId="103" applyNumberFormat="0" applyProtection="0">
      <alignment horizontal="center" vertical="top"/>
    </xf>
    <xf numFmtId="0" fontId="10" fillId="3" borderId="103" applyNumberFormat="0" applyProtection="0">
      <alignment horizontal="left" vertical="top"/>
    </xf>
    <xf numFmtId="4" fontId="18" fillId="0" borderId="0" applyNumberFormat="0" applyProtection="0">
      <alignment horizontal="left" vertical="center"/>
    </xf>
    <xf numFmtId="4" fontId="77" fillId="55" borderId="0" applyNumberFormat="0" applyProtection="0">
      <alignment horizontal="left"/>
    </xf>
    <xf numFmtId="4" fontId="76" fillId="13" borderId="103" applyNumberFormat="0" applyProtection="0">
      <alignment horizontal="right" vertical="center"/>
    </xf>
    <xf numFmtId="0" fontId="95" fillId="0" borderId="108" applyNumberFormat="0" applyFont="0" applyFill="0" applyAlignment="0" applyProtection="0"/>
    <xf numFmtId="175" fontId="96" fillId="0" borderId="109" applyNumberFormat="0" applyProtection="0">
      <alignment horizontal="right" vertical="center"/>
    </xf>
    <xf numFmtId="175" fontId="97" fillId="0" borderId="110" applyNumberFormat="0" applyProtection="0">
      <alignment horizontal="right" vertical="center"/>
    </xf>
    <xf numFmtId="0" fontId="97" fillId="58" borderId="108" applyNumberFormat="0" applyAlignment="0" applyProtection="0">
      <alignment horizontal="left" vertical="center" indent="1"/>
    </xf>
    <xf numFmtId="0" fontId="98" fillId="59" borderId="110" applyNumberFormat="0" applyAlignment="0" applyProtection="0">
      <alignment horizontal="left" vertical="center" indent="1"/>
    </xf>
    <xf numFmtId="0" fontId="98" fillId="59" borderId="110" applyNumberFormat="0" applyAlignment="0" applyProtection="0">
      <alignment horizontal="left" vertical="center" indent="1"/>
    </xf>
    <xf numFmtId="0" fontId="99" fillId="0" borderId="111" applyNumberFormat="0" applyFill="0" applyBorder="0" applyAlignment="0" applyProtection="0"/>
    <xf numFmtId="0" fontId="99" fillId="59" borderId="110" applyNumberFormat="0" applyAlignment="0" applyProtection="0">
      <alignment horizontal="left" vertical="center" indent="1"/>
    </xf>
    <xf numFmtId="0" fontId="99" fillId="59" borderId="110" applyNumberFormat="0" applyAlignment="0" applyProtection="0">
      <alignment horizontal="left" vertical="center" indent="1"/>
    </xf>
    <xf numFmtId="175" fontId="100" fillId="60" borderId="109" applyNumberFormat="0" applyBorder="0" applyProtection="0">
      <alignment horizontal="right" vertical="center"/>
    </xf>
    <xf numFmtId="175" fontId="101" fillId="60" borderId="110" applyNumberFormat="0" applyBorder="0" applyProtection="0">
      <alignment horizontal="right" vertical="center"/>
    </xf>
    <xf numFmtId="0" fontId="99" fillId="61" borderId="110" applyNumberFormat="0" applyAlignment="0" applyProtection="0">
      <alignment horizontal="left" vertical="center" indent="1"/>
    </xf>
    <xf numFmtId="175" fontId="101" fillId="61" borderId="110" applyNumberFormat="0" applyProtection="0">
      <alignment horizontal="right" vertical="center"/>
    </xf>
    <xf numFmtId="0" fontId="102" fillId="0" borderId="111" applyBorder="0" applyAlignment="0" applyProtection="0"/>
    <xf numFmtId="175" fontId="103" fillId="62" borderId="112" applyNumberFormat="0" applyBorder="0" applyAlignment="0" applyProtection="0">
      <alignment horizontal="right" vertical="center" indent="1"/>
    </xf>
    <xf numFmtId="175" fontId="104" fillId="63" borderId="112" applyNumberFormat="0" applyBorder="0" applyAlignment="0" applyProtection="0">
      <alignment horizontal="right" vertical="center" indent="1"/>
    </xf>
    <xf numFmtId="175" fontId="104" fillId="64" borderId="112" applyNumberFormat="0" applyBorder="0" applyAlignment="0" applyProtection="0">
      <alignment horizontal="right" vertical="center" indent="1"/>
    </xf>
    <xf numFmtId="175" fontId="105" fillId="65" borderId="112" applyNumberFormat="0" applyBorder="0" applyAlignment="0" applyProtection="0">
      <alignment horizontal="right" vertical="center" indent="1"/>
    </xf>
    <xf numFmtId="175" fontId="105" fillId="66" borderId="112" applyNumberFormat="0" applyBorder="0" applyAlignment="0" applyProtection="0">
      <alignment horizontal="right" vertical="center" indent="1"/>
    </xf>
    <xf numFmtId="175" fontId="105" fillId="67" borderId="112" applyNumberFormat="0" applyBorder="0" applyAlignment="0" applyProtection="0">
      <alignment horizontal="right" vertical="center" indent="1"/>
    </xf>
    <xf numFmtId="175" fontId="106" fillId="68" borderId="112" applyNumberFormat="0" applyBorder="0" applyAlignment="0" applyProtection="0">
      <alignment horizontal="right" vertical="center" indent="1"/>
    </xf>
    <xf numFmtId="175" fontId="106" fillId="69" borderId="112" applyNumberFormat="0" applyBorder="0" applyAlignment="0" applyProtection="0">
      <alignment horizontal="right" vertical="center" indent="1"/>
    </xf>
    <xf numFmtId="175" fontId="106" fillId="70" borderId="112" applyNumberFormat="0" applyBorder="0" applyAlignment="0" applyProtection="0">
      <alignment horizontal="right" vertical="center" indent="1"/>
    </xf>
    <xf numFmtId="0" fontId="98" fillId="71" borderId="108" applyNumberFormat="0" applyAlignment="0" applyProtection="0">
      <alignment horizontal="left" vertical="center" indent="1"/>
    </xf>
    <xf numFmtId="0" fontId="98" fillId="72" borderId="108" applyNumberFormat="0" applyAlignment="0" applyProtection="0">
      <alignment horizontal="left" vertical="center" indent="1"/>
    </xf>
    <xf numFmtId="0" fontId="98" fillId="73" borderId="108" applyNumberFormat="0" applyAlignment="0" applyProtection="0">
      <alignment horizontal="left" vertical="center" indent="1"/>
    </xf>
    <xf numFmtId="0" fontId="98" fillId="60" borderId="108" applyNumberFormat="0" applyAlignment="0" applyProtection="0">
      <alignment horizontal="left" vertical="center" indent="1"/>
    </xf>
    <xf numFmtId="0" fontId="98" fillId="61" borderId="110" applyNumberFormat="0" applyAlignment="0" applyProtection="0">
      <alignment horizontal="left" vertical="center" indent="1"/>
    </xf>
    <xf numFmtId="175" fontId="96" fillId="60" borderId="109" applyNumberFormat="0" applyBorder="0" applyProtection="0">
      <alignment horizontal="right" vertical="center"/>
    </xf>
    <xf numFmtId="175" fontId="97" fillId="60" borderId="110" applyNumberFormat="0" applyBorder="0" applyProtection="0">
      <alignment horizontal="right" vertical="center"/>
    </xf>
    <xf numFmtId="175" fontId="96" fillId="74" borderId="108" applyNumberFormat="0" applyAlignment="0" applyProtection="0">
      <alignment horizontal="left" vertical="center" indent="1"/>
    </xf>
    <xf numFmtId="0" fontId="97" fillId="58" borderId="110" applyNumberFormat="0" applyAlignment="0" applyProtection="0">
      <alignment horizontal="left" vertical="center" indent="1"/>
    </xf>
    <xf numFmtId="0" fontId="98" fillId="61" borderId="110" applyNumberFormat="0" applyAlignment="0" applyProtection="0">
      <alignment horizontal="left" vertical="center" indent="1"/>
    </xf>
    <xf numFmtId="175" fontId="97" fillId="61" borderId="110" applyNumberFormat="0" applyProtection="0">
      <alignment horizontal="right" vertical="center"/>
    </xf>
    <xf numFmtId="0" fontId="7" fillId="0" borderId="0">
      <alignment horizontal="left" wrapText="1"/>
    </xf>
    <xf numFmtId="2" fontId="7" fillId="0" borderId="0" applyFill="0" applyBorder="0" applyProtection="0">
      <alignment horizontal="right"/>
    </xf>
    <xf numFmtId="14" fontId="78" fillId="56" borderId="106" applyProtection="0">
      <alignment horizontal="right"/>
    </xf>
    <xf numFmtId="0" fontId="78" fillId="0" borderId="0" applyNumberFormat="0" applyFill="0" applyBorder="0" applyProtection="0">
      <alignment horizontal="left"/>
    </xf>
    <xf numFmtId="182" fontId="7" fillId="0" borderId="0" applyFill="0" applyBorder="0" applyAlignment="0" applyProtection="0">
      <alignment wrapText="1"/>
    </xf>
    <xf numFmtId="0" fontId="8" fillId="0" borderId="0" applyNumberFormat="0" applyFill="0" applyBorder="0">
      <alignment horizontal="center" wrapText="1"/>
    </xf>
    <xf numFmtId="0" fontId="8" fillId="0" borderId="0" applyNumberFormat="0" applyFill="0" applyBorder="0">
      <alignment horizontal="center" wrapText="1"/>
    </xf>
    <xf numFmtId="0" fontId="8" fillId="0" borderId="99">
      <alignment horizontal="center" vertical="center" wrapText="1"/>
    </xf>
    <xf numFmtId="0" fontId="80" fillId="0" borderId="25" applyNumberFormat="0" applyFont="0" applyFill="0" applyAlignment="0" applyProtection="0"/>
    <xf numFmtId="183" fontId="92" fillId="0" borderId="0">
      <alignment horizontal="left"/>
    </xf>
    <xf numFmtId="37" fontId="39" fillId="4" borderId="0" applyNumberFormat="0" applyBorder="0" applyAlignment="0" applyProtection="0"/>
    <xf numFmtId="37" fontId="39" fillId="0" borderId="0"/>
    <xf numFmtId="37" fontId="39" fillId="4" borderId="0" applyNumberFormat="0" applyBorder="0" applyAlignment="0" applyProtection="0"/>
    <xf numFmtId="3" fontId="75" fillId="57" borderId="107" applyProtection="0"/>
  </cellStyleXfs>
  <cellXfs count="552">
    <xf numFmtId="0" fontId="0" fillId="0" borderId="0" xfId="0"/>
    <xf numFmtId="0" fontId="9" fillId="0" borderId="0" xfId="0" applyFont="1"/>
    <xf numFmtId="0" fontId="8" fillId="0" borderId="0" xfId="0" applyFont="1"/>
    <xf numFmtId="37" fontId="9" fillId="0" borderId="0" xfId="0" applyNumberFormat="1" applyFont="1"/>
    <xf numFmtId="37" fontId="9" fillId="0" borderId="2" xfId="0" applyNumberFormat="1" applyFont="1" applyBorder="1"/>
    <xf numFmtId="37" fontId="9" fillId="0" borderId="3" xfId="0" applyNumberFormat="1" applyFont="1" applyBorder="1"/>
    <xf numFmtId="0" fontId="7" fillId="0" borderId="0" xfId="0" applyFont="1"/>
    <xf numFmtId="0" fontId="7" fillId="0" borderId="2" xfId="11" applyFont="1" applyBorder="1"/>
    <xf numFmtId="0" fontId="7" fillId="0" borderId="2" xfId="11" applyFont="1" applyBorder="1" applyAlignment="1">
      <alignment horizontal="left"/>
    </xf>
    <xf numFmtId="37" fontId="9" fillId="2" borderId="10" xfId="0" applyNumberFormat="1" applyFont="1" applyFill="1" applyBorder="1"/>
    <xf numFmtId="37" fontId="9" fillId="2" borderId="11" xfId="0" applyNumberFormat="1" applyFont="1" applyFill="1" applyBorder="1"/>
    <xf numFmtId="37" fontId="11" fillId="0" borderId="12" xfId="5" applyNumberFormat="1" applyFont="1" applyFill="1" applyBorder="1" applyAlignment="1" applyProtection="1">
      <alignment horizontal="center" vertical="top"/>
      <protection locked="0"/>
    </xf>
    <xf numFmtId="37" fontId="10" fillId="0" borderId="7" xfId="3" quotePrefix="1" applyNumberFormat="1" applyFont="1" applyBorder="1" applyAlignment="1">
      <alignment horizontal="center" vertical="center"/>
    </xf>
    <xf numFmtId="37" fontId="9" fillId="0" borderId="7" xfId="0" applyNumberFormat="1" applyFont="1" applyBorder="1"/>
    <xf numFmtId="37" fontId="12" fillId="0" borderId="7" xfId="0" applyNumberFormat="1" applyFont="1" applyBorder="1"/>
    <xf numFmtId="37" fontId="10" fillId="0" borderId="2" xfId="3" applyNumberFormat="1" applyFont="1" applyBorder="1" applyAlignment="1">
      <alignment horizontal="center" vertical="center"/>
    </xf>
    <xf numFmtId="37" fontId="12" fillId="0" borderId="2" xfId="0" applyNumberFormat="1" applyFont="1" applyBorder="1"/>
    <xf numFmtId="37" fontId="10" fillId="0" borderId="2" xfId="3" quotePrefix="1" applyNumberFormat="1" applyFont="1" applyBorder="1" applyAlignment="1">
      <alignment horizontal="center" vertical="center"/>
    </xf>
    <xf numFmtId="37" fontId="10" fillId="0" borderId="2" xfId="3" quotePrefix="1" applyNumberFormat="1" applyFont="1" applyBorder="1" applyAlignment="1" applyProtection="1">
      <alignment horizontal="center" vertical="center"/>
      <protection locked="0"/>
    </xf>
    <xf numFmtId="37" fontId="10" fillId="0" borderId="3" xfId="3" applyNumberFormat="1" applyFont="1" applyBorder="1" applyAlignment="1">
      <alignment horizontal="center" vertical="center"/>
    </xf>
    <xf numFmtId="37" fontId="12" fillId="0" borderId="3" xfId="0" applyNumberFormat="1" applyFont="1" applyBorder="1"/>
    <xf numFmtId="37" fontId="12" fillId="0" borderId="1" xfId="0" applyNumberFormat="1" applyFont="1" applyBorder="1"/>
    <xf numFmtId="37" fontId="10" fillId="0" borderId="3" xfId="3" quotePrefix="1" applyNumberFormat="1" applyFont="1" applyBorder="1" applyAlignment="1">
      <alignment horizontal="center" vertical="center"/>
    </xf>
    <xf numFmtId="37" fontId="12" fillId="0" borderId="8" xfId="0" applyNumberFormat="1" applyFont="1" applyBorder="1"/>
    <xf numFmtId="37" fontId="9" fillId="2" borderId="13" xfId="0" applyNumberFormat="1" applyFont="1" applyFill="1" applyBorder="1"/>
    <xf numFmtId="37" fontId="7" fillId="0" borderId="2" xfId="0" applyNumberFormat="1" applyFont="1" applyBorder="1"/>
    <xf numFmtId="0" fontId="8" fillId="2" borderId="15" xfId="0" applyFont="1" applyFill="1" applyBorder="1" applyAlignment="1">
      <alignment horizontal="center"/>
    </xf>
    <xf numFmtId="37" fontId="8" fillId="0" borderId="17" xfId="0" applyNumberFormat="1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37" fontId="5" fillId="0" borderId="2" xfId="0" applyNumberFormat="1" applyFont="1" applyFill="1" applyBorder="1"/>
    <xf numFmtId="0" fontId="5" fillId="0" borderId="0" xfId="0" applyFont="1"/>
    <xf numFmtId="0" fontId="5" fillId="0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7" fontId="5" fillId="0" borderId="0" xfId="0" applyNumberFormat="1" applyFont="1"/>
    <xf numFmtId="164" fontId="5" fillId="0" borderId="0" xfId="0" applyNumberFormat="1" applyFont="1" applyAlignment="1">
      <alignment horizontal="center"/>
    </xf>
    <xf numFmtId="37" fontId="5" fillId="0" borderId="2" xfId="0" applyNumberFormat="1" applyFont="1" applyBorder="1"/>
    <xf numFmtId="0" fontId="5" fillId="2" borderId="14" xfId="0" applyFont="1" applyFill="1" applyBorder="1" applyAlignment="1">
      <alignment horizontal="center"/>
    </xf>
    <xf numFmtId="164" fontId="8" fillId="2" borderId="15" xfId="2" applyNumberFormat="1" applyFont="1" applyFill="1" applyBorder="1" applyAlignment="1">
      <alignment horizontal="center"/>
    </xf>
    <xf numFmtId="0" fontId="8" fillId="2" borderId="15" xfId="0" applyFont="1" applyFill="1" applyBorder="1"/>
    <xf numFmtId="37" fontId="8" fillId="0" borderId="17" xfId="2" applyNumberFormat="1" applyFont="1" applyFill="1" applyBorder="1" applyAlignment="1"/>
    <xf numFmtId="37" fontId="12" fillId="0" borderId="45" xfId="0" applyNumberFormat="1" applyFont="1" applyBorder="1"/>
    <xf numFmtId="37" fontId="12" fillId="0" borderId="2" xfId="0" applyNumberFormat="1" applyFont="1" applyFill="1" applyBorder="1"/>
    <xf numFmtId="37" fontId="12" fillId="0" borderId="3" xfId="0" applyNumberFormat="1" applyFont="1" applyFill="1" applyBorder="1"/>
    <xf numFmtId="0" fontId="7" fillId="0" borderId="2" xfId="0" applyFont="1" applyFill="1" applyBorder="1"/>
    <xf numFmtId="37" fontId="8" fillId="0" borderId="49" xfId="9" applyNumberFormat="1" applyFont="1" applyBorder="1" applyAlignment="1">
      <alignment horizontal="centerContinuous"/>
    </xf>
    <xf numFmtId="37" fontId="4" fillId="0" borderId="0" xfId="0" applyNumberFormat="1" applyFont="1"/>
    <xf numFmtId="37" fontId="4" fillId="2" borderId="10" xfId="0" applyNumberFormat="1" applyFont="1" applyFill="1" applyBorder="1"/>
    <xf numFmtId="37" fontId="4" fillId="2" borderId="11" xfId="0" applyNumberFormat="1" applyFont="1" applyFill="1" applyBorder="1"/>
    <xf numFmtId="37" fontId="4" fillId="0" borderId="7" xfId="0" applyNumberFormat="1" applyFont="1" applyBorder="1"/>
    <xf numFmtId="37" fontId="4" fillId="0" borderId="2" xfId="0" applyNumberFormat="1" applyFont="1" applyBorder="1"/>
    <xf numFmtId="37" fontId="4" fillId="0" borderId="3" xfId="0" applyNumberFormat="1" applyFont="1" applyBorder="1"/>
    <xf numFmtId="37" fontId="4" fillId="2" borderId="13" xfId="0" applyNumberFormat="1" applyFont="1" applyFill="1" applyBorder="1"/>
    <xf numFmtId="37" fontId="9" fillId="0" borderId="51" xfId="0" applyNumberFormat="1" applyFont="1" applyBorder="1"/>
    <xf numFmtId="37" fontId="12" fillId="0" borderId="51" xfId="0" applyNumberFormat="1" applyFont="1" applyBorder="1"/>
    <xf numFmtId="37" fontId="9" fillId="0" borderId="51" xfId="0" applyNumberFormat="1" applyFont="1" applyFill="1" applyBorder="1"/>
    <xf numFmtId="37" fontId="12" fillId="0" borderId="51" xfId="0" applyNumberFormat="1" applyFont="1" applyFill="1" applyBorder="1"/>
    <xf numFmtId="37" fontId="9" fillId="0" borderId="7" xfId="0" applyNumberFormat="1" applyFont="1" applyFill="1" applyBorder="1"/>
    <xf numFmtId="37" fontId="12" fillId="0" borderId="7" xfId="0" applyNumberFormat="1" applyFont="1" applyFill="1" applyBorder="1"/>
    <xf numFmtId="37" fontId="9" fillId="0" borderId="2" xfId="0" applyNumberFormat="1" applyFont="1" applyFill="1" applyBorder="1"/>
    <xf numFmtId="37" fontId="9" fillId="0" borderId="3" xfId="0" applyNumberFormat="1" applyFont="1" applyFill="1" applyBorder="1"/>
    <xf numFmtId="37" fontId="12" fillId="0" borderId="1" xfId="0" applyNumberFormat="1" applyFont="1" applyFill="1" applyBorder="1"/>
    <xf numFmtId="37" fontId="12" fillId="0" borderId="8" xfId="0" applyNumberFormat="1" applyFont="1" applyFill="1" applyBorder="1"/>
    <xf numFmtId="37" fontId="12" fillId="0" borderId="22" xfId="0" applyNumberFormat="1" applyFont="1" applyBorder="1" applyAlignment="1">
      <alignment horizontal="centerContinuous"/>
    </xf>
    <xf numFmtId="37" fontId="11" fillId="0" borderId="53" xfId="5" applyNumberFormat="1" applyFont="1" applyFill="1" applyBorder="1" applyAlignment="1" applyProtection="1">
      <alignment horizontal="center" vertical="top"/>
      <protection locked="0"/>
    </xf>
    <xf numFmtId="37" fontId="7" fillId="0" borderId="54" xfId="0" applyNumberFormat="1" applyFont="1" applyFill="1" applyBorder="1" applyAlignment="1">
      <alignment horizontal="center"/>
    </xf>
    <xf numFmtId="37" fontId="7" fillId="0" borderId="2" xfId="0" applyNumberFormat="1" applyFont="1" applyFill="1" applyBorder="1" applyAlignment="1">
      <alignment horizontal="center"/>
    </xf>
    <xf numFmtId="0" fontId="8" fillId="2" borderId="55" xfId="0" applyFont="1" applyFill="1" applyBorder="1" applyAlignment="1">
      <alignment horizontal="center"/>
    </xf>
    <xf numFmtId="0" fontId="5" fillId="0" borderId="0" xfId="0" applyFont="1" applyBorder="1"/>
    <xf numFmtId="0" fontId="8" fillId="2" borderId="55" xfId="0" applyFont="1" applyFill="1" applyBorder="1"/>
    <xf numFmtId="164" fontId="5" fillId="2" borderId="16" xfId="0" applyNumberFormat="1" applyFont="1" applyFill="1" applyBorder="1" applyAlignment="1">
      <alignment horizontal="center"/>
    </xf>
    <xf numFmtId="0" fontId="5" fillId="0" borderId="0" xfId="0" applyFont="1" applyFill="1"/>
    <xf numFmtId="37" fontId="5" fillId="0" borderId="0" xfId="0" applyNumberFormat="1" applyFont="1" applyFill="1"/>
    <xf numFmtId="0" fontId="4" fillId="0" borderId="2" xfId="0" applyFont="1" applyFill="1" applyBorder="1"/>
    <xf numFmtId="0" fontId="7" fillId="0" borderId="2" xfId="0" quotePrefix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2" xfId="0" applyFont="1" applyFill="1" applyBorder="1"/>
    <xf numFmtId="37" fontId="2" fillId="0" borderId="0" xfId="0" applyNumberFormat="1" applyFont="1"/>
    <xf numFmtId="0" fontId="1" fillId="0" borderId="2" xfId="11" applyFont="1" applyBorder="1"/>
    <xf numFmtId="0" fontId="8" fillId="0" borderId="64" xfId="10" applyFont="1" applyBorder="1" applyAlignment="1">
      <alignment horizontal="centerContinuous"/>
    </xf>
    <xf numFmtId="0" fontId="8" fillId="0" borderId="49" xfId="10" applyFont="1" applyBorder="1" applyAlignment="1">
      <alignment horizontal="centerContinuous"/>
    </xf>
    <xf numFmtId="0" fontId="8" fillId="0" borderId="50" xfId="10" applyFont="1" applyBorder="1" applyAlignment="1">
      <alignment horizontal="centerContinuous"/>
    </xf>
    <xf numFmtId="166" fontId="1" fillId="0" borderId="2" xfId="11" applyNumberFormat="1" applyFont="1" applyBorder="1"/>
    <xf numFmtId="0" fontId="1" fillId="0" borderId="2" xfId="11" quotePrefix="1" applyFont="1" applyBorder="1" applyAlignment="1">
      <alignment horizontal="left"/>
    </xf>
    <xf numFmtId="0" fontId="1" fillId="0" borderId="2" xfId="11" applyFont="1" applyFill="1" applyBorder="1"/>
    <xf numFmtId="0" fontId="1" fillId="0" borderId="2" xfId="11" applyFont="1" applyBorder="1" applyAlignment="1">
      <alignment horizontal="left"/>
    </xf>
    <xf numFmtId="0" fontId="1" fillId="0" borderId="3" xfId="11" applyFont="1" applyBorder="1"/>
    <xf numFmtId="166" fontId="1" fillId="0" borderId="3" xfId="11" applyNumberFormat="1" applyFont="1" applyBorder="1"/>
    <xf numFmtId="37" fontId="8" fillId="0" borderId="62" xfId="0" applyNumberFormat="1" applyFont="1" applyBorder="1"/>
    <xf numFmtId="37" fontId="8" fillId="0" borderId="53" xfId="9" applyNumberFormat="1" applyFont="1" applyBorder="1" applyAlignment="1">
      <alignment horizontal="center"/>
    </xf>
    <xf numFmtId="0" fontId="1" fillId="0" borderId="2" xfId="0" applyFont="1" applyFill="1" applyBorder="1"/>
    <xf numFmtId="166" fontId="8" fillId="0" borderId="62" xfId="1" applyNumberFormat="1" applyFont="1" applyBorder="1" applyAlignment="1">
      <alignment horizontal="center"/>
    </xf>
    <xf numFmtId="0" fontId="1" fillId="0" borderId="0" xfId="0" applyFont="1"/>
    <xf numFmtId="0" fontId="1" fillId="0" borderId="3" xfId="0" applyFont="1" applyFill="1" applyBorder="1"/>
    <xf numFmtId="37" fontId="8" fillId="0" borderId="62" xfId="2" applyNumberFormat="1" applyFont="1" applyBorder="1" applyAlignment="1">
      <alignment horizontal="centerContinuous"/>
    </xf>
    <xf numFmtId="37" fontId="8" fillId="0" borderId="64" xfId="2" applyNumberFormat="1" applyFont="1" applyBorder="1" applyAlignment="1">
      <alignment horizontal="centerContinuous"/>
    </xf>
    <xf numFmtId="164" fontId="8" fillId="0" borderId="50" xfId="2" applyNumberFormat="1" applyFont="1" applyBorder="1" applyAlignment="1">
      <alignment horizontal="centerContinuous"/>
    </xf>
    <xf numFmtId="164" fontId="8" fillId="0" borderId="52" xfId="9" applyNumberFormat="1" applyFont="1" applyBorder="1" applyAlignment="1">
      <alignment horizontal="center"/>
    </xf>
    <xf numFmtId="164" fontId="8" fillId="0" borderId="52" xfId="2" applyNumberFormat="1" applyFont="1" applyBorder="1" applyAlignment="1">
      <alignment horizontal="center"/>
    </xf>
    <xf numFmtId="37" fontId="8" fillId="0" borderId="64" xfId="9" applyNumberFormat="1" applyFont="1" applyBorder="1" applyAlignment="1">
      <alignment horizontal="centerContinuous"/>
    </xf>
    <xf numFmtId="37" fontId="8" fillId="0" borderId="50" xfId="9" applyNumberFormat="1" applyFont="1" applyBorder="1" applyAlignment="1">
      <alignment horizontal="centerContinuous"/>
    </xf>
    <xf numFmtId="166" fontId="8" fillId="0" borderId="49" xfId="1" applyNumberFormat="1" applyFont="1" applyBorder="1" applyAlignment="1">
      <alignment horizontal="centerContinuous"/>
    </xf>
    <xf numFmtId="37" fontId="8" fillId="0" borderId="62" xfId="2" applyNumberFormat="1" applyFont="1" applyBorder="1" applyAlignment="1">
      <alignment horizontal="center"/>
    </xf>
    <xf numFmtId="164" fontId="8" fillId="0" borderId="62" xfId="0" applyNumberFormat="1" applyFont="1" applyFill="1" applyBorder="1" applyAlignment="1">
      <alignment horizontal="center"/>
    </xf>
    <xf numFmtId="164" fontId="8" fillId="0" borderId="62" xfId="2" applyNumberFormat="1" applyFont="1" applyFill="1" applyBorder="1" applyAlignment="1">
      <alignment horizontal="center"/>
    </xf>
    <xf numFmtId="164" fontId="8" fillId="0" borderId="53" xfId="9" applyNumberFormat="1" applyFont="1" applyBorder="1" applyAlignment="1">
      <alignment horizontal="center"/>
    </xf>
    <xf numFmtId="164" fontId="8" fillId="0" borderId="53" xfId="2" applyNumberFormat="1" applyFont="1" applyBorder="1" applyAlignment="1">
      <alignment horizontal="center"/>
    </xf>
    <xf numFmtId="37" fontId="8" fillId="0" borderId="62" xfId="9" applyNumberFormat="1" applyFont="1" applyBorder="1" applyAlignment="1">
      <alignment horizontal="center"/>
    </xf>
    <xf numFmtId="0" fontId="8" fillId="0" borderId="62" xfId="0" applyFont="1" applyBorder="1"/>
    <xf numFmtId="37" fontId="8" fillId="0" borderId="52" xfId="9" applyNumberFormat="1" applyFont="1" applyBorder="1" applyAlignment="1">
      <alignment horizontal="centerContinuous"/>
    </xf>
    <xf numFmtId="37" fontId="8" fillId="0" borderId="62" xfId="0" applyNumberFormat="1" applyFont="1" applyBorder="1" applyAlignment="1"/>
    <xf numFmtId="0" fontId="1" fillId="2" borderId="64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164" fontId="8" fillId="2" borderId="49" xfId="2" applyNumberFormat="1" applyFont="1" applyFill="1" applyBorder="1" applyAlignment="1">
      <alignment horizontal="center"/>
    </xf>
    <xf numFmtId="164" fontId="8" fillId="2" borderId="50" xfId="2" applyNumberFormat="1" applyFont="1" applyFill="1" applyBorder="1" applyAlignment="1">
      <alignment horizontal="center"/>
    </xf>
    <xf numFmtId="37" fontId="8" fillId="2" borderId="62" xfId="2" applyNumberFormat="1" applyFont="1" applyFill="1" applyBorder="1" applyAlignment="1">
      <alignment horizontal="center"/>
    </xf>
    <xf numFmtId="164" fontId="8" fillId="2" borderId="64" xfId="2" applyNumberFormat="1" applyFont="1" applyFill="1" applyBorder="1" applyAlignment="1">
      <alignment horizontal="center"/>
    </xf>
    <xf numFmtId="37" fontId="1" fillId="2" borderId="50" xfId="0" applyNumberFormat="1" applyFont="1" applyFill="1" applyBorder="1"/>
    <xf numFmtId="37" fontId="8" fillId="0" borderId="56" xfId="0" applyNumberFormat="1" applyFont="1" applyBorder="1"/>
    <xf numFmtId="37" fontId="7" fillId="0" borderId="3" xfId="0" applyNumberFormat="1" applyFont="1" applyBorder="1"/>
    <xf numFmtId="164" fontId="8" fillId="2" borderId="16" xfId="2" applyNumberFormat="1" applyFont="1" applyFill="1" applyBorder="1" applyAlignment="1">
      <alignment horizontal="center"/>
    </xf>
    <xf numFmtId="37" fontId="10" fillId="0" borderId="2" xfId="3" quotePrefix="1" applyNumberFormat="1" applyFont="1" applyFill="1" applyBorder="1" applyAlignment="1">
      <alignment horizontal="center" vertical="center"/>
    </xf>
    <xf numFmtId="37" fontId="4" fillId="0" borderId="2" xfId="0" applyNumberFormat="1" applyFont="1" applyFill="1" applyBorder="1"/>
    <xf numFmtId="37" fontId="10" fillId="0" borderId="2" xfId="3" quotePrefix="1" applyNumberFormat="1" applyFont="1" applyFill="1" applyBorder="1" applyAlignment="1" applyProtection="1">
      <alignment horizontal="center" vertical="center"/>
      <protection locked="0"/>
    </xf>
    <xf numFmtId="37" fontId="10" fillId="0" borderId="3" xfId="3" applyNumberFormat="1" applyFont="1" applyFill="1" applyBorder="1" applyAlignment="1">
      <alignment horizontal="center" vertical="center"/>
    </xf>
    <xf numFmtId="37" fontId="4" fillId="0" borderId="46" xfId="0" applyNumberFormat="1" applyFont="1" applyFill="1" applyBorder="1"/>
    <xf numFmtId="37" fontId="4" fillId="0" borderId="3" xfId="0" applyNumberFormat="1" applyFont="1" applyFill="1" applyBorder="1"/>
    <xf numFmtId="37" fontId="12" fillId="0" borderId="62" xfId="0" applyNumberFormat="1" applyFont="1" applyFill="1" applyBorder="1"/>
    <xf numFmtId="37" fontId="10" fillId="0" borderId="7" xfId="3" quotePrefix="1" applyNumberFormat="1" applyFont="1" applyFill="1" applyBorder="1" applyAlignment="1">
      <alignment horizontal="center" vertical="center"/>
    </xf>
    <xf numFmtId="37" fontId="4" fillId="0" borderId="7" xfId="0" applyNumberFormat="1" applyFont="1" applyFill="1" applyBorder="1"/>
    <xf numFmtId="37" fontId="10" fillId="0" borderId="2" xfId="3" applyNumberFormat="1" applyFont="1" applyFill="1" applyBorder="1" applyAlignment="1">
      <alignment horizontal="center" vertical="center"/>
    </xf>
    <xf numFmtId="37" fontId="10" fillId="0" borderId="3" xfId="3" quotePrefix="1" applyNumberFormat="1" applyFont="1" applyFill="1" applyBorder="1" applyAlignment="1">
      <alignment horizontal="center" vertical="center"/>
    </xf>
    <xf numFmtId="37" fontId="11" fillId="0" borderId="66" xfId="4" applyNumberFormat="1" applyFont="1" applyFill="1" applyBorder="1" applyAlignment="1" applyProtection="1">
      <alignment horizontal="centerContinuous"/>
      <protection locked="0"/>
    </xf>
    <xf numFmtId="37" fontId="1" fillId="0" borderId="66" xfId="0" applyNumberFormat="1" applyFont="1" applyBorder="1" applyAlignment="1">
      <alignment horizontal="centerContinuous"/>
    </xf>
    <xf numFmtId="37" fontId="1" fillId="0" borderId="67" xfId="0" applyNumberFormat="1" applyFont="1" applyBorder="1" applyAlignment="1">
      <alignment horizontal="centerContinuous"/>
    </xf>
    <xf numFmtId="37" fontId="12" fillId="0" borderId="67" xfId="0" applyNumberFormat="1" applyFont="1" applyBorder="1" applyAlignment="1">
      <alignment horizontal="centerContinuous"/>
    </xf>
    <xf numFmtId="37" fontId="12" fillId="0" borderId="49" xfId="0" applyNumberFormat="1" applyFont="1" applyBorder="1" applyAlignment="1">
      <alignment horizontal="centerContinuous"/>
    </xf>
    <xf numFmtId="37" fontId="12" fillId="0" borderId="50" xfId="0" applyNumberFormat="1" applyFont="1" applyBorder="1" applyAlignment="1">
      <alignment horizontal="centerContinuous"/>
    </xf>
    <xf numFmtId="37" fontId="12" fillId="0" borderId="52" xfId="0" applyNumberFormat="1" applyFont="1" applyBorder="1" applyAlignment="1">
      <alignment horizontal="centerContinuous"/>
    </xf>
    <xf numFmtId="37" fontId="1" fillId="2" borderId="67" xfId="0" applyNumberFormat="1" applyFont="1" applyFill="1" applyBorder="1"/>
    <xf numFmtId="37" fontId="1" fillId="2" borderId="12" xfId="0" applyNumberFormat="1" applyFont="1" applyFill="1" applyBorder="1"/>
    <xf numFmtId="37" fontId="11" fillId="0" borderId="22" xfId="5" applyNumberFormat="1" applyFont="1" applyFill="1" applyBorder="1" applyAlignment="1" applyProtection="1">
      <alignment horizontal="center" vertical="top"/>
      <protection locked="0"/>
    </xf>
    <xf numFmtId="37" fontId="11" fillId="0" borderId="68" xfId="4" applyNumberFormat="1" applyFont="1" applyFill="1" applyBorder="1" applyAlignment="1" applyProtection="1">
      <alignment horizontal="centerContinuous"/>
      <protection locked="0"/>
    </xf>
    <xf numFmtId="37" fontId="1" fillId="0" borderId="68" xfId="0" applyNumberFormat="1" applyFont="1" applyBorder="1" applyAlignment="1">
      <alignment horizontal="centerContinuous"/>
    </xf>
    <xf numFmtId="37" fontId="1" fillId="0" borderId="69" xfId="0" applyNumberFormat="1" applyFont="1" applyBorder="1" applyAlignment="1">
      <alignment horizontal="centerContinuous"/>
    </xf>
    <xf numFmtId="37" fontId="12" fillId="0" borderId="69" xfId="0" applyNumberFormat="1" applyFont="1" applyBorder="1" applyAlignment="1">
      <alignment horizontal="centerContinuous"/>
    </xf>
    <xf numFmtId="37" fontId="12" fillId="0" borderId="70" xfId="0" applyNumberFormat="1" applyFont="1" applyBorder="1" applyAlignment="1">
      <alignment horizontal="centerContinuous"/>
    </xf>
    <xf numFmtId="37" fontId="12" fillId="0" borderId="71" xfId="0" applyNumberFormat="1" applyFont="1" applyBorder="1" applyAlignment="1">
      <alignment horizontal="centerContinuous"/>
    </xf>
    <xf numFmtId="37" fontId="1" fillId="2" borderId="69" xfId="0" applyNumberFormat="1" applyFont="1" applyFill="1" applyBorder="1"/>
    <xf numFmtId="37" fontId="1" fillId="2" borderId="71" xfId="0" applyNumberFormat="1" applyFont="1" applyFill="1" applyBorder="1"/>
    <xf numFmtId="37" fontId="9" fillId="0" borderId="54" xfId="0" applyNumberFormat="1" applyFont="1" applyFill="1" applyBorder="1"/>
    <xf numFmtId="37" fontId="12" fillId="0" borderId="54" xfId="0" applyNumberFormat="1" applyFont="1" applyFill="1" applyBorder="1"/>
    <xf numFmtId="0" fontId="4" fillId="17" borderId="66" xfId="0" applyFont="1" applyFill="1" applyBorder="1"/>
    <xf numFmtId="37" fontId="12" fillId="0" borderId="66" xfId="0" applyNumberFormat="1" applyFont="1" applyFill="1" applyBorder="1"/>
    <xf numFmtId="37" fontId="9" fillId="2" borderId="66" xfId="0" applyNumberFormat="1" applyFont="1" applyFill="1" applyBorder="1"/>
    <xf numFmtId="37" fontId="12" fillId="0" borderId="66" xfId="0" applyNumberFormat="1" applyFont="1" applyBorder="1"/>
    <xf numFmtId="37" fontId="1" fillId="2" borderId="66" xfId="0" applyNumberFormat="1" applyFont="1" applyFill="1" applyBorder="1"/>
    <xf numFmtId="37" fontId="11" fillId="0" borderId="66" xfId="5" applyNumberFormat="1" applyFont="1" applyFill="1" applyBorder="1" applyAlignment="1" applyProtection="1">
      <alignment horizontal="center" vertical="top"/>
      <protection locked="0"/>
    </xf>
    <xf numFmtId="37" fontId="1" fillId="0" borderId="50" xfId="0" applyNumberFormat="1" applyFont="1" applyBorder="1" applyAlignment="1">
      <alignment horizontal="centerContinuous"/>
    </xf>
    <xf numFmtId="0" fontId="8" fillId="0" borderId="65" xfId="0" applyFont="1" applyBorder="1"/>
    <xf numFmtId="37" fontId="8" fillId="0" borderId="65" xfId="0" applyNumberFormat="1" applyFont="1" applyFill="1" applyBorder="1"/>
    <xf numFmtId="0" fontId="8" fillId="2" borderId="71" xfId="0" applyFont="1" applyFill="1" applyBorder="1" applyAlignment="1">
      <alignment horizontal="center"/>
    </xf>
    <xf numFmtId="166" fontId="8" fillId="2" borderId="71" xfId="1" applyNumberFormat="1" applyFont="1" applyFill="1" applyBorder="1"/>
    <xf numFmtId="37" fontId="8" fillId="0" borderId="68" xfId="2" applyNumberFormat="1" applyFont="1" applyBorder="1" applyAlignment="1">
      <alignment horizontal="centerContinuous"/>
    </xf>
    <xf numFmtId="37" fontId="8" fillId="0" borderId="73" xfId="2" applyNumberFormat="1" applyFont="1" applyBorder="1" applyAlignment="1">
      <alignment horizontal="centerContinuous"/>
    </xf>
    <xf numFmtId="164" fontId="8" fillId="0" borderId="15" xfId="2" applyNumberFormat="1" applyFont="1" applyBorder="1" applyAlignment="1">
      <alignment horizontal="centerContinuous"/>
    </xf>
    <xf numFmtId="164" fontId="8" fillId="0" borderId="22" xfId="9" applyNumberFormat="1" applyFont="1" applyBorder="1" applyAlignment="1">
      <alignment horizontal="center"/>
    </xf>
    <xf numFmtId="164" fontId="8" fillId="0" borderId="22" xfId="2" applyNumberFormat="1" applyFont="1" applyBorder="1" applyAlignment="1">
      <alignment horizontal="center"/>
    </xf>
    <xf numFmtId="37" fontId="8" fillId="0" borderId="73" xfId="9" applyNumberFormat="1" applyFont="1" applyBorder="1" applyAlignment="1">
      <alignment horizontal="centerContinuous"/>
    </xf>
    <xf numFmtId="37" fontId="8" fillId="0" borderId="16" xfId="9" applyNumberFormat="1" applyFont="1" applyBorder="1" applyAlignment="1">
      <alignment horizontal="centerContinuous"/>
    </xf>
    <xf numFmtId="37" fontId="1" fillId="0" borderId="16" xfId="0" applyNumberFormat="1" applyFont="1" applyBorder="1" applyAlignment="1">
      <alignment horizontal="centerContinuous"/>
    </xf>
    <xf numFmtId="37" fontId="8" fillId="0" borderId="15" xfId="9" applyNumberFormat="1" applyFont="1" applyBorder="1" applyAlignment="1">
      <alignment horizontal="centerContinuous"/>
    </xf>
    <xf numFmtId="166" fontId="8" fillId="0" borderId="16" xfId="1" applyNumberFormat="1" applyFont="1" applyBorder="1" applyAlignment="1">
      <alignment horizontal="centerContinuous"/>
    </xf>
    <xf numFmtId="0" fontId="1" fillId="0" borderId="65" xfId="0" applyFont="1" applyBorder="1"/>
    <xf numFmtId="37" fontId="8" fillId="0" borderId="68" xfId="2" applyNumberFormat="1" applyFont="1" applyBorder="1" applyAlignment="1">
      <alignment horizontal="center"/>
    </xf>
    <xf numFmtId="164" fontId="8" fillId="0" borderId="68" xfId="0" applyNumberFormat="1" applyFont="1" applyFill="1" applyBorder="1" applyAlignment="1">
      <alignment horizontal="center"/>
    </xf>
    <xf numFmtId="164" fontId="8" fillId="0" borderId="68" xfId="2" applyNumberFormat="1" applyFont="1" applyFill="1" applyBorder="1" applyAlignment="1">
      <alignment horizontal="center"/>
    </xf>
    <xf numFmtId="164" fontId="8" fillId="0" borderId="1" xfId="9" applyNumberFormat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37" fontId="8" fillId="0" borderId="68" xfId="9" applyNumberFormat="1" applyFont="1" applyBorder="1" applyAlignment="1">
      <alignment horizontal="center"/>
    </xf>
    <xf numFmtId="166" fontId="8" fillId="0" borderId="68" xfId="1" applyNumberFormat="1" applyFont="1" applyBorder="1" applyAlignment="1">
      <alignment horizontal="center"/>
    </xf>
    <xf numFmtId="0" fontId="1" fillId="0" borderId="0" xfId="0" applyFont="1" applyBorder="1"/>
    <xf numFmtId="0" fontId="8" fillId="0" borderId="68" xfId="0" applyFont="1" applyBorder="1"/>
    <xf numFmtId="0" fontId="8" fillId="2" borderId="73" xfId="0" applyFont="1" applyFill="1" applyBorder="1" applyAlignment="1">
      <alignment horizontal="center"/>
    </xf>
    <xf numFmtId="165" fontId="8" fillId="2" borderId="16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37" fontId="8" fillId="0" borderId="68" xfId="0" applyNumberFormat="1" applyFont="1" applyFill="1" applyBorder="1"/>
    <xf numFmtId="0" fontId="8" fillId="0" borderId="0" xfId="0" applyFont="1" applyBorder="1"/>
    <xf numFmtId="0" fontId="8" fillId="0" borderId="13" xfId="0" applyFont="1" applyBorder="1"/>
    <xf numFmtId="0" fontId="8" fillId="0" borderId="75" xfId="0" applyFont="1" applyBorder="1"/>
    <xf numFmtId="0" fontId="8" fillId="0" borderId="72" xfId="0" applyFont="1" applyBorder="1"/>
    <xf numFmtId="37" fontId="8" fillId="0" borderId="72" xfId="0" applyNumberFormat="1" applyFont="1" applyFill="1" applyBorder="1"/>
    <xf numFmtId="0" fontId="1" fillId="0" borderId="74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37" fontId="1" fillId="0" borderId="0" xfId="0" applyNumberFormat="1" applyFont="1" applyBorder="1"/>
    <xf numFmtId="37" fontId="1" fillId="0" borderId="0" xfId="0" applyNumberFormat="1" applyFont="1" applyFill="1" applyBorder="1"/>
    <xf numFmtId="0" fontId="5" fillId="0" borderId="65" xfId="0" applyFont="1" applyBorder="1"/>
    <xf numFmtId="0" fontId="7" fillId="0" borderId="0" xfId="0" applyFont="1" applyFill="1" applyBorder="1"/>
    <xf numFmtId="37" fontId="7" fillId="0" borderId="0" xfId="0" applyNumberFormat="1" applyFont="1" applyFill="1" applyBorder="1"/>
    <xf numFmtId="0" fontId="7" fillId="0" borderId="0" xfId="0" applyFont="1" applyBorder="1"/>
    <xf numFmtId="0" fontId="5" fillId="0" borderId="0" xfId="0" applyFont="1" applyFill="1" applyBorder="1"/>
    <xf numFmtId="37" fontId="8" fillId="0" borderId="0" xfId="0" applyNumberFormat="1" applyFont="1" applyFill="1" applyBorder="1"/>
    <xf numFmtId="0" fontId="5" fillId="0" borderId="7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37" fontId="7" fillId="0" borderId="0" xfId="0" applyNumberFormat="1" applyFont="1" applyBorder="1"/>
    <xf numFmtId="37" fontId="5" fillId="0" borderId="0" xfId="0" applyNumberFormat="1" applyFont="1" applyBorder="1" applyAlignment="1"/>
    <xf numFmtId="37" fontId="5" fillId="0" borderId="0" xfId="0" applyNumberFormat="1" applyFont="1" applyBorder="1"/>
    <xf numFmtId="167" fontId="8" fillId="0" borderId="68" xfId="14" applyNumberFormat="1" applyFont="1" applyFill="1" applyBorder="1" applyAlignment="1">
      <alignment horizontal="center"/>
    </xf>
    <xf numFmtId="37" fontId="8" fillId="0" borderId="68" xfId="14" applyNumberFormat="1" applyFont="1" applyFill="1" applyBorder="1" applyAlignment="1">
      <alignment horizontal="center"/>
    </xf>
    <xf numFmtId="37" fontId="8" fillId="0" borderId="68" xfId="0" applyNumberFormat="1" applyFont="1" applyFill="1" applyBorder="1" applyAlignment="1"/>
    <xf numFmtId="37" fontId="8" fillId="0" borderId="68" xfId="0" applyNumberFormat="1" applyFont="1" applyBorder="1"/>
    <xf numFmtId="0" fontId="8" fillId="0" borderId="0" xfId="0" applyFont="1" applyFill="1" applyBorder="1" applyAlignment="1">
      <alignment horizontal="centerContinuous"/>
    </xf>
    <xf numFmtId="0" fontId="8" fillId="2" borderId="70" xfId="0" applyFont="1" applyFill="1" applyBorder="1" applyAlignment="1">
      <alignment horizontal="center"/>
    </xf>
    <xf numFmtId="0" fontId="8" fillId="2" borderId="70" xfId="0" applyFont="1" applyFill="1" applyBorder="1"/>
    <xf numFmtId="164" fontId="8" fillId="2" borderId="70" xfId="0" applyNumberFormat="1" applyFont="1" applyFill="1" applyBorder="1" applyAlignment="1">
      <alignment horizontal="center"/>
    </xf>
    <xf numFmtId="37" fontId="8" fillId="0" borderId="71" xfId="0" applyNumberFormat="1" applyFont="1" applyFill="1" applyBorder="1"/>
    <xf numFmtId="37" fontId="12" fillId="0" borderId="68" xfId="0" applyNumberFormat="1" applyFont="1" applyBorder="1"/>
    <xf numFmtId="37" fontId="8" fillId="0" borderId="1" xfId="15" applyNumberFormat="1" applyFont="1" applyBorder="1" applyAlignment="1">
      <alignment horizontal="center"/>
    </xf>
    <xf numFmtId="37" fontId="8" fillId="0" borderId="1" xfId="16" applyNumberFormat="1" applyFon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37" fontId="8" fillId="2" borderId="75" xfId="0" applyNumberFormat="1" applyFont="1" applyFill="1" applyBorder="1"/>
    <xf numFmtId="37" fontId="8" fillId="2" borderId="76" xfId="0" applyNumberFormat="1" applyFont="1" applyFill="1" applyBorder="1"/>
    <xf numFmtId="37" fontId="8" fillId="0" borderId="73" xfId="16" applyNumberFormat="1" applyFont="1" applyBorder="1" applyAlignment="1">
      <alignment horizontal="centerContinuous"/>
    </xf>
    <xf numFmtId="37" fontId="8" fillId="0" borderId="70" xfId="16" applyNumberFormat="1" applyFont="1" applyBorder="1" applyAlignment="1">
      <alignment horizontal="centerContinuous"/>
    </xf>
    <xf numFmtId="0" fontId="8" fillId="0" borderId="71" xfId="16" applyFont="1" applyBorder="1" applyAlignment="1">
      <alignment horizontal="centerContinuous"/>
    </xf>
    <xf numFmtId="37" fontId="7" fillId="0" borderId="78" xfId="0" applyNumberFormat="1" applyFont="1" applyFill="1" applyBorder="1"/>
    <xf numFmtId="37" fontId="7" fillId="0" borderId="2" xfId="0" applyNumberFormat="1" applyFont="1" applyFill="1" applyBorder="1"/>
    <xf numFmtId="37" fontId="7" fillId="0" borderId="3" xfId="0" applyNumberFormat="1" applyFont="1" applyFill="1" applyBorder="1"/>
    <xf numFmtId="165" fontId="5" fillId="0" borderId="78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5" fillId="2" borderId="79" xfId="0" applyFont="1" applyFill="1" applyBorder="1" applyAlignment="1">
      <alignment horizontal="center"/>
    </xf>
    <xf numFmtId="0" fontId="5" fillId="2" borderId="80" xfId="0" applyFont="1" applyFill="1" applyBorder="1" applyAlignment="1">
      <alignment horizontal="center"/>
    </xf>
    <xf numFmtId="0" fontId="5" fillId="2" borderId="81" xfId="0" applyFont="1" applyFill="1" applyBorder="1" applyAlignment="1">
      <alignment horizontal="center"/>
    </xf>
    <xf numFmtId="0" fontId="5" fillId="2" borderId="82" xfId="0" applyFont="1" applyFill="1" applyBorder="1"/>
    <xf numFmtId="164" fontId="5" fillId="2" borderId="83" xfId="0" applyNumberFormat="1" applyFont="1" applyFill="1" applyBorder="1" applyAlignment="1">
      <alignment horizontal="center"/>
    </xf>
    <xf numFmtId="0" fontId="5" fillId="2" borderId="83" xfId="0" applyFont="1" applyFill="1" applyBorder="1" applyAlignment="1">
      <alignment horizontal="center"/>
    </xf>
    <xf numFmtId="0" fontId="5" fillId="2" borderId="84" xfId="0" applyFont="1" applyFill="1" applyBorder="1" applyAlignment="1">
      <alignment horizontal="center"/>
    </xf>
    <xf numFmtId="0" fontId="5" fillId="2" borderId="85" xfId="0" applyFont="1" applyFill="1" applyBorder="1"/>
    <xf numFmtId="164" fontId="5" fillId="2" borderId="86" xfId="0" applyNumberFormat="1" applyFont="1" applyFill="1" applyBorder="1" applyAlignment="1">
      <alignment horizontal="center"/>
    </xf>
    <xf numFmtId="0" fontId="5" fillId="2" borderId="86" xfId="0" applyFont="1" applyFill="1" applyBorder="1" applyAlignment="1">
      <alignment horizontal="center"/>
    </xf>
    <xf numFmtId="0" fontId="5" fillId="2" borderId="87" xfId="0" applyFont="1" applyFill="1" applyBorder="1" applyAlignment="1">
      <alignment horizontal="center"/>
    </xf>
    <xf numFmtId="0" fontId="5" fillId="2" borderId="88" xfId="0" applyFont="1" applyFill="1" applyBorder="1"/>
    <xf numFmtId="164" fontId="5" fillId="2" borderId="89" xfId="0" applyNumberFormat="1" applyFont="1" applyFill="1" applyBorder="1" applyAlignment="1">
      <alignment horizontal="center"/>
    </xf>
    <xf numFmtId="0" fontId="5" fillId="2" borderId="89" xfId="0" applyFont="1" applyFill="1" applyBorder="1" applyAlignment="1">
      <alignment horizontal="center"/>
    </xf>
    <xf numFmtId="0" fontId="5" fillId="2" borderId="90" xfId="0" applyFont="1" applyFill="1" applyBorder="1" applyAlignment="1">
      <alignment horizontal="center"/>
    </xf>
    <xf numFmtId="0" fontId="8" fillId="2" borderId="68" xfId="0" applyFont="1" applyFill="1" applyBorder="1" applyAlignment="1">
      <alignment horizontal="center"/>
    </xf>
    <xf numFmtId="0" fontId="8" fillId="2" borderId="73" xfId="0" applyFont="1" applyFill="1" applyBorder="1"/>
    <xf numFmtId="37" fontId="8" fillId="0" borderId="73" xfId="14" applyNumberFormat="1" applyFont="1" applyFill="1" applyBorder="1" applyAlignment="1">
      <alignment horizontal="centerContinuous"/>
    </xf>
    <xf numFmtId="164" fontId="8" fillId="0" borderId="71" xfId="14" applyNumberFormat="1" applyFont="1" applyFill="1" applyBorder="1" applyAlignment="1">
      <alignment horizontal="centerContinuous"/>
    </xf>
    <xf numFmtId="167" fontId="8" fillId="0" borderId="73" xfId="14" applyNumberFormat="1" applyFont="1" applyFill="1" applyBorder="1" applyAlignment="1">
      <alignment horizontal="centerContinuous"/>
    </xf>
    <xf numFmtId="167" fontId="8" fillId="0" borderId="71" xfId="14" applyNumberFormat="1" applyFont="1" applyFill="1" applyBorder="1" applyAlignment="1">
      <alignment horizontal="centerContinuous"/>
    </xf>
    <xf numFmtId="164" fontId="8" fillId="0" borderId="68" xfId="14" applyNumberFormat="1" applyFont="1" applyFill="1" applyBorder="1" applyAlignment="1">
      <alignment horizontal="center"/>
    </xf>
    <xf numFmtId="164" fontId="8" fillId="0" borderId="77" xfId="14" applyNumberFormat="1" applyFont="1" applyFill="1" applyBorder="1" applyAlignment="1">
      <alignment horizontal="center"/>
    </xf>
    <xf numFmtId="164" fontId="8" fillId="0" borderId="53" xfId="14" applyNumberFormat="1" applyFont="1" applyFill="1" applyBorder="1" applyAlignment="1">
      <alignment horizontal="center"/>
    </xf>
    <xf numFmtId="164" fontId="8" fillId="0" borderId="77" xfId="15" applyNumberFormat="1" applyFont="1" applyFill="1" applyBorder="1" applyAlignment="1">
      <alignment horizontal="center"/>
    </xf>
    <xf numFmtId="164" fontId="8" fillId="0" borderId="53" xfId="15" applyNumberFormat="1" applyFont="1" applyFill="1" applyBorder="1" applyAlignment="1">
      <alignment horizontal="center"/>
    </xf>
    <xf numFmtId="0" fontId="8" fillId="0" borderId="77" xfId="0" applyFont="1" applyBorder="1" applyAlignment="1">
      <alignment horizontal="center"/>
    </xf>
    <xf numFmtId="37" fontId="8" fillId="0" borderId="73" xfId="14" applyNumberFormat="1" applyFont="1" applyBorder="1" applyAlignment="1">
      <alignment horizontal="centerContinuous"/>
    </xf>
    <xf numFmtId="37" fontId="8" fillId="0" borderId="70" xfId="14" applyNumberFormat="1" applyFont="1" applyFill="1" applyBorder="1" applyAlignment="1">
      <alignment horizontal="centerContinuous"/>
    </xf>
    <xf numFmtId="37" fontId="8" fillId="0" borderId="71" xfId="14" applyNumberFormat="1" applyFont="1" applyBorder="1" applyAlignment="1">
      <alignment horizontal="centerContinuous"/>
    </xf>
    <xf numFmtId="37" fontId="8" fillId="0" borderId="68" xfId="15" applyNumberFormat="1" applyFont="1" applyBorder="1" applyAlignment="1">
      <alignment horizontal="center"/>
    </xf>
    <xf numFmtId="37" fontId="8" fillId="0" borderId="68" xfId="15" applyNumberFormat="1" applyFont="1" applyFill="1" applyBorder="1" applyAlignment="1">
      <alignment horizontal="center"/>
    </xf>
    <xf numFmtId="0" fontId="5" fillId="0" borderId="78" xfId="0" applyFont="1" applyFill="1" applyBorder="1" applyAlignment="1">
      <alignment horizontal="center"/>
    </xf>
    <xf numFmtId="37" fontId="5" fillId="0" borderId="78" xfId="0" applyNumberFormat="1" applyFont="1" applyFill="1" applyBorder="1"/>
    <xf numFmtId="0" fontId="7" fillId="0" borderId="2" xfId="0" applyFont="1" applyFill="1" applyBorder="1" applyAlignment="1">
      <alignment horizontal="center"/>
    </xf>
    <xf numFmtId="166" fontId="5" fillId="0" borderId="2" xfId="1" applyNumberFormat="1" applyFont="1" applyFill="1" applyBorder="1" applyAlignment="1">
      <alignment horizontal="center"/>
    </xf>
    <xf numFmtId="37" fontId="5" fillId="0" borderId="2" xfId="1" applyNumberFormat="1" applyFont="1" applyFill="1" applyBorder="1" applyAlignment="1"/>
    <xf numFmtId="164" fontId="5" fillId="0" borderId="2" xfId="0" quotePrefix="1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37" fontId="5" fillId="0" borderId="2" xfId="0" applyNumberFormat="1" applyFont="1" applyFill="1" applyBorder="1" applyAlignment="1"/>
    <xf numFmtId="165" fontId="5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37" fontId="5" fillId="2" borderId="82" xfId="0" applyNumberFormat="1" applyFont="1" applyFill="1" applyBorder="1"/>
    <xf numFmtId="37" fontId="5" fillId="2" borderId="84" xfId="0" applyNumberFormat="1" applyFont="1" applyFill="1" applyBorder="1"/>
    <xf numFmtId="37" fontId="5" fillId="2" borderId="85" xfId="0" applyNumberFormat="1" applyFont="1" applyFill="1" applyBorder="1"/>
    <xf numFmtId="37" fontId="5" fillId="2" borderId="87" xfId="0" applyNumberFormat="1" applyFont="1" applyFill="1" applyBorder="1"/>
    <xf numFmtId="37" fontId="5" fillId="2" borderId="88" xfId="0" applyNumberFormat="1" applyFont="1" applyFill="1" applyBorder="1"/>
    <xf numFmtId="37" fontId="5" fillId="2" borderId="90" xfId="0" applyNumberFormat="1" applyFont="1" applyFill="1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8" fillId="2" borderId="71" xfId="0" applyFont="1" applyFill="1" applyBorder="1"/>
    <xf numFmtId="0" fontId="5" fillId="2" borderId="73" xfId="0" applyFont="1" applyFill="1" applyBorder="1" applyAlignment="1">
      <alignment horizontal="center"/>
    </xf>
    <xf numFmtId="0" fontId="5" fillId="2" borderId="70" xfId="0" applyFont="1" applyFill="1" applyBorder="1" applyAlignment="1">
      <alignment horizontal="center"/>
    </xf>
    <xf numFmtId="0" fontId="5" fillId="2" borderId="70" xfId="0" applyFont="1" applyFill="1" applyBorder="1"/>
    <xf numFmtId="164" fontId="5" fillId="2" borderId="70" xfId="0" applyNumberFormat="1" applyFont="1" applyFill="1" applyBorder="1" applyAlignment="1">
      <alignment horizontal="center"/>
    </xf>
    <xf numFmtId="0" fontId="5" fillId="2" borderId="71" xfId="0" applyFont="1" applyFill="1" applyBorder="1" applyAlignment="1">
      <alignment horizontal="center"/>
    </xf>
    <xf numFmtId="0" fontId="5" fillId="0" borderId="78" xfId="0" applyFont="1" applyFill="1" applyBorder="1"/>
    <xf numFmtId="164" fontId="5" fillId="0" borderId="78" xfId="0" applyNumberFormat="1" applyFont="1" applyFill="1" applyBorder="1" applyAlignment="1">
      <alignment horizontal="center"/>
    </xf>
    <xf numFmtId="0" fontId="1" fillId="0" borderId="78" xfId="0" applyFont="1" applyFill="1" applyBorder="1"/>
    <xf numFmtId="0" fontId="1" fillId="0" borderId="78" xfId="0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37" fontId="1" fillId="0" borderId="78" xfId="0" applyNumberFormat="1" applyFont="1" applyFill="1" applyBorder="1"/>
    <xf numFmtId="37" fontId="1" fillId="0" borderId="2" xfId="0" applyNumberFormat="1" applyFont="1" applyFill="1" applyBorder="1"/>
    <xf numFmtId="37" fontId="1" fillId="0" borderId="3" xfId="0" applyNumberFormat="1" applyFont="1" applyBorder="1"/>
    <xf numFmtId="37" fontId="1" fillId="0" borderId="3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7" fontId="12" fillId="2" borderId="71" xfId="0" applyNumberFormat="1" applyFont="1" applyFill="1" applyBorder="1"/>
    <xf numFmtId="0" fontId="1" fillId="0" borderId="2" xfId="0" applyFont="1" applyBorder="1"/>
    <xf numFmtId="0" fontId="1" fillId="0" borderId="3" xfId="0" applyFont="1" applyBorder="1"/>
    <xf numFmtId="0" fontId="8" fillId="0" borderId="73" xfId="0" applyFont="1" applyFill="1" applyBorder="1" applyAlignment="1">
      <alignment horizontal="centerContinuous" vertical="center"/>
    </xf>
    <xf numFmtId="0" fontId="8" fillId="0" borderId="70" xfId="0" applyFont="1" applyFill="1" applyBorder="1" applyAlignment="1">
      <alignment horizontal="centerContinuous" vertical="center"/>
    </xf>
    <xf numFmtId="0" fontId="5" fillId="0" borderId="44" xfId="0" applyFont="1" applyFill="1" applyBorder="1" applyAlignment="1">
      <alignment horizontal="center"/>
    </xf>
    <xf numFmtId="0" fontId="7" fillId="0" borderId="44" xfId="0" quotePrefix="1" applyFont="1" applyFill="1" applyBorder="1" applyAlignment="1">
      <alignment horizontal="center"/>
    </xf>
    <xf numFmtId="165" fontId="1" fillId="0" borderId="78" xfId="0" applyNumberFormat="1" applyFont="1" applyFill="1" applyBorder="1" applyAlignment="1">
      <alignment horizontal="center"/>
    </xf>
    <xf numFmtId="166" fontId="1" fillId="0" borderId="78" xfId="1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6" fontId="1" fillId="0" borderId="2" xfId="1" applyNumberFormat="1" applyFont="1" applyFill="1" applyBorder="1" applyAlignment="1">
      <alignment horizontal="center"/>
    </xf>
    <xf numFmtId="173" fontId="1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165" fontId="8" fillId="2" borderId="70" xfId="0" applyNumberFormat="1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164" fontId="8" fillId="2" borderId="71" xfId="2" applyNumberFormat="1" applyFont="1" applyFill="1" applyBorder="1" applyAlignment="1">
      <alignment horizontal="center"/>
    </xf>
    <xf numFmtId="0" fontId="1" fillId="2" borderId="73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164" fontId="8" fillId="2" borderId="70" xfId="2" applyNumberFormat="1" applyFont="1" applyFill="1" applyBorder="1" applyAlignment="1">
      <alignment horizontal="center"/>
    </xf>
    <xf numFmtId="0" fontId="1" fillId="2" borderId="82" xfId="0" applyFont="1" applyFill="1" applyBorder="1" applyAlignment="1">
      <alignment horizontal="center"/>
    </xf>
    <xf numFmtId="0" fontId="1" fillId="2" borderId="83" xfId="0" applyFont="1" applyFill="1" applyBorder="1" applyAlignment="1">
      <alignment horizontal="center"/>
    </xf>
    <xf numFmtId="0" fontId="1" fillId="2" borderId="83" xfId="0" applyFont="1" applyFill="1" applyBorder="1"/>
    <xf numFmtId="0" fontId="5" fillId="2" borderId="83" xfId="0" applyFont="1" applyFill="1" applyBorder="1"/>
    <xf numFmtId="37" fontId="12" fillId="2" borderId="83" xfId="0" applyNumberFormat="1" applyFont="1" applyFill="1" applyBorder="1"/>
    <xf numFmtId="0" fontId="5" fillId="2" borderId="82" xfId="0" applyFont="1" applyFill="1" applyBorder="1" applyAlignment="1">
      <alignment horizontal="center"/>
    </xf>
    <xf numFmtId="37" fontId="5" fillId="2" borderId="83" xfId="0" applyNumberFormat="1" applyFont="1" applyFill="1" applyBorder="1"/>
    <xf numFmtId="0" fontId="5" fillId="2" borderId="88" xfId="0" applyFont="1" applyFill="1" applyBorder="1" applyAlignment="1">
      <alignment horizontal="center"/>
    </xf>
    <xf numFmtId="0" fontId="5" fillId="2" borderId="89" xfId="0" applyFont="1" applyFill="1" applyBorder="1"/>
    <xf numFmtId="37" fontId="5" fillId="2" borderId="89" xfId="0" applyNumberFormat="1" applyFont="1" applyFill="1" applyBorder="1"/>
    <xf numFmtId="37" fontId="12" fillId="2" borderId="82" xfId="0" applyNumberFormat="1" applyFont="1" applyFill="1" applyBorder="1"/>
    <xf numFmtId="166" fontId="5" fillId="2" borderId="88" xfId="1" applyNumberFormat="1" applyFont="1" applyFill="1" applyBorder="1"/>
    <xf numFmtId="166" fontId="5" fillId="2" borderId="89" xfId="1" applyNumberFormat="1" applyFont="1" applyFill="1" applyBorder="1"/>
    <xf numFmtId="0" fontId="5" fillId="2" borderId="73" xfId="0" applyFont="1" applyFill="1" applyBorder="1"/>
    <xf numFmtId="37" fontId="1" fillId="2" borderId="70" xfId="0" applyNumberFormat="1" applyFont="1" applyFill="1" applyBorder="1"/>
    <xf numFmtId="37" fontId="12" fillId="0" borderId="78" xfId="0" applyNumberFormat="1" applyFont="1" applyBorder="1"/>
    <xf numFmtId="0" fontId="1" fillId="2" borderId="85" xfId="0" applyFont="1" applyFill="1" applyBorder="1" applyAlignment="1">
      <alignment horizontal="center"/>
    </xf>
    <xf numFmtId="0" fontId="1" fillId="2" borderId="86" xfId="0" applyFont="1" applyFill="1" applyBorder="1" applyAlignment="1">
      <alignment horizontal="center"/>
    </xf>
    <xf numFmtId="173" fontId="1" fillId="2" borderId="86" xfId="0" applyNumberFormat="1" applyFont="1" applyFill="1" applyBorder="1" applyAlignment="1">
      <alignment horizontal="center"/>
    </xf>
    <xf numFmtId="37" fontId="1" fillId="2" borderId="86" xfId="0" applyNumberFormat="1" applyFont="1" applyFill="1" applyBorder="1"/>
    <xf numFmtId="0" fontId="5" fillId="2" borderId="85" xfId="0" applyFont="1" applyFill="1" applyBorder="1" applyAlignment="1">
      <alignment horizontal="center"/>
    </xf>
    <xf numFmtId="166" fontId="5" fillId="2" borderId="86" xfId="1" applyNumberFormat="1" applyFont="1" applyFill="1" applyBorder="1" applyAlignment="1">
      <alignment horizontal="center"/>
    </xf>
    <xf numFmtId="37" fontId="5" fillId="2" borderId="86" xfId="0" applyNumberFormat="1" applyFont="1" applyFill="1" applyBorder="1"/>
    <xf numFmtId="37" fontId="7" fillId="0" borderId="78" xfId="0" quotePrefix="1" applyNumberFormat="1" applyFont="1" applyFill="1" applyBorder="1" applyAlignment="1">
      <alignment horizontal="center"/>
    </xf>
    <xf numFmtId="37" fontId="7" fillId="0" borderId="78" xfId="0" applyNumberFormat="1" applyFont="1" applyFill="1" applyBorder="1" applyAlignment="1">
      <alignment horizontal="center"/>
    </xf>
    <xf numFmtId="37" fontId="7" fillId="0" borderId="3" xfId="0" quotePrefix="1" applyNumberFormat="1" applyFont="1" applyFill="1" applyBorder="1" applyAlignment="1">
      <alignment horizontal="center"/>
    </xf>
    <xf numFmtId="37" fontId="7" fillId="0" borderId="3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1" fillId="0" borderId="46" xfId="0" applyFont="1" applyFill="1" applyBorder="1"/>
    <xf numFmtId="164" fontId="7" fillId="0" borderId="47" xfId="15" applyNumberFormat="1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37" fontId="7" fillId="0" borderId="46" xfId="0" applyNumberFormat="1" applyFont="1" applyFill="1" applyBorder="1"/>
    <xf numFmtId="37" fontId="7" fillId="0" borderId="9" xfId="14" applyNumberFormat="1" applyFont="1" applyFill="1" applyBorder="1" applyAlignment="1">
      <alignment horizontal="right"/>
    </xf>
    <xf numFmtId="0" fontId="8" fillId="0" borderId="71" xfId="0" applyFont="1" applyFill="1" applyBorder="1" applyAlignment="1">
      <alignment horizontal="centerContinuous" vertical="center"/>
    </xf>
    <xf numFmtId="37" fontId="7" fillId="0" borderId="77" xfId="14" applyNumberFormat="1" applyFont="1" applyFill="1" applyBorder="1" applyAlignment="1">
      <alignment horizontal="right"/>
    </xf>
    <xf numFmtId="37" fontId="7" fillId="0" borderId="9" xfId="0" applyNumberFormat="1" applyFont="1" applyFill="1" applyBorder="1"/>
    <xf numFmtId="37" fontId="7" fillId="0" borderId="9" xfId="14" applyNumberFormat="1" applyFont="1" applyFill="1" applyBorder="1" applyAlignment="1">
      <alignment horizontal="left"/>
    </xf>
    <xf numFmtId="37" fontId="7" fillId="0" borderId="9" xfId="16" applyNumberFormat="1" applyFont="1" applyBorder="1" applyAlignment="1">
      <alignment horizontal="center"/>
    </xf>
    <xf numFmtId="167" fontId="5" fillId="0" borderId="2" xfId="0" applyNumberFormat="1" applyFont="1" applyFill="1" applyBorder="1" applyAlignment="1">
      <alignment horizontal="center"/>
    </xf>
    <xf numFmtId="37" fontId="7" fillId="0" borderId="47" xfId="9" applyNumberFormat="1" applyFont="1" applyBorder="1" applyAlignment="1">
      <alignment horizontal="right"/>
    </xf>
    <xf numFmtId="37" fontId="8" fillId="0" borderId="91" xfId="14" applyNumberFormat="1" applyFont="1" applyFill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1" fillId="0" borderId="46" xfId="0" applyFont="1" applyBorder="1"/>
    <xf numFmtId="37" fontId="12" fillId="0" borderId="68" xfId="0" applyNumberFormat="1" applyFont="1" applyFill="1" applyBorder="1"/>
    <xf numFmtId="37" fontId="8" fillId="0" borderId="0" xfId="0" applyNumberFormat="1" applyFont="1" applyBorder="1"/>
    <xf numFmtId="0" fontId="5" fillId="0" borderId="7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6" fontId="1" fillId="0" borderId="89" xfId="1" applyNumberFormat="1" applyFont="1" applyFill="1" applyBorder="1"/>
    <xf numFmtId="37" fontId="12" fillId="0" borderId="83" xfId="0" applyNumberFormat="1" applyFont="1" applyFill="1" applyBorder="1"/>
    <xf numFmtId="37" fontId="12" fillId="0" borderId="70" xfId="0" applyNumberFormat="1" applyFont="1" applyFill="1" applyBorder="1"/>
    <xf numFmtId="0" fontId="5" fillId="0" borderId="93" xfId="0" applyFont="1" applyFill="1" applyBorder="1" applyAlignment="1">
      <alignment horizontal="center"/>
    </xf>
    <xf numFmtId="37" fontId="7" fillId="0" borderId="9" xfId="9" applyNumberFormat="1" applyFont="1" applyBorder="1" applyAlignment="1">
      <alignment horizontal="right"/>
    </xf>
    <xf numFmtId="0" fontId="1" fillId="0" borderId="9" xfId="0" applyFont="1" applyFill="1" applyBorder="1" applyAlignment="1">
      <alignment horizontal="center"/>
    </xf>
    <xf numFmtId="37" fontId="7" fillId="0" borderId="47" xfId="9" applyNumberFormat="1" applyFont="1" applyFill="1" applyBorder="1" applyAlignment="1">
      <alignment horizontal="right"/>
    </xf>
    <xf numFmtId="169" fontId="4" fillId="0" borderId="0" xfId="1" applyNumberFormat="1" applyFont="1"/>
    <xf numFmtId="37" fontId="1" fillId="0" borderId="0" xfId="0" applyNumberFormat="1" applyFont="1"/>
    <xf numFmtId="37" fontId="8" fillId="0" borderId="78" xfId="0" applyNumberFormat="1" applyFont="1" applyBorder="1"/>
    <xf numFmtId="37" fontId="9" fillId="0" borderId="79" xfId="0" applyNumberFormat="1" applyFont="1" applyBorder="1"/>
    <xf numFmtId="37" fontId="9" fillId="0" borderId="80" xfId="0" applyNumberFormat="1" applyFont="1" applyBorder="1"/>
    <xf numFmtId="37" fontId="9" fillId="0" borderId="81" xfId="0" applyNumberFormat="1" applyFont="1" applyBorder="1"/>
    <xf numFmtId="37" fontId="8" fillId="0" borderId="95" xfId="0" applyNumberFormat="1" applyFont="1" applyFill="1" applyBorder="1"/>
    <xf numFmtId="41" fontId="0" fillId="0" borderId="0" xfId="0" applyNumberFormat="1"/>
    <xf numFmtId="43" fontId="5" fillId="0" borderId="0" xfId="0" applyNumberFormat="1" applyFont="1" applyBorder="1" applyAlignment="1"/>
    <xf numFmtId="164" fontId="7" fillId="0" borderId="9" xfId="14" applyNumberFormat="1" applyFont="1" applyFill="1" applyBorder="1" applyAlignment="1">
      <alignment horizontal="center"/>
    </xf>
    <xf numFmtId="37" fontId="71" fillId="0" borderId="0" xfId="0" applyNumberFormat="1" applyFont="1"/>
    <xf numFmtId="37" fontId="12" fillId="0" borderId="95" xfId="0" applyNumberFormat="1" applyFont="1" applyFill="1" applyBorder="1"/>
    <xf numFmtId="174" fontId="9" fillId="0" borderId="0" xfId="7696" applyNumberFormat="1" applyFont="1"/>
    <xf numFmtId="174" fontId="5" fillId="0" borderId="0" xfId="7696" applyNumberFormat="1" applyFont="1"/>
    <xf numFmtId="37" fontId="8" fillId="0" borderId="75" xfId="14" quotePrefix="1" applyNumberFormat="1" applyFont="1" applyFill="1" applyBorder="1" applyAlignment="1">
      <alignment horizontal="center"/>
    </xf>
    <xf numFmtId="14" fontId="8" fillId="0" borderId="53" xfId="14" quotePrefix="1" applyNumberFormat="1" applyFont="1" applyFill="1" applyBorder="1" applyAlignment="1">
      <alignment horizontal="center"/>
    </xf>
    <xf numFmtId="0" fontId="1" fillId="0" borderId="0" xfId="0" applyFont="1" applyBorder="1" applyAlignment="1"/>
    <xf numFmtId="41" fontId="0" fillId="0" borderId="0" xfId="0" applyNumberFormat="1" applyFill="1"/>
    <xf numFmtId="37" fontId="8" fillId="0" borderId="62" xfId="2" applyNumberFormat="1" applyFont="1" applyFill="1" applyBorder="1" applyAlignment="1">
      <alignment horizontal="right"/>
    </xf>
    <xf numFmtId="174" fontId="1" fillId="0" borderId="0" xfId="7696" applyNumberFormat="1" applyFont="1" applyBorder="1"/>
    <xf numFmtId="174" fontId="1" fillId="0" borderId="0" xfId="0" applyNumberFormat="1" applyFont="1" applyBorder="1"/>
    <xf numFmtId="37" fontId="8" fillId="0" borderId="99" xfId="9" applyNumberFormat="1" applyFont="1" applyBorder="1" applyAlignment="1">
      <alignment horizontal="center"/>
    </xf>
    <xf numFmtId="174" fontId="5" fillId="0" borderId="0" xfId="7696" applyNumberFormat="1" applyFont="1" applyBorder="1"/>
    <xf numFmtId="174" fontId="5" fillId="0" borderId="0" xfId="0" applyNumberFormat="1" applyFont="1" applyBorder="1"/>
    <xf numFmtId="37" fontId="1" fillId="0" borderId="46" xfId="0" applyNumberFormat="1" applyFont="1" applyBorder="1"/>
    <xf numFmtId="37" fontId="5" fillId="0" borderId="94" xfId="0" applyNumberFormat="1" applyFont="1" applyFill="1" applyBorder="1"/>
    <xf numFmtId="166" fontId="1" fillId="0" borderId="90" xfId="1" applyNumberFormat="1" applyFont="1" applyFill="1" applyBorder="1"/>
    <xf numFmtId="37" fontId="12" fillId="0" borderId="113" xfId="0" applyNumberFormat="1" applyFont="1" applyFill="1" applyBorder="1"/>
    <xf numFmtId="37" fontId="8" fillId="0" borderId="116" xfId="9" applyNumberFormat="1" applyFont="1" applyBorder="1" applyAlignment="1">
      <alignment horizontal="centerContinuous"/>
    </xf>
    <xf numFmtId="37" fontId="5" fillId="0" borderId="115" xfId="0" applyNumberFormat="1" applyFont="1" applyFill="1" applyBorder="1"/>
    <xf numFmtId="37" fontId="9" fillId="0" borderId="46" xfId="0" applyNumberFormat="1" applyFont="1" applyBorder="1"/>
    <xf numFmtId="37" fontId="12" fillId="0" borderId="99" xfId="0" applyNumberFormat="1" applyFont="1" applyBorder="1"/>
    <xf numFmtId="37" fontId="10" fillId="0" borderId="44" xfId="3" quotePrefix="1" applyNumberFormat="1" applyFont="1" applyBorder="1" applyAlignment="1">
      <alignment horizontal="center" vertical="center"/>
    </xf>
    <xf numFmtId="37" fontId="1" fillId="0" borderId="0" xfId="0" applyNumberFormat="1" applyFont="1" applyBorder="1" applyAlignment="1">
      <alignment horizontal="center"/>
    </xf>
    <xf numFmtId="37" fontId="5" fillId="0" borderId="0" xfId="0" applyNumberFormat="1" applyFont="1" applyFill="1" applyBorder="1"/>
    <xf numFmtId="0" fontId="8" fillId="0" borderId="117" xfId="0" applyFont="1" applyBorder="1" applyAlignment="1">
      <alignment horizontal="center"/>
    </xf>
    <xf numFmtId="37" fontId="8" fillId="0" borderId="118" xfId="9" applyNumberFormat="1" applyFont="1" applyBorder="1" applyAlignment="1">
      <alignment horizontal="center"/>
    </xf>
    <xf numFmtId="37" fontId="7" fillId="0" borderId="119" xfId="0" applyNumberFormat="1" applyFont="1" applyBorder="1"/>
    <xf numFmtId="37" fontId="7" fillId="0" borderId="46" xfId="0" applyNumberFormat="1" applyFont="1" applyBorder="1"/>
    <xf numFmtId="37" fontId="8" fillId="0" borderId="114" xfId="9" applyNumberFormat="1" applyFont="1" applyBorder="1" applyAlignment="1">
      <alignment horizontal="center"/>
    </xf>
    <xf numFmtId="37" fontId="1" fillId="0" borderId="44" xfId="0" applyNumberFormat="1" applyFont="1" applyFill="1" applyBorder="1"/>
    <xf numFmtId="37" fontId="10" fillId="0" borderId="44" xfId="3" quotePrefix="1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/>
    </xf>
    <xf numFmtId="0" fontId="5" fillId="0" borderId="119" xfId="0" applyFont="1" applyBorder="1" applyAlignment="1">
      <alignment horizontal="center"/>
    </xf>
    <xf numFmtId="0" fontId="1" fillId="0" borderId="119" xfId="0" applyFont="1" applyBorder="1"/>
    <xf numFmtId="164" fontId="5" fillId="0" borderId="119" xfId="0" applyNumberFormat="1" applyFont="1" applyBorder="1" applyAlignment="1">
      <alignment horizontal="center"/>
    </xf>
    <xf numFmtId="37" fontId="7" fillId="0" borderId="119" xfId="0" applyNumberFormat="1" applyFont="1" applyFill="1" applyBorder="1"/>
    <xf numFmtId="37" fontId="5" fillId="0" borderId="119" xfId="0" applyNumberFormat="1" applyFont="1" applyFill="1" applyBorder="1" applyAlignment="1"/>
    <xf numFmtId="37" fontId="7" fillId="0" borderId="77" xfId="0" applyNumberFormat="1" applyFont="1" applyFill="1" applyBorder="1"/>
    <xf numFmtId="166" fontId="5" fillId="0" borderId="119" xfId="1" applyNumberFormat="1" applyFont="1" applyFill="1" applyBorder="1" applyAlignment="1">
      <alignment horizontal="center"/>
    </xf>
    <xf numFmtId="37" fontId="5" fillId="0" borderId="119" xfId="1" applyNumberFormat="1" applyFont="1" applyFill="1" applyBorder="1" applyAlignment="1"/>
    <xf numFmtId="37" fontId="5" fillId="0" borderId="119" xfId="0" applyNumberFormat="1" applyFont="1" applyFill="1" applyBorder="1"/>
    <xf numFmtId="174" fontId="8" fillId="0" borderId="0" xfId="7696" applyNumberFormat="1" applyFont="1"/>
    <xf numFmtId="174" fontId="5" fillId="0" borderId="0" xfId="0" applyNumberFormat="1" applyFont="1"/>
    <xf numFmtId="37" fontId="8" fillId="0" borderId="0" xfId="0" applyNumberFormat="1" applyFont="1"/>
    <xf numFmtId="37" fontId="9" fillId="0" borderId="0" xfId="0" applyNumberFormat="1" applyFont="1" applyBorder="1"/>
    <xf numFmtId="184" fontId="1" fillId="0" borderId="0" xfId="1" applyNumberFormat="1" applyFont="1" applyBorder="1"/>
    <xf numFmtId="166" fontId="1" fillId="0" borderId="81" xfId="1" applyNumberFormat="1" applyFont="1" applyFill="1" applyBorder="1"/>
    <xf numFmtId="0" fontId="1" fillId="2" borderId="120" xfId="0" applyFont="1" applyFill="1" applyBorder="1" applyAlignment="1">
      <alignment horizontal="center"/>
    </xf>
    <xf numFmtId="37" fontId="8" fillId="0" borderId="116" xfId="14" applyNumberFormat="1" applyFont="1" applyBorder="1" applyAlignment="1">
      <alignment horizontal="centerContinuous"/>
    </xf>
    <xf numFmtId="37" fontId="8" fillId="0" borderId="114" xfId="15" applyNumberFormat="1" applyFont="1" applyBorder="1" applyAlignment="1">
      <alignment horizontal="center"/>
    </xf>
    <xf numFmtId="37" fontId="7" fillId="0" borderId="123" xfId="0" applyNumberFormat="1" applyFont="1" applyFill="1" applyBorder="1"/>
    <xf numFmtId="0" fontId="12" fillId="0" borderId="114" xfId="0" applyFont="1" applyBorder="1" applyAlignment="1">
      <alignment horizontal="center" wrapText="1"/>
    </xf>
    <xf numFmtId="0" fontId="12" fillId="0" borderId="114" xfId="0" applyFont="1" applyBorder="1" applyAlignment="1">
      <alignment horizontal="center"/>
    </xf>
    <xf numFmtId="0" fontId="12" fillId="0" borderId="114" xfId="0" applyFont="1" applyFill="1" applyBorder="1" applyAlignment="1">
      <alignment horizontal="center"/>
    </xf>
    <xf numFmtId="0" fontId="12" fillId="0" borderId="0" xfId="0" applyFont="1"/>
    <xf numFmtId="37" fontId="1" fillId="0" borderId="123" xfId="7696" applyNumberFormat="1" applyFont="1" applyBorder="1"/>
    <xf numFmtId="37" fontId="1" fillId="0" borderId="9" xfId="7696" applyNumberFormat="1" applyFont="1" applyBorder="1"/>
    <xf numFmtId="43" fontId="1" fillId="0" borderId="0" xfId="7696" applyFont="1"/>
    <xf numFmtId="37" fontId="1" fillId="0" borderId="118" xfId="7696" applyNumberFormat="1" applyFont="1" applyBorder="1"/>
    <xf numFmtId="174" fontId="12" fillId="0" borderId="0" xfId="7696" applyNumberFormat="1" applyFont="1" applyBorder="1"/>
    <xf numFmtId="0" fontId="12" fillId="0" borderId="0" xfId="7696" applyNumberFormat="1" applyFont="1" applyBorder="1"/>
    <xf numFmtId="37" fontId="1" fillId="0" borderId="114" xfId="7696" applyNumberFormat="1" applyFont="1" applyBorder="1"/>
    <xf numFmtId="0" fontId="12" fillId="0" borderId="0" xfId="0" applyFont="1" applyBorder="1" applyAlignment="1">
      <alignment horizontal="center" wrapText="1"/>
    </xf>
    <xf numFmtId="0" fontId="12" fillId="0" borderId="0" xfId="0" applyFont="1" applyBorder="1"/>
    <xf numFmtId="174" fontId="12" fillId="0" borderId="114" xfId="0" applyNumberFormat="1" applyFont="1" applyBorder="1"/>
    <xf numFmtId="0" fontId="12" fillId="0" borderId="0" xfId="0" applyFont="1" applyBorder="1" applyAlignment="1">
      <alignment horizontal="center"/>
    </xf>
    <xf numFmtId="43" fontId="1" fillId="0" borderId="0" xfId="7696" applyFont="1" applyBorder="1"/>
    <xf numFmtId="0" fontId="1" fillId="0" borderId="0" xfId="0" applyFont="1" applyFill="1"/>
    <xf numFmtId="37" fontId="12" fillId="0" borderId="114" xfId="7696" applyNumberFormat="1" applyFont="1" applyBorder="1"/>
    <xf numFmtId="174" fontId="12" fillId="0" borderId="114" xfId="7696" applyNumberFormat="1" applyFont="1" applyBorder="1"/>
    <xf numFmtId="174" fontId="1" fillId="0" borderId="0" xfId="7696" applyNumberFormat="1" applyFont="1"/>
    <xf numFmtId="0" fontId="1" fillId="0" borderId="123" xfId="0" applyFont="1" applyBorder="1"/>
    <xf numFmtId="184" fontId="1" fillId="0" borderId="9" xfId="1" applyNumberFormat="1" applyFont="1" applyBorder="1"/>
    <xf numFmtId="184" fontId="1" fillId="0" borderId="114" xfId="1" applyNumberFormat="1" applyFont="1" applyBorder="1"/>
    <xf numFmtId="184" fontId="1" fillId="0" borderId="0" xfId="1" applyNumberFormat="1" applyFont="1"/>
    <xf numFmtId="0" fontId="12" fillId="0" borderId="9" xfId="0" applyFont="1" applyBorder="1"/>
    <xf numFmtId="0" fontId="12" fillId="0" borderId="118" xfId="0" applyFont="1" applyFill="1" applyBorder="1"/>
    <xf numFmtId="0" fontId="12" fillId="0" borderId="114" xfId="0" applyFont="1" applyBorder="1"/>
    <xf numFmtId="0" fontId="12" fillId="0" borderId="118" xfId="0" applyFont="1" applyBorder="1"/>
    <xf numFmtId="0" fontId="12" fillId="0" borderId="123" xfId="0" applyFont="1" applyBorder="1"/>
    <xf numFmtId="0" fontId="12" fillId="0" borderId="9" xfId="0" applyFont="1" applyFill="1" applyBorder="1"/>
    <xf numFmtId="184" fontId="1" fillId="0" borderId="123" xfId="1" applyNumberFormat="1" applyFont="1" applyBorder="1"/>
    <xf numFmtId="184" fontId="1" fillId="0" borderId="118" xfId="1" applyNumberFormat="1" applyFont="1" applyBorder="1"/>
    <xf numFmtId="0" fontId="12" fillId="0" borderId="120" xfId="0" applyFont="1" applyBorder="1"/>
    <xf numFmtId="0" fontId="12" fillId="0" borderId="114" xfId="7696" applyNumberFormat="1" applyFont="1" applyFill="1" applyBorder="1"/>
    <xf numFmtId="174" fontId="12" fillId="0" borderId="114" xfId="7696" applyNumberFormat="1" applyFont="1" applyFill="1" applyBorder="1"/>
    <xf numFmtId="37" fontId="4" fillId="0" borderId="0" xfId="0" applyNumberFormat="1" applyFont="1" applyBorder="1"/>
    <xf numFmtId="37" fontId="9" fillId="0" borderId="0" xfId="0" applyNumberFormat="1" applyFont="1" applyFill="1" applyBorder="1"/>
    <xf numFmtId="37" fontId="12" fillId="0" borderId="0" xfId="0" applyNumberFormat="1" applyFont="1" applyFill="1" applyBorder="1"/>
    <xf numFmtId="37" fontId="12" fillId="0" borderId="0" xfId="0" applyNumberFormat="1" applyFont="1" applyBorder="1"/>
    <xf numFmtId="0" fontId="12" fillId="0" borderId="123" xfId="0" applyFont="1" applyBorder="1" applyAlignment="1">
      <alignment horizontal="center" wrapText="1"/>
    </xf>
    <xf numFmtId="0" fontId="12" fillId="0" borderId="123" xfId="0" applyFont="1" applyBorder="1" applyAlignment="1">
      <alignment horizontal="center"/>
    </xf>
    <xf numFmtId="0" fontId="12" fillId="0" borderId="118" xfId="0" applyFont="1" applyBorder="1" applyAlignment="1">
      <alignment horizontal="center"/>
    </xf>
    <xf numFmtId="0" fontId="12" fillId="0" borderId="121" xfId="0" applyFont="1" applyBorder="1" applyAlignment="1">
      <alignment horizontal="center"/>
    </xf>
    <xf numFmtId="0" fontId="1" fillId="0" borderId="118" xfId="0" applyFont="1" applyBorder="1"/>
    <xf numFmtId="174" fontId="12" fillId="0" borderId="114" xfId="7696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/>
    </xf>
    <xf numFmtId="37" fontId="12" fillId="0" borderId="124" xfId="0" applyNumberFormat="1" applyFont="1" applyBorder="1"/>
    <xf numFmtId="37" fontId="12" fillId="0" borderId="122" xfId="0" applyNumberFormat="1" applyFont="1" applyBorder="1" applyAlignment="1">
      <alignment horizontal="center"/>
    </xf>
    <xf numFmtId="37" fontId="12" fillId="0" borderId="122" xfId="0" applyNumberFormat="1" applyFont="1" applyBorder="1"/>
    <xf numFmtId="37" fontId="1" fillId="0" borderId="126" xfId="0" applyNumberFormat="1" applyFont="1" applyBorder="1"/>
    <xf numFmtId="37" fontId="1" fillId="0" borderId="127" xfId="0" applyNumberFormat="1" applyFont="1" applyBorder="1"/>
    <xf numFmtId="37" fontId="1" fillId="0" borderId="128" xfId="0" applyNumberFormat="1" applyFont="1" applyBorder="1"/>
    <xf numFmtId="37" fontId="1" fillId="0" borderId="116" xfId="0" applyNumberFormat="1" applyFont="1" applyBorder="1" applyAlignment="1"/>
    <xf numFmtId="37" fontId="1" fillId="0" borderId="129" xfId="0" applyNumberFormat="1" applyFont="1" applyBorder="1"/>
    <xf numFmtId="37" fontId="12" fillId="0" borderId="116" xfId="0" applyNumberFormat="1" applyFont="1" applyBorder="1" applyAlignment="1"/>
    <xf numFmtId="37" fontId="12" fillId="0" borderId="124" xfId="0" applyNumberFormat="1" applyFont="1" applyBorder="1" applyAlignment="1">
      <alignment horizontal="center"/>
    </xf>
    <xf numFmtId="37" fontId="1" fillId="75" borderId="126" xfId="0" applyNumberFormat="1" applyFont="1" applyFill="1" applyBorder="1"/>
    <xf numFmtId="37" fontId="1" fillId="75" borderId="127" xfId="0" applyNumberFormat="1" applyFont="1" applyFill="1" applyBorder="1"/>
    <xf numFmtId="37" fontId="1" fillId="75" borderId="128" xfId="0" applyNumberFormat="1" applyFont="1" applyFill="1" applyBorder="1"/>
    <xf numFmtId="37" fontId="12" fillId="0" borderId="116" xfId="0" applyNumberFormat="1" applyFont="1" applyBorder="1"/>
    <xf numFmtId="185" fontId="1" fillId="0" borderId="126" xfId="0" quotePrefix="1" applyNumberFormat="1" applyFont="1" applyBorder="1" applyAlignment="1">
      <alignment horizontal="right"/>
    </xf>
    <xf numFmtId="185" fontId="1" fillId="0" borderId="0" xfId="0" quotePrefix="1" applyNumberFormat="1" applyFont="1" applyAlignment="1">
      <alignment horizontal="right"/>
    </xf>
    <xf numFmtId="37" fontId="1" fillId="0" borderId="100" xfId="0" applyNumberFormat="1" applyFont="1" applyBorder="1"/>
    <xf numFmtId="185" fontId="1" fillId="0" borderId="127" xfId="0" applyNumberFormat="1" applyFont="1" applyBorder="1" applyAlignment="1">
      <alignment horizontal="right"/>
    </xf>
    <xf numFmtId="185" fontId="1" fillId="0" borderId="0" xfId="0" applyNumberFormat="1" applyFont="1" applyAlignment="1">
      <alignment horizontal="right"/>
    </xf>
    <xf numFmtId="39" fontId="1" fillId="0" borderId="127" xfId="0" applyNumberFormat="1" applyFont="1" applyBorder="1" applyAlignment="1">
      <alignment horizontal="right"/>
    </xf>
    <xf numFmtId="39" fontId="1" fillId="0" borderId="0" xfId="0" applyNumberFormat="1" applyFont="1" applyAlignment="1">
      <alignment horizontal="right"/>
    </xf>
    <xf numFmtId="185" fontId="1" fillId="0" borderId="129" xfId="0" applyNumberFormat="1" applyFont="1" applyBorder="1" applyAlignment="1">
      <alignment horizontal="right"/>
    </xf>
    <xf numFmtId="185" fontId="12" fillId="0" borderId="116" xfId="0" applyNumberFormat="1" applyFont="1" applyBorder="1" applyAlignment="1"/>
    <xf numFmtId="185" fontId="1" fillId="0" borderId="0" xfId="0" applyNumberFormat="1" applyFont="1" applyAlignment="1">
      <alignment horizontal="center"/>
    </xf>
    <xf numFmtId="185" fontId="107" fillId="0" borderId="0" xfId="0" applyNumberFormat="1" applyFont="1" applyAlignment="1">
      <alignment horizontal="right"/>
    </xf>
    <xf numFmtId="0" fontId="1" fillId="0" borderId="119" xfId="0" applyFont="1" applyFill="1" applyBorder="1"/>
    <xf numFmtId="0" fontId="8" fillId="0" borderId="114" xfId="0" applyFont="1" applyBorder="1"/>
    <xf numFmtId="37" fontId="12" fillId="0" borderId="79" xfId="0" applyNumberFormat="1" applyFont="1" applyFill="1" applyBorder="1"/>
    <xf numFmtId="37" fontId="1" fillId="0" borderId="80" xfId="0" applyNumberFormat="1" applyFont="1" applyFill="1" applyBorder="1"/>
    <xf numFmtId="37" fontId="1" fillId="2" borderId="79" xfId="0" applyNumberFormat="1" applyFont="1" applyFill="1" applyBorder="1"/>
    <xf numFmtId="37" fontId="1" fillId="2" borderId="80" xfId="0" applyNumberFormat="1" applyFont="1" applyFill="1" applyBorder="1"/>
    <xf numFmtId="37" fontId="12" fillId="0" borderId="119" xfId="0" applyNumberFormat="1" applyFont="1" applyBorder="1"/>
    <xf numFmtId="37" fontId="12" fillId="0" borderId="44" xfId="0" applyNumberFormat="1" applyFont="1" applyFill="1" applyBorder="1"/>
    <xf numFmtId="0" fontId="1" fillId="0" borderId="2" xfId="0" applyNumberFormat="1" applyFont="1" applyFill="1" applyBorder="1" applyAlignment="1">
      <alignment horizontal="center"/>
    </xf>
    <xf numFmtId="0" fontId="8" fillId="0" borderId="114" xfId="10" applyFont="1" applyBorder="1" applyAlignment="1">
      <alignment horizontal="center"/>
    </xf>
    <xf numFmtId="37" fontId="9" fillId="0" borderId="124" xfId="0" applyNumberFormat="1" applyFont="1" applyBorder="1"/>
    <xf numFmtId="37" fontId="9" fillId="0" borderId="130" xfId="0" applyNumberFormat="1" applyFont="1" applyBorder="1"/>
    <xf numFmtId="37" fontId="9" fillId="0" borderId="131" xfId="0" applyNumberFormat="1" applyFont="1" applyBorder="1"/>
    <xf numFmtId="37" fontId="1" fillId="0" borderId="116" xfId="0" applyNumberFormat="1" applyFont="1" applyBorder="1"/>
    <xf numFmtId="37" fontId="9" fillId="0" borderId="116" xfId="0" applyNumberFormat="1" applyFont="1" applyBorder="1"/>
    <xf numFmtId="37" fontId="9" fillId="0" borderId="121" xfId="0" applyNumberFormat="1" applyFont="1" applyBorder="1"/>
    <xf numFmtId="37" fontId="12" fillId="0" borderId="117" xfId="0" applyNumberFormat="1" applyFont="1" applyBorder="1"/>
    <xf numFmtId="0" fontId="9" fillId="0" borderId="116" xfId="0" applyFont="1" applyBorder="1"/>
    <xf numFmtId="37" fontId="1" fillId="0" borderId="74" xfId="0" applyNumberFormat="1" applyFont="1" applyBorder="1"/>
    <xf numFmtId="37" fontId="1" fillId="0" borderId="120" xfId="0" applyNumberFormat="1" applyFont="1" applyBorder="1"/>
    <xf numFmtId="37" fontId="4" fillId="0" borderId="124" xfId="0" applyNumberFormat="1" applyFont="1" applyBorder="1"/>
    <xf numFmtId="37" fontId="4" fillId="0" borderId="130" xfId="0" applyNumberFormat="1" applyFont="1" applyBorder="1"/>
    <xf numFmtId="37" fontId="1" fillId="0" borderId="125" xfId="0" applyNumberFormat="1" applyFont="1" applyBorder="1"/>
    <xf numFmtId="37" fontId="4" fillId="0" borderId="131" xfId="0" applyNumberFormat="1" applyFont="1" applyBorder="1"/>
    <xf numFmtId="37" fontId="4" fillId="0" borderId="116" xfId="0" applyNumberFormat="1" applyFont="1" applyBorder="1"/>
    <xf numFmtId="37" fontId="4" fillId="0" borderId="121" xfId="0" applyNumberFormat="1" applyFont="1" applyBorder="1"/>
    <xf numFmtId="37" fontId="1" fillId="0" borderId="117" xfId="7696" applyNumberFormat="1" applyFont="1" applyBorder="1"/>
    <xf numFmtId="37" fontId="1" fillId="0" borderId="125" xfId="7696" applyNumberFormat="1" applyFont="1" applyBorder="1"/>
    <xf numFmtId="37" fontId="1" fillId="0" borderId="75" xfId="7696" applyNumberFormat="1" applyFont="1" applyBorder="1"/>
    <xf numFmtId="174" fontId="12" fillId="0" borderId="120" xfId="0" applyNumberFormat="1" applyFont="1" applyBorder="1"/>
    <xf numFmtId="0" fontId="1" fillId="2" borderId="114" xfId="0" applyFont="1" applyFill="1" applyBorder="1"/>
    <xf numFmtId="37" fontId="12" fillId="0" borderId="6" xfId="0" applyNumberFormat="1" applyFont="1" applyBorder="1" applyAlignment="1">
      <alignment horizontal="center" vertical="center" textRotation="90"/>
    </xf>
    <xf numFmtId="37" fontId="12" fillId="0" borderId="9" xfId="0" applyNumberFormat="1" applyFont="1" applyBorder="1" applyAlignment="1">
      <alignment horizontal="center" vertical="center" textRotation="90"/>
    </xf>
    <xf numFmtId="37" fontId="12" fillId="0" borderId="1" xfId="0" applyNumberFormat="1" applyFont="1" applyBorder="1" applyAlignment="1">
      <alignment horizontal="center" vertical="center" textRotation="90"/>
    </xf>
    <xf numFmtId="0" fontId="8" fillId="0" borderId="123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/>
    </xf>
    <xf numFmtId="0" fontId="8" fillId="0" borderId="118" xfId="0" applyFont="1" applyBorder="1" applyAlignment="1">
      <alignment horizontal="center" vertical="center" textRotation="90"/>
    </xf>
  </cellXfs>
  <cellStyles count="8466">
    <cellStyle name="20% - Accent1 10" xfId="6724"/>
    <cellStyle name="20% - Accent1 11" xfId="6540"/>
    <cellStyle name="20% - Accent1 12" xfId="7001"/>
    <cellStyle name="20% - Accent1 13" xfId="6705"/>
    <cellStyle name="20% - Accent1 2" xfId="172"/>
    <cellStyle name="20% - Accent1 2 10" xfId="2455"/>
    <cellStyle name="20% - Accent1 2 11" xfId="2653"/>
    <cellStyle name="20% - Accent1 2 12" xfId="3110"/>
    <cellStyle name="20% - Accent1 2 13" xfId="490"/>
    <cellStyle name="20% - Accent1 2 14" xfId="5949"/>
    <cellStyle name="20% - Accent1 2 15" xfId="6221"/>
    <cellStyle name="20% - Accent1 2 16" xfId="6958"/>
    <cellStyle name="20% - Accent1 2 17" xfId="6735"/>
    <cellStyle name="20% - Accent1 2 18" xfId="6466"/>
    <cellStyle name="20% - Accent1 2 19" xfId="7026"/>
    <cellStyle name="20% - Accent1 2 2" xfId="173"/>
    <cellStyle name="20% - Accent1 2 2 2" xfId="1234"/>
    <cellStyle name="20% - Accent1 2 2 2 2" xfId="2188"/>
    <cellStyle name="20% - Accent1 2 2 2 2 2" xfId="4080"/>
    <cellStyle name="20% - Accent1 2 2 2 2 3" xfId="4879"/>
    <cellStyle name="20% - Accent1 2 2 2 2 4" xfId="5509"/>
    <cellStyle name="20% - Accent1 2 2 2 3" xfId="3328"/>
    <cellStyle name="20% - Accent1 2 2 2 4" xfId="2812"/>
    <cellStyle name="20% - Accent1 2 2 2 5" xfId="2736"/>
    <cellStyle name="20% - Accent1 2 2 3" xfId="1213"/>
    <cellStyle name="20% - Accent1 2 2 3 2" xfId="2184"/>
    <cellStyle name="20% - Accent1 2 2 3 2 2" xfId="4076"/>
    <cellStyle name="20% - Accent1 2 2 3 2 3" xfId="4875"/>
    <cellStyle name="20% - Accent1 2 2 3 2 4" xfId="5505"/>
    <cellStyle name="20% - Accent1 2 2 3 3" xfId="3315"/>
    <cellStyle name="20% - Accent1 2 2 3 4" xfId="3544"/>
    <cellStyle name="20% - Accent1 2 2 3 5" xfId="4442"/>
    <cellStyle name="20% - Accent1 2 2 4" xfId="1859"/>
    <cellStyle name="20% - Accent1 2 2 4 2" xfId="3808"/>
    <cellStyle name="20% - Accent1 2 2 4 3" xfId="4650"/>
    <cellStyle name="20% - Accent1 2 2 4 4" xfId="5333"/>
    <cellStyle name="20% - Accent1 2 2 5" xfId="2655"/>
    <cellStyle name="20% - Accent1 2 2 6" xfId="2996"/>
    <cellStyle name="20% - Accent1 2 2 7" xfId="3762"/>
    <cellStyle name="20% - Accent1 2 20" xfId="6959"/>
    <cellStyle name="20% - Accent1 2 21" xfId="6310"/>
    <cellStyle name="20% - Accent1 2 22" xfId="6999"/>
    <cellStyle name="20% - Accent1 2 3" xfId="432"/>
    <cellStyle name="20% - Accent1 2 3 2" xfId="1287"/>
    <cellStyle name="20% - Accent1 2 3 2 2" xfId="2241"/>
    <cellStyle name="20% - Accent1 2 3 2 2 2" xfId="4133"/>
    <cellStyle name="20% - Accent1 2 3 2 2 3" xfId="4932"/>
    <cellStyle name="20% - Accent1 2 3 2 2 4" xfId="5562"/>
    <cellStyle name="20% - Accent1 2 3 2 3" xfId="3381"/>
    <cellStyle name="20% - Accent1 2 3 2 4" xfId="2531"/>
    <cellStyle name="20% - Accent1 2 3 2 5" xfId="3768"/>
    <cellStyle name="20% - Accent1 2 3 3" xfId="1301"/>
    <cellStyle name="20% - Accent1 2 3 3 2" xfId="2252"/>
    <cellStyle name="20% - Accent1 2 3 3 2 2" xfId="4144"/>
    <cellStyle name="20% - Accent1 2 3 3 2 3" xfId="4943"/>
    <cellStyle name="20% - Accent1 2 3 3 2 4" xfId="5573"/>
    <cellStyle name="20% - Accent1 2 3 3 3" xfId="3394"/>
    <cellStyle name="20% - Accent1 2 3 3 4" xfId="2519"/>
    <cellStyle name="20% - Accent1 2 3 3 5" xfId="3754"/>
    <cellStyle name="20% - Accent1 2 3 4" xfId="1909"/>
    <cellStyle name="20% - Accent1 2 3 4 2" xfId="3858"/>
    <cellStyle name="20% - Accent1 2 3 4 3" xfId="4700"/>
    <cellStyle name="20% - Accent1 2 3 4 4" xfId="5383"/>
    <cellStyle name="20% - Accent1 2 3 5" xfId="2715"/>
    <cellStyle name="20% - Accent1 2 3 6" xfId="2598"/>
    <cellStyle name="20% - Accent1 2 3 7" xfId="2642"/>
    <cellStyle name="20% - Accent1 2 4" xfId="876"/>
    <cellStyle name="20% - Accent1 2 4 2" xfId="1343"/>
    <cellStyle name="20% - Accent1 2 4 2 2" xfId="2289"/>
    <cellStyle name="20% - Accent1 2 4 2 2 2" xfId="4181"/>
    <cellStyle name="20% - Accent1 2 4 2 2 3" xfId="4980"/>
    <cellStyle name="20% - Accent1 2 4 2 2 4" xfId="5610"/>
    <cellStyle name="20% - Accent1 2 4 2 3" xfId="3433"/>
    <cellStyle name="20% - Accent1 2 4 2 4" xfId="2460"/>
    <cellStyle name="20% - Accent1 2 4 2 5" xfId="2652"/>
    <cellStyle name="20% - Accent1 2 4 3" xfId="1583"/>
    <cellStyle name="20% - Accent1 2 4 3 2" xfId="2376"/>
    <cellStyle name="20% - Accent1 2 4 3 2 2" xfId="4268"/>
    <cellStyle name="20% - Accent1 2 4 3 2 3" xfId="5067"/>
    <cellStyle name="20% - Accent1 2 4 3 2 4" xfId="5697"/>
    <cellStyle name="20% - Accent1 2 4 3 3" xfId="3609"/>
    <cellStyle name="20% - Accent1 2 4 3 4" xfId="4487"/>
    <cellStyle name="20% - Accent1 2 4 3 5" xfId="5229"/>
    <cellStyle name="20% - Accent1 2 4 4" xfId="1911"/>
    <cellStyle name="20% - Accent1 2 4 4 2" xfId="3860"/>
    <cellStyle name="20% - Accent1 2 4 4 3" xfId="4702"/>
    <cellStyle name="20% - Accent1 2 4 4 4" xfId="5385"/>
    <cellStyle name="20% - Accent1 2 4 5" xfId="3004"/>
    <cellStyle name="20% - Accent1 2 4 6" xfId="3659"/>
    <cellStyle name="20% - Accent1 2 4 7" xfId="4534"/>
    <cellStyle name="20% - Accent1 2 5" xfId="985"/>
    <cellStyle name="20% - Accent1 2 5 2" xfId="1417"/>
    <cellStyle name="20% - Accent1 2 5 2 2" xfId="2335"/>
    <cellStyle name="20% - Accent1 2 5 2 2 2" xfId="4227"/>
    <cellStyle name="20% - Accent1 2 5 2 2 3" xfId="5026"/>
    <cellStyle name="20% - Accent1 2 5 2 2 4" xfId="5656"/>
    <cellStyle name="20% - Accent1 2 5 2 3" xfId="3499"/>
    <cellStyle name="20% - Accent1 2 5 2 4" xfId="4402"/>
    <cellStyle name="20% - Accent1 2 5 2 5" xfId="5188"/>
    <cellStyle name="20% - Accent1 2 5 3" xfId="1654"/>
    <cellStyle name="20% - Accent1 2 5 3 2" xfId="2419"/>
    <cellStyle name="20% - Accent1 2 5 3 2 2" xfId="4311"/>
    <cellStyle name="20% - Accent1 2 5 3 2 3" xfId="5110"/>
    <cellStyle name="20% - Accent1 2 5 3 2 4" xfId="5740"/>
    <cellStyle name="20% - Accent1 2 5 3 3" xfId="3666"/>
    <cellStyle name="20% - Accent1 2 5 3 4" xfId="4540"/>
    <cellStyle name="20% - Accent1 2 5 3 5" xfId="5272"/>
    <cellStyle name="20% - Accent1 2 5 4" xfId="1982"/>
    <cellStyle name="20% - Accent1 2 5 4 2" xfId="3922"/>
    <cellStyle name="20% - Accent1 2 5 4 3" xfId="4758"/>
    <cellStyle name="20% - Accent1 2 5 4 4" xfId="5428"/>
    <cellStyle name="20% - Accent1 2 5 5" xfId="3099"/>
    <cellStyle name="20% - Accent1 2 5 6" xfId="3664"/>
    <cellStyle name="20% - Accent1 2 5 7" xfId="4538"/>
    <cellStyle name="20% - Accent1 2 6" xfId="1029"/>
    <cellStyle name="20% - Accent1 2 6 2" xfId="1455"/>
    <cellStyle name="20% - Accent1 2 6 2 2" xfId="2352"/>
    <cellStyle name="20% - Accent1 2 6 2 2 2" xfId="4244"/>
    <cellStyle name="20% - Accent1 2 6 2 2 3" xfId="5043"/>
    <cellStyle name="20% - Accent1 2 6 2 2 4" xfId="5673"/>
    <cellStyle name="20% - Accent1 2 6 2 3" xfId="3527"/>
    <cellStyle name="20% - Accent1 2 6 2 4" xfId="4425"/>
    <cellStyle name="20% - Accent1 2 6 2 5" xfId="5205"/>
    <cellStyle name="20% - Accent1 2 6 3" xfId="1690"/>
    <cellStyle name="20% - Accent1 2 6 3 2" xfId="2434"/>
    <cellStyle name="20% - Accent1 2 6 3 2 2" xfId="4326"/>
    <cellStyle name="20% - Accent1 2 6 3 2 3" xfId="5125"/>
    <cellStyle name="20% - Accent1 2 6 3 2 4" xfId="5755"/>
    <cellStyle name="20% - Accent1 2 6 3 3" xfId="3691"/>
    <cellStyle name="20% - Accent1 2 6 3 4" xfId="4560"/>
    <cellStyle name="20% - Accent1 2 6 3 5" xfId="5287"/>
    <cellStyle name="20% - Accent1 2 6 4" xfId="2018"/>
    <cellStyle name="20% - Accent1 2 6 4 2" xfId="3947"/>
    <cellStyle name="20% - Accent1 2 6 4 3" xfId="4778"/>
    <cellStyle name="20% - Accent1 2 6 4 4" xfId="5443"/>
    <cellStyle name="20% - Accent1 2 6 5" xfId="3140"/>
    <cellStyle name="20% - Accent1 2 6 6" xfId="3917"/>
    <cellStyle name="20% - Accent1 2 6 7" xfId="4754"/>
    <cellStyle name="20% - Accent1 2 7" xfId="1161"/>
    <cellStyle name="20% - Accent1 2 7 2" xfId="2143"/>
    <cellStyle name="20% - Accent1 2 7 2 2" xfId="4035"/>
    <cellStyle name="20% - Accent1 2 7 2 3" xfId="4834"/>
    <cellStyle name="20% - Accent1 2 7 2 4" xfId="5464"/>
    <cellStyle name="20% - Accent1 2 7 3" xfId="3270"/>
    <cellStyle name="20% - Accent1 2 7 4" xfId="2917"/>
    <cellStyle name="20% - Accent1 2 7 5" xfId="2562"/>
    <cellStyle name="20% - Accent1 2 8" xfId="1232"/>
    <cellStyle name="20% - Accent1 2 8 2" xfId="2186"/>
    <cellStyle name="20% - Accent1 2 8 2 2" xfId="4078"/>
    <cellStyle name="20% - Accent1 2 8 2 3" xfId="4877"/>
    <cellStyle name="20% - Accent1 2 8 2 4" xfId="5507"/>
    <cellStyle name="20% - Accent1 2 8 3" xfId="3326"/>
    <cellStyle name="20% - Accent1 2 8 4" xfId="2821"/>
    <cellStyle name="20% - Accent1 2 8 5" xfId="2962"/>
    <cellStyle name="20% - Accent1 2 9" xfId="1815"/>
    <cellStyle name="20% - Accent1 2 9 2" xfId="3774"/>
    <cellStyle name="20% - Accent1 2 9 3" xfId="4617"/>
    <cellStyle name="20% - Accent1 2 9 4" xfId="5307"/>
    <cellStyle name="20% - Accent1 3" xfId="174"/>
    <cellStyle name="20% - Accent1 3 10" xfId="2456"/>
    <cellStyle name="20% - Accent1 3 11" xfId="2788"/>
    <cellStyle name="20% - Accent1 3 12" xfId="2738"/>
    <cellStyle name="20% - Accent1 3 2" xfId="361"/>
    <cellStyle name="20% - Accent1 3 2 2" xfId="1235"/>
    <cellStyle name="20% - Accent1 3 2 2 2" xfId="2189"/>
    <cellStyle name="20% - Accent1 3 2 2 2 2" xfId="4081"/>
    <cellStyle name="20% - Accent1 3 2 2 2 3" xfId="4880"/>
    <cellStyle name="20% - Accent1 3 2 2 2 4" xfId="5510"/>
    <cellStyle name="20% - Accent1 3 2 2 3" xfId="3329"/>
    <cellStyle name="20% - Accent1 3 2 2 4" xfId="2805"/>
    <cellStyle name="20% - Accent1 3 2 2 5" xfId="3929"/>
    <cellStyle name="20% - Accent1 3 2 3" xfId="1212"/>
    <cellStyle name="20% - Accent1 3 2 3 2" xfId="2183"/>
    <cellStyle name="20% - Accent1 3 2 3 2 2" xfId="4075"/>
    <cellStyle name="20% - Accent1 3 2 3 2 3" xfId="4874"/>
    <cellStyle name="20% - Accent1 3 2 3 2 4" xfId="5504"/>
    <cellStyle name="20% - Accent1 3 2 3 3" xfId="3314"/>
    <cellStyle name="20% - Accent1 3 2 3 4" xfId="3708"/>
    <cellStyle name="20% - Accent1 3 2 3 5" xfId="4574"/>
    <cellStyle name="20% - Accent1 3 2 4" xfId="1860"/>
    <cellStyle name="20% - Accent1 3 2 4 2" xfId="3809"/>
    <cellStyle name="20% - Accent1 3 2 4 3" xfId="4651"/>
    <cellStyle name="20% - Accent1 3 2 4 4" xfId="5334"/>
    <cellStyle name="20% - Accent1 3 2 5" xfId="2656"/>
    <cellStyle name="20% - Accent1 3 2 6" xfId="2989"/>
    <cellStyle name="20% - Accent1 3 2 7" xfId="2685"/>
    <cellStyle name="20% - Accent1 3 3" xfId="431"/>
    <cellStyle name="20% - Accent1 3 3 2" xfId="1286"/>
    <cellStyle name="20% - Accent1 3 3 2 2" xfId="2240"/>
    <cellStyle name="20% - Accent1 3 3 2 2 2" xfId="4132"/>
    <cellStyle name="20% - Accent1 3 3 2 2 3" xfId="4931"/>
    <cellStyle name="20% - Accent1 3 3 2 2 4" xfId="5561"/>
    <cellStyle name="20% - Accent1 3 3 2 3" xfId="3380"/>
    <cellStyle name="20% - Accent1 3 3 2 4" xfId="2681"/>
    <cellStyle name="20% - Accent1 3 3 2 5" xfId="2627"/>
    <cellStyle name="20% - Accent1 3 3 3" xfId="1262"/>
    <cellStyle name="20% - Accent1 3 3 3 2" xfId="2216"/>
    <cellStyle name="20% - Accent1 3 3 3 2 2" xfId="4108"/>
    <cellStyle name="20% - Accent1 3 3 3 2 3" xfId="4907"/>
    <cellStyle name="20% - Accent1 3 3 3 2 4" xfId="5537"/>
    <cellStyle name="20% - Accent1 3 3 3 3" xfId="3356"/>
    <cellStyle name="20% - Accent1 3 3 3 4" xfId="3961"/>
    <cellStyle name="20% - Accent1 3 3 3 5" xfId="4791"/>
    <cellStyle name="20% - Accent1 3 3 4" xfId="1908"/>
    <cellStyle name="20% - Accent1 3 3 4 2" xfId="3857"/>
    <cellStyle name="20% - Accent1 3 3 4 3" xfId="4699"/>
    <cellStyle name="20% - Accent1 3 3 4 4" xfId="5382"/>
    <cellStyle name="20% - Accent1 3 3 5" xfId="2714"/>
    <cellStyle name="20% - Accent1 3 3 6" xfId="2599"/>
    <cellStyle name="20% - Accent1 3 3 7" xfId="2641"/>
    <cellStyle name="20% - Accent1 3 4" xfId="877"/>
    <cellStyle name="20% - Accent1 3 4 2" xfId="1344"/>
    <cellStyle name="20% - Accent1 3 4 2 2" xfId="2290"/>
    <cellStyle name="20% - Accent1 3 4 2 2 2" xfId="4182"/>
    <cellStyle name="20% - Accent1 3 4 2 2 3" xfId="4981"/>
    <cellStyle name="20% - Accent1 3 4 2 2 4" xfId="5611"/>
    <cellStyle name="20% - Accent1 3 4 2 3" xfId="3434"/>
    <cellStyle name="20% - Accent1 3 4 2 4" xfId="2457"/>
    <cellStyle name="20% - Accent1 3 4 2 5" xfId="2781"/>
    <cellStyle name="20% - Accent1 3 4 3" xfId="1584"/>
    <cellStyle name="20% - Accent1 3 4 3 2" xfId="2377"/>
    <cellStyle name="20% - Accent1 3 4 3 2 2" xfId="4269"/>
    <cellStyle name="20% - Accent1 3 4 3 2 3" xfId="5068"/>
    <cellStyle name="20% - Accent1 3 4 3 2 4" xfId="5698"/>
    <cellStyle name="20% - Accent1 3 4 3 3" xfId="3610"/>
    <cellStyle name="20% - Accent1 3 4 3 4" xfId="4488"/>
    <cellStyle name="20% - Accent1 3 4 3 5" xfId="5230"/>
    <cellStyle name="20% - Accent1 3 4 4" xfId="1912"/>
    <cellStyle name="20% - Accent1 3 4 4 2" xfId="3861"/>
    <cellStyle name="20% - Accent1 3 4 4 3" xfId="4703"/>
    <cellStyle name="20% - Accent1 3 4 4 4" xfId="5386"/>
    <cellStyle name="20% - Accent1 3 4 5" xfId="3005"/>
    <cellStyle name="20% - Accent1 3 4 6" xfId="3490"/>
    <cellStyle name="20% - Accent1 3 4 7" xfId="4394"/>
    <cellStyle name="20% - Accent1 3 5" xfId="984"/>
    <cellStyle name="20% - Accent1 3 5 2" xfId="1416"/>
    <cellStyle name="20% - Accent1 3 5 2 2" xfId="2334"/>
    <cellStyle name="20% - Accent1 3 5 2 2 2" xfId="4226"/>
    <cellStyle name="20% - Accent1 3 5 2 2 3" xfId="5025"/>
    <cellStyle name="20% - Accent1 3 5 2 2 4" xfId="5655"/>
    <cellStyle name="20% - Accent1 3 5 2 3" xfId="3498"/>
    <cellStyle name="20% - Accent1 3 5 2 4" xfId="4401"/>
    <cellStyle name="20% - Accent1 3 5 2 5" xfId="5187"/>
    <cellStyle name="20% - Accent1 3 5 3" xfId="1653"/>
    <cellStyle name="20% - Accent1 3 5 3 2" xfId="2418"/>
    <cellStyle name="20% - Accent1 3 5 3 2 2" xfId="4310"/>
    <cellStyle name="20% - Accent1 3 5 3 2 3" xfId="5109"/>
    <cellStyle name="20% - Accent1 3 5 3 2 4" xfId="5739"/>
    <cellStyle name="20% - Accent1 3 5 3 3" xfId="3665"/>
    <cellStyle name="20% - Accent1 3 5 3 4" xfId="4539"/>
    <cellStyle name="20% - Accent1 3 5 3 5" xfId="5271"/>
    <cellStyle name="20% - Accent1 3 5 4" xfId="1981"/>
    <cellStyle name="20% - Accent1 3 5 4 2" xfId="3921"/>
    <cellStyle name="20% - Accent1 3 5 4 3" xfId="4757"/>
    <cellStyle name="20% - Accent1 3 5 4 4" xfId="5427"/>
    <cellStyle name="20% - Accent1 3 5 5" xfId="3098"/>
    <cellStyle name="20% - Accent1 3 5 6" xfId="3919"/>
    <cellStyle name="20% - Accent1 3 5 7" xfId="4756"/>
    <cellStyle name="20% - Accent1 3 6" xfId="979"/>
    <cellStyle name="20% - Accent1 3 6 2" xfId="1412"/>
    <cellStyle name="20% - Accent1 3 6 2 2" xfId="2333"/>
    <cellStyle name="20% - Accent1 3 6 2 2 2" xfId="4225"/>
    <cellStyle name="20% - Accent1 3 6 2 2 3" xfId="5024"/>
    <cellStyle name="20% - Accent1 3 6 2 2 4" xfId="5654"/>
    <cellStyle name="20% - Accent1 3 6 2 3" xfId="3495"/>
    <cellStyle name="20% - Accent1 3 6 2 4" xfId="4399"/>
    <cellStyle name="20% - Accent1 3 6 2 5" xfId="5186"/>
    <cellStyle name="20% - Accent1 3 6 3" xfId="1649"/>
    <cellStyle name="20% - Accent1 3 6 3 2" xfId="2417"/>
    <cellStyle name="20% - Accent1 3 6 3 2 2" xfId="4309"/>
    <cellStyle name="20% - Accent1 3 6 3 2 3" xfId="5108"/>
    <cellStyle name="20% - Accent1 3 6 3 2 4" xfId="5738"/>
    <cellStyle name="20% - Accent1 3 6 3 3" xfId="3663"/>
    <cellStyle name="20% - Accent1 3 6 3 4" xfId="4537"/>
    <cellStyle name="20% - Accent1 3 6 3 5" xfId="5270"/>
    <cellStyle name="20% - Accent1 3 6 4" xfId="1977"/>
    <cellStyle name="20% - Accent1 3 6 4 2" xfId="3918"/>
    <cellStyle name="20% - Accent1 3 6 4 3" xfId="4755"/>
    <cellStyle name="20% - Accent1 3 6 4 4" xfId="5426"/>
    <cellStyle name="20% - Accent1 3 6 5" xfId="3093"/>
    <cellStyle name="20% - Accent1 3 6 6" xfId="3574"/>
    <cellStyle name="20% - Accent1 3 6 7" xfId="4464"/>
    <cellStyle name="20% - Accent1 3 7" xfId="1162"/>
    <cellStyle name="20% - Accent1 3 7 2" xfId="2144"/>
    <cellStyle name="20% - Accent1 3 7 2 2" xfId="4036"/>
    <cellStyle name="20% - Accent1 3 7 2 3" xfId="4835"/>
    <cellStyle name="20% - Accent1 3 7 2 4" xfId="5465"/>
    <cellStyle name="20% - Accent1 3 7 3" xfId="3271"/>
    <cellStyle name="20% - Accent1 3 7 4" xfId="2912"/>
    <cellStyle name="20% - Accent1 3 7 5" xfId="2564"/>
    <cellStyle name="20% - Accent1 3 8" xfId="1299"/>
    <cellStyle name="20% - Accent1 3 8 2" xfId="2251"/>
    <cellStyle name="20% - Accent1 3 8 2 2" xfId="4143"/>
    <cellStyle name="20% - Accent1 3 8 2 3" xfId="4942"/>
    <cellStyle name="20% - Accent1 3 8 2 4" xfId="5572"/>
    <cellStyle name="20% - Accent1 3 8 3" xfId="3392"/>
    <cellStyle name="20% - Accent1 3 8 4" xfId="2521"/>
    <cellStyle name="20% - Accent1 3 8 5" xfId="3983"/>
    <cellStyle name="20% - Accent1 3 9" xfId="1816"/>
    <cellStyle name="20% - Accent1 3 9 2" xfId="3775"/>
    <cellStyle name="20% - Accent1 3 9 3" xfId="4618"/>
    <cellStyle name="20% - Accent1 3 9 4" xfId="5308"/>
    <cellStyle name="20% - Accent1 4" xfId="347"/>
    <cellStyle name="20% - Accent1 5" xfId="5953"/>
    <cellStyle name="20% - Accent1 6" xfId="5871"/>
    <cellStyle name="20% - Accent1 7" xfId="5978"/>
    <cellStyle name="20% - Accent1 8" xfId="6521"/>
    <cellStyle name="20% - Accent1 9" xfId="6063"/>
    <cellStyle name="20% - Accent2 10" xfId="7024"/>
    <cellStyle name="20% - Accent2 11" xfId="6125"/>
    <cellStyle name="20% - Accent2 12" xfId="6490"/>
    <cellStyle name="20% - Accent2 13" xfId="6951"/>
    <cellStyle name="20% - Accent2 2" xfId="175"/>
    <cellStyle name="20% - Accent2 2 10" xfId="2458"/>
    <cellStyle name="20% - Accent2 2 11" xfId="2774"/>
    <cellStyle name="20% - Accent2 2 12" xfId="2571"/>
    <cellStyle name="20% - Accent2 2 13" xfId="657"/>
    <cellStyle name="20% - Accent2 2 14" xfId="6890"/>
    <cellStyle name="20% - Accent2 2 15" xfId="6925"/>
    <cellStyle name="20% - Accent2 2 16" xfId="6844"/>
    <cellStyle name="20% - Accent2 2 17" xfId="6982"/>
    <cellStyle name="20% - Accent2 2 18" xfId="7008"/>
    <cellStyle name="20% - Accent2 2 19" xfId="6534"/>
    <cellStyle name="20% - Accent2 2 2" xfId="176"/>
    <cellStyle name="20% - Accent2 2 2 2" xfId="1236"/>
    <cellStyle name="20% - Accent2 2 2 2 2" xfId="2190"/>
    <cellStyle name="20% - Accent2 2 2 2 2 2" xfId="4082"/>
    <cellStyle name="20% - Accent2 2 2 2 2 3" xfId="4881"/>
    <cellStyle name="20% - Accent2 2 2 2 2 4" xfId="5511"/>
    <cellStyle name="20% - Accent2 2 2 2 3" xfId="3330"/>
    <cellStyle name="20% - Accent2 2 2 2 4" xfId="2799"/>
    <cellStyle name="20% - Accent2 2 2 2 5" xfId="2910"/>
    <cellStyle name="20% - Accent2 2 2 3" xfId="1211"/>
    <cellStyle name="20% - Accent2 2 2 3 2" xfId="2182"/>
    <cellStyle name="20% - Accent2 2 2 3 2 2" xfId="4074"/>
    <cellStyle name="20% - Accent2 2 2 3 2 3" xfId="4873"/>
    <cellStyle name="20% - Accent2 2 2 3 2 4" xfId="5503"/>
    <cellStyle name="20% - Accent2 2 2 3 3" xfId="3313"/>
    <cellStyle name="20% - Accent2 2 2 3 4" xfId="3962"/>
    <cellStyle name="20% - Accent2 2 2 3 5" xfId="4792"/>
    <cellStyle name="20% - Accent2 2 2 4" xfId="1861"/>
    <cellStyle name="20% - Accent2 2 2 4 2" xfId="3810"/>
    <cellStyle name="20% - Accent2 2 2 4 3" xfId="4652"/>
    <cellStyle name="20% - Accent2 2 2 4 4" xfId="5335"/>
    <cellStyle name="20% - Accent2 2 2 5" xfId="2657"/>
    <cellStyle name="20% - Accent2 2 2 6" xfId="2963"/>
    <cellStyle name="20% - Accent2 2 2 7" xfId="3755"/>
    <cellStyle name="20% - Accent2 2 20" xfId="7045"/>
    <cellStyle name="20% - Accent2 2 21" xfId="7061"/>
    <cellStyle name="20% - Accent2 2 22" xfId="7074"/>
    <cellStyle name="20% - Accent2 2 3" xfId="429"/>
    <cellStyle name="20% - Accent2 2 3 2" xfId="1285"/>
    <cellStyle name="20% - Accent2 2 3 2 2" xfId="2239"/>
    <cellStyle name="20% - Accent2 2 3 2 2 2" xfId="4131"/>
    <cellStyle name="20% - Accent2 2 3 2 2 3" xfId="4930"/>
    <cellStyle name="20% - Accent2 2 3 2 2 4" xfId="5560"/>
    <cellStyle name="20% - Accent2 2 3 2 3" xfId="3379"/>
    <cellStyle name="20% - Accent2 2 3 2 4" xfId="2689"/>
    <cellStyle name="20% - Accent2 2 3 2 5" xfId="2624"/>
    <cellStyle name="20% - Accent2 2 3 3" xfId="1337"/>
    <cellStyle name="20% - Accent2 2 3 3 2" xfId="2284"/>
    <cellStyle name="20% - Accent2 2 3 3 2 2" xfId="4176"/>
    <cellStyle name="20% - Accent2 2 3 3 2 3" xfId="4975"/>
    <cellStyle name="20% - Accent2 2 3 3 2 4" xfId="5605"/>
    <cellStyle name="20% - Accent2 2 3 3 3" xfId="3428"/>
    <cellStyle name="20% - Accent2 2 3 3 4" xfId="2477"/>
    <cellStyle name="20% - Accent2 2 3 3 5" xfId="2919"/>
    <cellStyle name="20% - Accent2 2 3 4" xfId="1907"/>
    <cellStyle name="20% - Accent2 2 3 4 2" xfId="3856"/>
    <cellStyle name="20% - Accent2 2 3 4 3" xfId="4698"/>
    <cellStyle name="20% - Accent2 2 3 4 4" xfId="5381"/>
    <cellStyle name="20% - Accent2 2 3 5" xfId="2713"/>
    <cellStyle name="20% - Accent2 2 3 6" xfId="2600"/>
    <cellStyle name="20% - Accent2 2 3 7" xfId="3318"/>
    <cellStyle name="20% - Accent2 2 4" xfId="878"/>
    <cellStyle name="20% - Accent2 2 4 2" xfId="1345"/>
    <cellStyle name="20% - Accent2 2 4 2 2" xfId="2291"/>
    <cellStyle name="20% - Accent2 2 4 2 2 2" xfId="4183"/>
    <cellStyle name="20% - Accent2 2 4 2 2 3" xfId="4982"/>
    <cellStyle name="20% - Accent2 2 4 2 2 4" xfId="5612"/>
    <cellStyle name="20% - Accent2 2 4 2 3" xfId="3435"/>
    <cellStyle name="20% - Accent2 2 4 2 4" xfId="2454"/>
    <cellStyle name="20% - Accent2 2 4 2 5" xfId="2654"/>
    <cellStyle name="20% - Accent2 2 4 3" xfId="1585"/>
    <cellStyle name="20% - Accent2 2 4 3 2" xfId="2378"/>
    <cellStyle name="20% - Accent2 2 4 3 2 2" xfId="4270"/>
    <cellStyle name="20% - Accent2 2 4 3 2 3" xfId="5069"/>
    <cellStyle name="20% - Accent2 2 4 3 2 4" xfId="5699"/>
    <cellStyle name="20% - Accent2 2 4 3 3" xfId="3611"/>
    <cellStyle name="20% - Accent2 2 4 3 4" xfId="4489"/>
    <cellStyle name="20% - Accent2 2 4 3 5" xfId="5231"/>
    <cellStyle name="20% - Accent2 2 4 4" xfId="1913"/>
    <cellStyle name="20% - Accent2 2 4 4 2" xfId="3862"/>
    <cellStyle name="20% - Accent2 2 4 4 3" xfId="4704"/>
    <cellStyle name="20% - Accent2 2 4 4 4" xfId="5387"/>
    <cellStyle name="20% - Accent2 2 4 5" xfId="3006"/>
    <cellStyle name="20% - Accent2 2 4 6" xfId="3003"/>
    <cellStyle name="20% - Accent2 2 4 7" xfId="3912"/>
    <cellStyle name="20% - Accent2 2 5" xfId="953"/>
    <cellStyle name="20% - Accent2 2 5 2" xfId="1387"/>
    <cellStyle name="20% - Accent2 2 5 2 2" xfId="2332"/>
    <cellStyle name="20% - Accent2 2 5 2 2 2" xfId="4224"/>
    <cellStyle name="20% - Accent2 2 5 2 2 3" xfId="5023"/>
    <cellStyle name="20% - Accent2 2 5 2 2 4" xfId="5653"/>
    <cellStyle name="20% - Accent2 2 5 2 3" xfId="3476"/>
    <cellStyle name="20% - Accent2 2 5 2 4" xfId="4386"/>
    <cellStyle name="20% - Accent2 2 5 2 5" xfId="5185"/>
    <cellStyle name="20% - Accent2 2 5 3" xfId="1624"/>
    <cellStyle name="20% - Accent2 2 5 3 2" xfId="2416"/>
    <cellStyle name="20% - Accent2 2 5 3 2 2" xfId="4308"/>
    <cellStyle name="20% - Accent2 2 5 3 2 3" xfId="5107"/>
    <cellStyle name="20% - Accent2 2 5 3 2 4" xfId="5737"/>
    <cellStyle name="20% - Accent2 2 5 3 3" xfId="3649"/>
    <cellStyle name="20% - Accent2 2 5 3 4" xfId="4527"/>
    <cellStyle name="20% - Accent2 2 5 3 5" xfId="5269"/>
    <cellStyle name="20% - Accent2 2 5 4" xfId="1952"/>
    <cellStyle name="20% - Accent2 2 5 4 2" xfId="3900"/>
    <cellStyle name="20% - Accent2 2 5 4 3" xfId="4742"/>
    <cellStyle name="20% - Accent2 2 5 4 4" xfId="5425"/>
    <cellStyle name="20% - Accent2 2 5 5" xfId="3067"/>
    <cellStyle name="20% - Accent2 2 5 6" xfId="2863"/>
    <cellStyle name="20% - Accent2 2 5 7" xfId="2859"/>
    <cellStyle name="20% - Accent2 2 6" xfId="1022"/>
    <cellStyle name="20% - Accent2 2 6 2" xfId="1448"/>
    <cellStyle name="20% - Accent2 2 6 2 2" xfId="2347"/>
    <cellStyle name="20% - Accent2 2 6 2 2 2" xfId="4239"/>
    <cellStyle name="20% - Accent2 2 6 2 2 3" xfId="5038"/>
    <cellStyle name="20% - Accent2 2 6 2 2 4" xfId="5668"/>
    <cellStyle name="20% - Accent2 2 6 2 3" xfId="3521"/>
    <cellStyle name="20% - Accent2 2 6 2 4" xfId="4419"/>
    <cellStyle name="20% - Accent2 2 6 2 5" xfId="5200"/>
    <cellStyle name="20% - Accent2 2 6 3" xfId="1684"/>
    <cellStyle name="20% - Accent2 2 6 3 2" xfId="2430"/>
    <cellStyle name="20% - Accent2 2 6 3 2 2" xfId="4322"/>
    <cellStyle name="20% - Accent2 2 6 3 2 3" xfId="5121"/>
    <cellStyle name="20% - Accent2 2 6 3 2 4" xfId="5751"/>
    <cellStyle name="20% - Accent2 2 6 3 3" xfId="3686"/>
    <cellStyle name="20% - Accent2 2 6 3 4" xfId="4555"/>
    <cellStyle name="20% - Accent2 2 6 3 5" xfId="5283"/>
    <cellStyle name="20% - Accent2 2 6 4" xfId="2012"/>
    <cellStyle name="20% - Accent2 2 6 4 2" xfId="3942"/>
    <cellStyle name="20% - Accent2 2 6 4 3" xfId="4773"/>
    <cellStyle name="20% - Accent2 2 6 4 4" xfId="5439"/>
    <cellStyle name="20% - Accent2 2 6 5" xfId="3133"/>
    <cellStyle name="20% - Accent2 2 6 6" xfId="3999"/>
    <cellStyle name="20% - Accent2 2 6 7" xfId="4815"/>
    <cellStyle name="20% - Accent2 2 7" xfId="1163"/>
    <cellStyle name="20% - Accent2 2 7 2" xfId="2145"/>
    <cellStyle name="20% - Accent2 2 7 2 2" xfId="4037"/>
    <cellStyle name="20% - Accent2 2 7 2 3" xfId="4836"/>
    <cellStyle name="20% - Accent2 2 7 2 4" xfId="5466"/>
    <cellStyle name="20% - Accent2 2 7 3" xfId="3272"/>
    <cellStyle name="20% - Accent2 2 7 4" xfId="2905"/>
    <cellStyle name="20% - Accent2 2 7 5" xfId="3514"/>
    <cellStyle name="20% - Accent2 2 8" xfId="1296"/>
    <cellStyle name="20% - Accent2 2 8 2" xfId="2250"/>
    <cellStyle name="20% - Accent2 2 8 2 2" xfId="4142"/>
    <cellStyle name="20% - Accent2 2 8 2 3" xfId="4941"/>
    <cellStyle name="20% - Accent2 2 8 2 4" xfId="5571"/>
    <cellStyle name="20% - Accent2 2 8 3" xfId="3390"/>
    <cellStyle name="20% - Accent2 2 8 4" xfId="2522"/>
    <cellStyle name="20% - Accent2 2 8 5" xfId="3908"/>
    <cellStyle name="20% - Accent2 2 9" xfId="1817"/>
    <cellStyle name="20% - Accent2 2 9 2" xfId="3776"/>
    <cellStyle name="20% - Accent2 2 9 3" xfId="4619"/>
    <cellStyle name="20% - Accent2 2 9 4" xfId="5309"/>
    <cellStyle name="20% - Accent2 3" xfId="177"/>
    <cellStyle name="20% - Accent2 3 10" xfId="2459"/>
    <cellStyle name="20% - Accent2 3 11" xfId="2716"/>
    <cellStyle name="20% - Accent2 3 12" xfId="2597"/>
    <cellStyle name="20% - Accent2 3 2" xfId="363"/>
    <cellStyle name="20% - Accent2 3 2 2" xfId="1237"/>
    <cellStyle name="20% - Accent2 3 2 2 2" xfId="2191"/>
    <cellStyle name="20% - Accent2 3 2 2 2 2" xfId="4083"/>
    <cellStyle name="20% - Accent2 3 2 2 2 3" xfId="4882"/>
    <cellStyle name="20% - Accent2 3 2 2 2 4" xfId="5512"/>
    <cellStyle name="20% - Accent2 3 2 2 3" xfId="3331"/>
    <cellStyle name="20% - Accent2 3 2 2 4" xfId="2792"/>
    <cellStyle name="20% - Accent2 3 2 2 5" xfId="3728"/>
    <cellStyle name="20% - Accent2 3 2 3" xfId="1288"/>
    <cellStyle name="20% - Accent2 3 2 3 2" xfId="2242"/>
    <cellStyle name="20% - Accent2 3 2 3 2 2" xfId="4134"/>
    <cellStyle name="20% - Accent2 3 2 3 2 3" xfId="4933"/>
    <cellStyle name="20% - Accent2 3 2 3 2 4" xfId="5563"/>
    <cellStyle name="20% - Accent2 3 2 3 3" xfId="3382"/>
    <cellStyle name="20% - Accent2 3 2 3 4" xfId="2530"/>
    <cellStyle name="20% - Accent2 3 2 3 5" xfId="4029"/>
    <cellStyle name="20% - Accent2 3 2 4" xfId="1862"/>
    <cellStyle name="20% - Accent2 3 2 4 2" xfId="3811"/>
    <cellStyle name="20% - Accent2 3 2 4 3" xfId="4653"/>
    <cellStyle name="20% - Accent2 3 2 4 4" xfId="5336"/>
    <cellStyle name="20% - Accent2 3 2 5" xfId="2658"/>
    <cellStyle name="20% - Accent2 3 2 6" xfId="2712"/>
    <cellStyle name="20% - Accent2 3 2 7" xfId="2601"/>
    <cellStyle name="20% - Accent2 3 3" xfId="475"/>
    <cellStyle name="20% - Accent2 3 3 2" xfId="1295"/>
    <cellStyle name="20% - Accent2 3 3 2 2" xfId="2249"/>
    <cellStyle name="20% - Accent2 3 3 2 2 2" xfId="4141"/>
    <cellStyle name="20% - Accent2 3 3 2 2 3" xfId="4940"/>
    <cellStyle name="20% - Accent2 3 3 2 2 4" xfId="5570"/>
    <cellStyle name="20% - Accent2 3 3 2 3" xfId="3389"/>
    <cellStyle name="20% - Accent2 3 3 2 4" xfId="2523"/>
    <cellStyle name="20% - Accent2 3 3 2 5" xfId="3655"/>
    <cellStyle name="20% - Accent2 3 3 3" xfId="1261"/>
    <cellStyle name="20% - Accent2 3 3 3 2" xfId="2215"/>
    <cellStyle name="20% - Accent2 3 3 3 2 2" xfId="4107"/>
    <cellStyle name="20% - Accent2 3 3 3 2 3" xfId="4906"/>
    <cellStyle name="20% - Accent2 3 3 3 2 4" xfId="5536"/>
    <cellStyle name="20% - Accent2 3 3 3 3" xfId="3355"/>
    <cellStyle name="20% - Accent2 3 3 3 4" xfId="3571"/>
    <cellStyle name="20% - Accent2 3 3 3 5" xfId="4461"/>
    <cellStyle name="20% - Accent2 3 3 4" xfId="1910"/>
    <cellStyle name="20% - Accent2 3 3 4 2" xfId="3859"/>
    <cellStyle name="20% - Accent2 3 3 4 3" xfId="4701"/>
    <cellStyle name="20% - Accent2 3 3 4 4" xfId="5384"/>
    <cellStyle name="20% - Accent2 3 3 5" xfId="2742"/>
    <cellStyle name="20% - Accent2 3 3 6" xfId="3732"/>
    <cellStyle name="20% - Accent2 3 3 7" xfId="4589"/>
    <cellStyle name="20% - Accent2 3 4" xfId="879"/>
    <cellStyle name="20% - Accent2 3 4 2" xfId="1346"/>
    <cellStyle name="20% - Accent2 3 4 2 2" xfId="2292"/>
    <cellStyle name="20% - Accent2 3 4 2 2 2" xfId="4184"/>
    <cellStyle name="20% - Accent2 3 4 2 2 3" xfId="4983"/>
    <cellStyle name="20% - Accent2 3 4 2 2 4" xfId="5613"/>
    <cellStyle name="20% - Accent2 3 4 2 3" xfId="3436"/>
    <cellStyle name="20% - Accent2 3 4 2 4" xfId="4346"/>
    <cellStyle name="20% - Accent2 3 4 2 5" xfId="5145"/>
    <cellStyle name="20% - Accent2 3 4 3" xfId="1586"/>
    <cellStyle name="20% - Accent2 3 4 3 2" xfId="2379"/>
    <cellStyle name="20% - Accent2 3 4 3 2 2" xfId="4271"/>
    <cellStyle name="20% - Accent2 3 4 3 2 3" xfId="5070"/>
    <cellStyle name="20% - Accent2 3 4 3 2 4" xfId="5700"/>
    <cellStyle name="20% - Accent2 3 4 3 3" xfId="3612"/>
    <cellStyle name="20% - Accent2 3 4 3 4" xfId="4490"/>
    <cellStyle name="20% - Accent2 3 4 3 5" xfId="5232"/>
    <cellStyle name="20% - Accent2 3 4 4" xfId="1914"/>
    <cellStyle name="20% - Accent2 3 4 4 2" xfId="3863"/>
    <cellStyle name="20% - Accent2 3 4 4 3" xfId="4705"/>
    <cellStyle name="20% - Accent2 3 4 4 4" xfId="5388"/>
    <cellStyle name="20% - Accent2 3 4 5" xfId="3007"/>
    <cellStyle name="20% - Accent2 3 4 6" xfId="2730"/>
    <cellStyle name="20% - Accent2 3 4 7" xfId="2586"/>
    <cellStyle name="20% - Accent2 3 5" xfId="1070"/>
    <cellStyle name="20% - Accent2 3 5 2" xfId="1494"/>
    <cellStyle name="20% - Accent2 3 5 2 2" xfId="2366"/>
    <cellStyle name="20% - Accent2 3 5 2 2 2" xfId="4258"/>
    <cellStyle name="20% - Accent2 3 5 2 2 3" xfId="5057"/>
    <cellStyle name="20% - Accent2 3 5 2 2 4" xfId="5687"/>
    <cellStyle name="20% - Accent2 3 5 2 3" xfId="3554"/>
    <cellStyle name="20% - Accent2 3 5 2 4" xfId="4450"/>
    <cellStyle name="20% - Accent2 3 5 2 5" xfId="5219"/>
    <cellStyle name="20% - Accent2 3 5 3" xfId="1727"/>
    <cellStyle name="20% - Accent2 3 5 3 2" xfId="2446"/>
    <cellStyle name="20% - Accent2 3 5 3 2 2" xfId="4338"/>
    <cellStyle name="20% - Accent2 3 5 3 2 3" xfId="5137"/>
    <cellStyle name="20% - Accent2 3 5 3 2 4" xfId="5767"/>
    <cellStyle name="20% - Accent2 3 5 3 3" xfId="3716"/>
    <cellStyle name="20% - Accent2 3 5 3 4" xfId="4579"/>
    <cellStyle name="20% - Accent2 3 5 3 5" xfId="5299"/>
    <cellStyle name="20% - Accent2 3 5 4" xfId="2055"/>
    <cellStyle name="20% - Accent2 3 5 4 2" xfId="3972"/>
    <cellStyle name="20% - Accent2 3 5 4 3" xfId="4798"/>
    <cellStyle name="20% - Accent2 3 5 4 4" xfId="5455"/>
    <cellStyle name="20% - Accent2 3 5 5" xfId="3180"/>
    <cellStyle name="20% - Accent2 3 5 6" xfId="2848"/>
    <cellStyle name="20% - Accent2 3 5 7" xfId="2946"/>
    <cellStyle name="20% - Accent2 3 6" xfId="1113"/>
    <cellStyle name="20% - Accent2 3 6 2" xfId="1536"/>
    <cellStyle name="20% - Accent2 3 6 2 2" xfId="2373"/>
    <cellStyle name="20% - Accent2 3 6 2 2 2" xfId="4265"/>
    <cellStyle name="20% - Accent2 3 6 2 2 3" xfId="5064"/>
    <cellStyle name="20% - Accent2 3 6 2 2 4" xfId="5694"/>
    <cellStyle name="20% - Accent2 3 6 2 3" xfId="3582"/>
    <cellStyle name="20% - Accent2 3 6 2 4" xfId="4469"/>
    <cellStyle name="20% - Accent2 3 6 2 5" xfId="5226"/>
    <cellStyle name="20% - Accent2 3 6 3" xfId="1768"/>
    <cellStyle name="20% - Accent2 3 6 3 2" xfId="2452"/>
    <cellStyle name="20% - Accent2 3 6 3 2 2" xfId="4344"/>
    <cellStyle name="20% - Accent2 3 6 3 2 3" xfId="5143"/>
    <cellStyle name="20% - Accent2 3 6 3 2 4" xfId="5773"/>
    <cellStyle name="20% - Accent2 3 6 3 3" xfId="3744"/>
    <cellStyle name="20% - Accent2 3 6 3 4" xfId="4598"/>
    <cellStyle name="20% - Accent2 3 6 3 5" xfId="5305"/>
    <cellStyle name="20% - Accent2 3 6 4" xfId="2096"/>
    <cellStyle name="20% - Accent2 3 6 4 2" xfId="4001"/>
    <cellStyle name="20% - Accent2 3 6 4 3" xfId="4816"/>
    <cellStyle name="20% - Accent2 3 6 4 4" xfId="5461"/>
    <cellStyle name="20% - Accent2 3 6 5" xfId="3223"/>
    <cellStyle name="20% - Accent2 3 6 6" xfId="2831"/>
    <cellStyle name="20% - Accent2 3 6 7" xfId="2763"/>
    <cellStyle name="20% - Accent2 3 7" xfId="1164"/>
    <cellStyle name="20% - Accent2 3 7 2" xfId="2146"/>
    <cellStyle name="20% - Accent2 3 7 2 2" xfId="4038"/>
    <cellStyle name="20% - Accent2 3 7 2 3" xfId="4837"/>
    <cellStyle name="20% - Accent2 3 7 2 4" xfId="5467"/>
    <cellStyle name="20% - Accent2 3 7 3" xfId="3273"/>
    <cellStyle name="20% - Accent2 3 7 4" xfId="2898"/>
    <cellStyle name="20% - Accent2 3 7 5" xfId="3995"/>
    <cellStyle name="20% - Accent2 3 8" xfId="1289"/>
    <cellStyle name="20% - Accent2 3 8 2" xfId="2243"/>
    <cellStyle name="20% - Accent2 3 8 2 2" xfId="4135"/>
    <cellStyle name="20% - Accent2 3 8 2 3" xfId="4934"/>
    <cellStyle name="20% - Accent2 3 8 2 4" xfId="5564"/>
    <cellStyle name="20% - Accent2 3 8 3" xfId="3383"/>
    <cellStyle name="20% - Accent2 3 8 4" xfId="2529"/>
    <cellStyle name="20% - Accent2 3 8 5" xfId="2726"/>
    <cellStyle name="20% - Accent2 3 9" xfId="1818"/>
    <cellStyle name="20% - Accent2 3 9 2" xfId="3777"/>
    <cellStyle name="20% - Accent2 3 9 3" xfId="4620"/>
    <cellStyle name="20% - Accent2 3 9 4" xfId="5310"/>
    <cellStyle name="20% - Accent2 4" xfId="666"/>
    <cellStyle name="20% - Accent2 5" xfId="5923"/>
    <cellStyle name="20% - Accent2 6" xfId="6189"/>
    <cellStyle name="20% - Accent2 7" xfId="6953"/>
    <cellStyle name="20% - Accent2 8" xfId="6984"/>
    <cellStyle name="20% - Accent2 9" xfId="6896"/>
    <cellStyle name="20% - Accent3 10" xfId="6351"/>
    <cellStyle name="20% - Accent3 11" xfId="7042"/>
    <cellStyle name="20% - Accent3 12" xfId="7058"/>
    <cellStyle name="20% - Accent3 13" xfId="7072"/>
    <cellStyle name="20% - Accent3 2" xfId="178"/>
    <cellStyle name="20% - Accent3 2 10" xfId="2461"/>
    <cellStyle name="20% - Accent3 2 11" xfId="3806"/>
    <cellStyle name="20% - Accent3 2 12" xfId="4648"/>
    <cellStyle name="20% - Accent3 2 13" xfId="338"/>
    <cellStyle name="20% - Accent3 2 14" xfId="6372"/>
    <cellStyle name="20% - Accent3 2 15" xfId="6830"/>
    <cellStyle name="20% - Accent3 2 16" xfId="6833"/>
    <cellStyle name="20% - Accent3 2 17" xfId="6405"/>
    <cellStyle name="20% - Accent3 2 18" xfId="6725"/>
    <cellStyle name="20% - Accent3 2 19" xfId="6156"/>
    <cellStyle name="20% - Accent3 2 2" xfId="179"/>
    <cellStyle name="20% - Accent3 2 2 2" xfId="1238"/>
    <cellStyle name="20% - Accent3 2 2 2 2" xfId="2192"/>
    <cellStyle name="20% - Accent3 2 2 2 2 2" xfId="4084"/>
    <cellStyle name="20% - Accent3 2 2 2 2 3" xfId="4883"/>
    <cellStyle name="20% - Accent3 2 2 2 2 4" xfId="5513"/>
    <cellStyle name="20% - Accent3 2 2 2 3" xfId="3332"/>
    <cellStyle name="20% - Accent3 2 2 2 4" xfId="2785"/>
    <cellStyle name="20% - Accent3 2 2 2 5" xfId="3971"/>
    <cellStyle name="20% - Accent3 2 2 3" xfId="1233"/>
    <cellStyle name="20% - Accent3 2 2 3 2" xfId="2187"/>
    <cellStyle name="20% - Accent3 2 2 3 2 2" xfId="4079"/>
    <cellStyle name="20% - Accent3 2 2 3 2 3" xfId="4878"/>
    <cellStyle name="20% - Accent3 2 2 3 2 4" xfId="5508"/>
    <cellStyle name="20% - Accent3 2 2 3 3" xfId="3327"/>
    <cellStyle name="20% - Accent3 2 2 3 4" xfId="2816"/>
    <cellStyle name="20% - Accent3 2 2 3 5" xfId="2837"/>
    <cellStyle name="20% - Accent3 2 2 4" xfId="1863"/>
    <cellStyle name="20% - Accent3 2 2 4 2" xfId="3812"/>
    <cellStyle name="20% - Accent3 2 2 4 3" xfId="4654"/>
    <cellStyle name="20% - Accent3 2 2 4 4" xfId="5337"/>
    <cellStyle name="20% - Accent3 2 2 5" xfId="2659"/>
    <cellStyle name="20% - Accent3 2 2 6" xfId="3804"/>
    <cellStyle name="20% - Accent3 2 2 7" xfId="4647"/>
    <cellStyle name="20% - Accent3 2 20" xfId="6513"/>
    <cellStyle name="20% - Accent3 2 21" xfId="6502"/>
    <cellStyle name="20% - Accent3 2 22" xfId="6782"/>
    <cellStyle name="20% - Accent3 2 3" xfId="427"/>
    <cellStyle name="20% - Accent3 2 3 2" xfId="1284"/>
    <cellStyle name="20% - Accent3 2 3 2 2" xfId="2238"/>
    <cellStyle name="20% - Accent3 2 3 2 2 2" xfId="4130"/>
    <cellStyle name="20% - Accent3 2 3 2 2 3" xfId="4929"/>
    <cellStyle name="20% - Accent3 2 3 2 2 4" xfId="5559"/>
    <cellStyle name="20% - Accent3 2 3 2 3" xfId="3378"/>
    <cellStyle name="20% - Accent3 2 3 2 4" xfId="3037"/>
    <cellStyle name="20% - Accent3 2 3 2 5" xfId="3970"/>
    <cellStyle name="20% - Accent3 2 3 3" xfId="1260"/>
    <cellStyle name="20% - Accent3 2 3 3 2" xfId="2214"/>
    <cellStyle name="20% - Accent3 2 3 3 2 2" xfId="4106"/>
    <cellStyle name="20% - Accent3 2 3 3 2 3" xfId="4905"/>
    <cellStyle name="20% - Accent3 2 3 3 2 4" xfId="5535"/>
    <cellStyle name="20% - Accent3 2 3 3 3" xfId="3354"/>
    <cellStyle name="20% - Accent3 2 3 3 4" xfId="3733"/>
    <cellStyle name="20% - Accent3 2 3 3 5" xfId="4590"/>
    <cellStyle name="20% - Accent3 2 3 4" xfId="1906"/>
    <cellStyle name="20% - Accent3 2 3 4 2" xfId="3855"/>
    <cellStyle name="20% - Accent3 2 3 4 3" xfId="4697"/>
    <cellStyle name="20% - Accent3 2 3 4 4" xfId="5380"/>
    <cellStyle name="20% - Accent3 2 3 5" xfId="2711"/>
    <cellStyle name="20% - Accent3 2 3 6" xfId="2602"/>
    <cellStyle name="20% - Accent3 2 3 7" xfId="3114"/>
    <cellStyle name="20% - Accent3 2 4" xfId="880"/>
    <cellStyle name="20% - Accent3 2 4 2" xfId="1347"/>
    <cellStyle name="20% - Accent3 2 4 2 2" xfId="2293"/>
    <cellStyle name="20% - Accent3 2 4 2 2 2" xfId="4185"/>
    <cellStyle name="20% - Accent3 2 4 2 2 3" xfId="4984"/>
    <cellStyle name="20% - Accent3 2 4 2 2 4" xfId="5614"/>
    <cellStyle name="20% - Accent3 2 4 2 3" xfId="3437"/>
    <cellStyle name="20% - Accent3 2 4 2 4" xfId="4347"/>
    <cellStyle name="20% - Accent3 2 4 2 5" xfId="5146"/>
    <cellStyle name="20% - Accent3 2 4 3" xfId="1587"/>
    <cellStyle name="20% - Accent3 2 4 3 2" xfId="2380"/>
    <cellStyle name="20% - Accent3 2 4 3 2 2" xfId="4272"/>
    <cellStyle name="20% - Accent3 2 4 3 2 3" xfId="5071"/>
    <cellStyle name="20% - Accent3 2 4 3 2 4" xfId="5701"/>
    <cellStyle name="20% - Accent3 2 4 3 3" xfId="3613"/>
    <cellStyle name="20% - Accent3 2 4 3 4" xfId="4491"/>
    <cellStyle name="20% - Accent3 2 4 3 5" xfId="5233"/>
    <cellStyle name="20% - Accent3 2 4 4" xfId="1915"/>
    <cellStyle name="20% - Accent3 2 4 4 2" xfId="3864"/>
    <cellStyle name="20% - Accent3 2 4 4 3" xfId="4706"/>
    <cellStyle name="20% - Accent3 2 4 4 4" xfId="5389"/>
    <cellStyle name="20% - Accent3 2 4 5" xfId="3008"/>
    <cellStyle name="20% - Accent3 2 4 6" xfId="2684"/>
    <cellStyle name="20% - Accent3 2 4 7" xfId="3054"/>
    <cellStyle name="20% - Accent3 2 5" xfId="952"/>
    <cellStyle name="20% - Accent3 2 5 2" xfId="1386"/>
    <cellStyle name="20% - Accent3 2 5 2 2" xfId="2331"/>
    <cellStyle name="20% - Accent3 2 5 2 2 2" xfId="4223"/>
    <cellStyle name="20% - Accent3 2 5 2 2 3" xfId="5022"/>
    <cellStyle name="20% - Accent3 2 5 2 2 4" xfId="5652"/>
    <cellStyle name="20% - Accent3 2 5 2 3" xfId="3475"/>
    <cellStyle name="20% - Accent3 2 5 2 4" xfId="4385"/>
    <cellStyle name="20% - Accent3 2 5 2 5" xfId="5184"/>
    <cellStyle name="20% - Accent3 2 5 3" xfId="1623"/>
    <cellStyle name="20% - Accent3 2 5 3 2" xfId="2415"/>
    <cellStyle name="20% - Accent3 2 5 3 2 2" xfId="4307"/>
    <cellStyle name="20% - Accent3 2 5 3 2 3" xfId="5106"/>
    <cellStyle name="20% - Accent3 2 5 3 2 4" xfId="5736"/>
    <cellStyle name="20% - Accent3 2 5 3 3" xfId="3648"/>
    <cellStyle name="20% - Accent3 2 5 3 4" xfId="4526"/>
    <cellStyle name="20% - Accent3 2 5 3 5" xfId="5268"/>
    <cellStyle name="20% - Accent3 2 5 4" xfId="1951"/>
    <cellStyle name="20% - Accent3 2 5 4 2" xfId="3899"/>
    <cellStyle name="20% - Accent3 2 5 4 3" xfId="4741"/>
    <cellStyle name="20% - Accent3 2 5 4 4" xfId="5424"/>
    <cellStyle name="20% - Accent3 2 5 5" xfId="3066"/>
    <cellStyle name="20% - Accent3 2 5 6" xfId="2868"/>
    <cellStyle name="20% - Accent3 2 5 7" xfId="3179"/>
    <cellStyle name="20% - Accent3 2 6" xfId="1025"/>
    <cellStyle name="20% - Accent3 2 6 2" xfId="1451"/>
    <cellStyle name="20% - Accent3 2 6 2 2" xfId="2349"/>
    <cellStyle name="20% - Accent3 2 6 2 2 2" xfId="4241"/>
    <cellStyle name="20% - Accent3 2 6 2 2 3" xfId="5040"/>
    <cellStyle name="20% - Accent3 2 6 2 2 4" xfId="5670"/>
    <cellStyle name="20% - Accent3 2 6 2 3" xfId="3523"/>
    <cellStyle name="20% - Accent3 2 6 2 4" xfId="4421"/>
    <cellStyle name="20% - Accent3 2 6 2 5" xfId="5202"/>
    <cellStyle name="20% - Accent3 2 6 3" xfId="1687"/>
    <cellStyle name="20% - Accent3 2 6 3 2" xfId="2432"/>
    <cellStyle name="20% - Accent3 2 6 3 2 2" xfId="4324"/>
    <cellStyle name="20% - Accent3 2 6 3 2 3" xfId="5123"/>
    <cellStyle name="20% - Accent3 2 6 3 2 4" xfId="5753"/>
    <cellStyle name="20% - Accent3 2 6 3 3" xfId="3688"/>
    <cellStyle name="20% - Accent3 2 6 3 4" xfId="4557"/>
    <cellStyle name="20% - Accent3 2 6 3 5" xfId="5285"/>
    <cellStyle name="20% - Accent3 2 6 4" xfId="2015"/>
    <cellStyle name="20% - Accent3 2 6 4 2" xfId="3944"/>
    <cellStyle name="20% - Accent3 2 6 4 3" xfId="4775"/>
    <cellStyle name="20% - Accent3 2 6 4 4" xfId="5441"/>
    <cellStyle name="20% - Accent3 2 6 5" xfId="3136"/>
    <cellStyle name="20% - Accent3 2 6 6" xfId="3969"/>
    <cellStyle name="20% - Accent3 2 6 7" xfId="4797"/>
    <cellStyle name="20% - Accent3 2 7" xfId="1165"/>
    <cellStyle name="20% - Accent3 2 7 2" xfId="2147"/>
    <cellStyle name="20% - Accent3 2 7 2 2" xfId="4039"/>
    <cellStyle name="20% - Accent3 2 7 2 3" xfId="4838"/>
    <cellStyle name="20% - Accent3 2 7 2 4" xfId="5468"/>
    <cellStyle name="20% - Accent3 2 7 3" xfId="3274"/>
    <cellStyle name="20% - Accent3 2 7 4" xfId="2894"/>
    <cellStyle name="20% - Accent3 2 7 5" xfId="3751"/>
    <cellStyle name="20% - Accent3 2 8" xfId="1369"/>
    <cellStyle name="20% - Accent3 2 8 2" xfId="2315"/>
    <cellStyle name="20% - Accent3 2 8 2 2" xfId="4207"/>
    <cellStyle name="20% - Accent3 2 8 2 3" xfId="5006"/>
    <cellStyle name="20% - Accent3 2 8 2 4" xfId="5636"/>
    <cellStyle name="20% - Accent3 2 8 3" xfId="3459"/>
    <cellStyle name="20% - Accent3 2 8 4" xfId="4369"/>
    <cellStyle name="20% - Accent3 2 8 5" xfId="5168"/>
    <cellStyle name="20% - Accent3 2 9" xfId="1819"/>
    <cellStyle name="20% - Accent3 2 9 2" xfId="3778"/>
    <cellStyle name="20% - Accent3 2 9 3" xfId="4621"/>
    <cellStyle name="20% - Accent3 2 9 4" xfId="5311"/>
    <cellStyle name="20% - Accent3 3" xfId="180"/>
    <cellStyle name="20% - Accent3 3 10" xfId="2462"/>
    <cellStyle name="20% - Accent3 3 11" xfId="3316"/>
    <cellStyle name="20% - Accent3 3 12" xfId="3940"/>
    <cellStyle name="20% - Accent3 3 2" xfId="364"/>
    <cellStyle name="20% - Accent3 3 2 2" xfId="1239"/>
    <cellStyle name="20% - Accent3 3 2 2 2" xfId="2193"/>
    <cellStyle name="20% - Accent3 3 2 2 2 2" xfId="4085"/>
    <cellStyle name="20% - Accent3 3 2 2 2 3" xfId="4884"/>
    <cellStyle name="20% - Accent3 3 2 2 2 4" xfId="5514"/>
    <cellStyle name="20% - Accent3 3 2 2 3" xfId="3333"/>
    <cellStyle name="20% - Accent3 3 2 2 4" xfId="2778"/>
    <cellStyle name="20% - Accent3 3 2 2 5" xfId="2745"/>
    <cellStyle name="20% - Accent3 3 2 3" xfId="1331"/>
    <cellStyle name="20% - Accent3 3 2 3 2" xfId="2279"/>
    <cellStyle name="20% - Accent3 3 2 3 2 2" xfId="4171"/>
    <cellStyle name="20% - Accent3 3 2 3 2 3" xfId="4970"/>
    <cellStyle name="20% - Accent3 3 2 3 2 4" xfId="5600"/>
    <cellStyle name="20% - Accent3 3 2 3 3" xfId="3423"/>
    <cellStyle name="20% - Accent3 3 2 3 4" xfId="2490"/>
    <cellStyle name="20% - Accent3 3 2 3 5" xfId="2902"/>
    <cellStyle name="20% - Accent3 3 2 4" xfId="1864"/>
    <cellStyle name="20% - Accent3 3 2 4 2" xfId="3813"/>
    <cellStyle name="20% - Accent3 3 2 4 3" xfId="4655"/>
    <cellStyle name="20% - Accent3 3 2 4 4" xfId="5338"/>
    <cellStyle name="20% - Accent3 3 2 5" xfId="2660"/>
    <cellStyle name="20% - Accent3 3 2 6" xfId="3319"/>
    <cellStyle name="20% - Accent3 3 2 7" xfId="3926"/>
    <cellStyle name="20% - Accent3 3 3" xfId="426"/>
    <cellStyle name="20% - Accent3 3 3 2" xfId="1283"/>
    <cellStyle name="20% - Accent3 3 3 2 2" xfId="2237"/>
    <cellStyle name="20% - Accent3 3 3 2 2 2" xfId="4129"/>
    <cellStyle name="20% - Accent3 3 3 2 2 3" xfId="4928"/>
    <cellStyle name="20% - Accent3 3 3 2 2 4" xfId="5558"/>
    <cellStyle name="20% - Accent3 3 3 2 3" xfId="3377"/>
    <cellStyle name="20% - Accent3 3 3 2 4" xfId="3118"/>
    <cellStyle name="20% - Accent3 3 3 2 5" xfId="2794"/>
    <cellStyle name="20% - Accent3 3 3 3" xfId="1377"/>
    <cellStyle name="20% - Accent3 3 3 3 2" xfId="2322"/>
    <cellStyle name="20% - Accent3 3 3 3 2 2" xfId="4214"/>
    <cellStyle name="20% - Accent3 3 3 3 2 3" xfId="5013"/>
    <cellStyle name="20% - Accent3 3 3 3 2 4" xfId="5643"/>
    <cellStyle name="20% - Accent3 3 3 3 3" xfId="3466"/>
    <cellStyle name="20% - Accent3 3 3 3 4" xfId="4376"/>
    <cellStyle name="20% - Accent3 3 3 3 5" xfId="5175"/>
    <cellStyle name="20% - Accent3 3 3 4" xfId="1905"/>
    <cellStyle name="20% - Accent3 3 3 4 2" xfId="3854"/>
    <cellStyle name="20% - Accent3 3 3 4 3" xfId="4696"/>
    <cellStyle name="20% - Accent3 3 3 4 4" xfId="5379"/>
    <cellStyle name="20% - Accent3 3 3 5" xfId="2710"/>
    <cellStyle name="20% - Accent3 3 3 6" xfId="2603"/>
    <cellStyle name="20% - Accent3 3 3 7" xfId="3049"/>
    <cellStyle name="20% - Accent3 3 4" xfId="881"/>
    <cellStyle name="20% - Accent3 3 4 2" xfId="1348"/>
    <cellStyle name="20% - Accent3 3 4 2 2" xfId="2294"/>
    <cellStyle name="20% - Accent3 3 4 2 2 2" xfId="4186"/>
    <cellStyle name="20% - Accent3 3 4 2 2 3" xfId="4985"/>
    <cellStyle name="20% - Accent3 3 4 2 2 4" xfId="5615"/>
    <cellStyle name="20% - Accent3 3 4 2 3" xfId="3438"/>
    <cellStyle name="20% - Accent3 3 4 2 4" xfId="4348"/>
    <cellStyle name="20% - Accent3 3 4 2 5" xfId="5147"/>
    <cellStyle name="20% - Accent3 3 4 3" xfId="1588"/>
    <cellStyle name="20% - Accent3 3 4 3 2" xfId="2381"/>
    <cellStyle name="20% - Accent3 3 4 3 2 2" xfId="4273"/>
    <cellStyle name="20% - Accent3 3 4 3 2 3" xfId="5072"/>
    <cellStyle name="20% - Accent3 3 4 3 2 4" xfId="5702"/>
    <cellStyle name="20% - Accent3 3 4 3 3" xfId="3614"/>
    <cellStyle name="20% - Accent3 3 4 3 4" xfId="4492"/>
    <cellStyle name="20% - Accent3 3 4 3 5" xfId="5234"/>
    <cellStyle name="20% - Accent3 3 4 4" xfId="1916"/>
    <cellStyle name="20% - Accent3 3 4 4 2" xfId="3865"/>
    <cellStyle name="20% - Accent3 3 4 4 3" xfId="4707"/>
    <cellStyle name="20% - Accent3 3 4 4 4" xfId="5390"/>
    <cellStyle name="20% - Accent3 3 4 5" xfId="3009"/>
    <cellStyle name="20% - Accent3 3 4 6" xfId="3801"/>
    <cellStyle name="20% - Accent3 3 4 7" xfId="4644"/>
    <cellStyle name="20% - Accent3 3 5" xfId="1051"/>
    <cellStyle name="20% - Accent3 3 5 2" xfId="1475"/>
    <cellStyle name="20% - Accent3 3 5 2 2" xfId="2364"/>
    <cellStyle name="20% - Accent3 3 5 2 2 2" xfId="4256"/>
    <cellStyle name="20% - Accent3 3 5 2 2 3" xfId="5055"/>
    <cellStyle name="20% - Accent3 3 5 2 2 4" xfId="5685"/>
    <cellStyle name="20% - Accent3 3 5 2 3" xfId="3542"/>
    <cellStyle name="20% - Accent3 3 5 2 4" xfId="4440"/>
    <cellStyle name="20% - Accent3 3 5 2 5" xfId="5217"/>
    <cellStyle name="20% - Accent3 3 5 3" xfId="1708"/>
    <cellStyle name="20% - Accent3 3 5 3 2" xfId="2444"/>
    <cellStyle name="20% - Accent3 3 5 3 2 2" xfId="4336"/>
    <cellStyle name="20% - Accent3 3 5 3 2 3" xfId="5135"/>
    <cellStyle name="20% - Accent3 3 5 3 2 4" xfId="5765"/>
    <cellStyle name="20% - Accent3 3 5 3 3" xfId="3706"/>
    <cellStyle name="20% - Accent3 3 5 3 4" xfId="4572"/>
    <cellStyle name="20% - Accent3 3 5 3 5" xfId="5297"/>
    <cellStyle name="20% - Accent3 3 5 4" xfId="2036"/>
    <cellStyle name="20% - Accent3 3 5 4 2" xfId="3960"/>
    <cellStyle name="20% - Accent3 3 5 4 3" xfId="4790"/>
    <cellStyle name="20% - Accent3 3 5 4 4" xfId="5453"/>
    <cellStyle name="20% - Accent3 3 5 5" xfId="3160"/>
    <cellStyle name="20% - Accent3 3 5 6" xfId="3699"/>
    <cellStyle name="20% - Accent3 3 5 7" xfId="4568"/>
    <cellStyle name="20% - Accent3 3 6" xfId="1094"/>
    <cellStyle name="20% - Accent3 3 6 2" xfId="1517"/>
    <cellStyle name="20% - Accent3 3 6 2 2" xfId="2371"/>
    <cellStyle name="20% - Accent3 3 6 2 2 2" xfId="4263"/>
    <cellStyle name="20% - Accent3 3 6 2 2 3" xfId="5062"/>
    <cellStyle name="20% - Accent3 3 6 2 2 4" xfId="5692"/>
    <cellStyle name="20% - Accent3 3 6 2 3" xfId="3569"/>
    <cellStyle name="20% - Accent3 3 6 2 4" xfId="4460"/>
    <cellStyle name="20% - Accent3 3 6 2 5" xfId="5224"/>
    <cellStyle name="20% - Accent3 3 6 3" xfId="1749"/>
    <cellStyle name="20% - Accent3 3 6 3 2" xfId="2450"/>
    <cellStyle name="20% - Accent3 3 6 3 2 2" xfId="4342"/>
    <cellStyle name="20% - Accent3 3 6 3 2 3" xfId="5141"/>
    <cellStyle name="20% - Accent3 3 6 3 2 4" xfId="5771"/>
    <cellStyle name="20% - Accent3 3 6 3 3" xfId="3731"/>
    <cellStyle name="20% - Accent3 3 6 3 4" xfId="4588"/>
    <cellStyle name="20% - Accent3 3 6 3 5" xfId="5303"/>
    <cellStyle name="20% - Accent3 3 6 4" xfId="2077"/>
    <cellStyle name="20% - Accent3 3 6 4 2" xfId="3988"/>
    <cellStyle name="20% - Accent3 3 6 4 3" xfId="4808"/>
    <cellStyle name="20% - Accent3 3 6 4 4" xfId="5459"/>
    <cellStyle name="20% - Accent3 3 6 5" xfId="3204"/>
    <cellStyle name="20% - Accent3 3 6 6" xfId="3963"/>
    <cellStyle name="20% - Accent3 3 6 7" xfId="4793"/>
    <cellStyle name="20% - Accent3 3 7" xfId="1166"/>
    <cellStyle name="20% - Accent3 3 7 2" xfId="2148"/>
    <cellStyle name="20% - Accent3 3 7 2 2" xfId="4040"/>
    <cellStyle name="20% - Accent3 3 7 2 3" xfId="4839"/>
    <cellStyle name="20% - Accent3 3 7 2 4" xfId="5469"/>
    <cellStyle name="20% - Accent3 3 7 3" xfId="3275"/>
    <cellStyle name="20% - Accent3 3 7 4" xfId="4011"/>
    <cellStyle name="20% - Accent3 3 7 5" xfId="4821"/>
    <cellStyle name="20% - Accent3 3 8" xfId="1461"/>
    <cellStyle name="20% - Accent3 3 8 2" xfId="2357"/>
    <cellStyle name="20% - Accent3 3 8 2 2" xfId="4249"/>
    <cellStyle name="20% - Accent3 3 8 2 3" xfId="5048"/>
    <cellStyle name="20% - Accent3 3 8 2 4" xfId="5678"/>
    <cellStyle name="20% - Accent3 3 8 3" xfId="3533"/>
    <cellStyle name="20% - Accent3 3 8 4" xfId="4431"/>
    <cellStyle name="20% - Accent3 3 8 5" xfId="5210"/>
    <cellStyle name="20% - Accent3 3 9" xfId="1820"/>
    <cellStyle name="20% - Accent3 3 9 2" xfId="3779"/>
    <cellStyle name="20% - Accent3 3 9 3" xfId="4622"/>
    <cellStyle name="20% - Accent3 3 9 4" xfId="5312"/>
    <cellStyle name="20% - Accent3 4" xfId="973"/>
    <cellStyle name="20% - Accent3 5" xfId="6887"/>
    <cellStyle name="20% - Accent3 6" xfId="6920"/>
    <cellStyle name="20% - Accent3 7" xfId="6606"/>
    <cellStyle name="20% - Accent3 8" xfId="6175"/>
    <cellStyle name="20% - Accent3 9" xfId="7004"/>
    <cellStyle name="20% - Accent4 10" xfId="6230"/>
    <cellStyle name="20% - Accent4 11" xfId="6950"/>
    <cellStyle name="20% - Accent4 12" xfId="6961"/>
    <cellStyle name="20% - Accent4 13" xfId="6250"/>
    <cellStyle name="20% - Accent4 2" xfId="181"/>
    <cellStyle name="20% - Accent4 2 10" xfId="2464"/>
    <cellStyle name="20% - Accent4 2 11" xfId="3031"/>
    <cellStyle name="20% - Accent4 2 12" xfId="2744"/>
    <cellStyle name="20% - Accent4 2 13" xfId="336"/>
    <cellStyle name="20% - Accent4 2 14" xfId="6365"/>
    <cellStyle name="20% - Accent4 2 15" xfId="6698"/>
    <cellStyle name="20% - Accent4 2 16" xfId="6568"/>
    <cellStyle name="20% - Accent4 2 17" xfId="6576"/>
    <cellStyle name="20% - Accent4 2 18" xfId="6800"/>
    <cellStyle name="20% - Accent4 2 19" xfId="6836"/>
    <cellStyle name="20% - Accent4 2 2" xfId="182"/>
    <cellStyle name="20% - Accent4 2 2 2" xfId="1240"/>
    <cellStyle name="20% - Accent4 2 2 2 2" xfId="2194"/>
    <cellStyle name="20% - Accent4 2 2 2 2 2" xfId="4086"/>
    <cellStyle name="20% - Accent4 2 2 2 2 3" xfId="4885"/>
    <cellStyle name="20% - Accent4 2 2 2 2 4" xfId="5515"/>
    <cellStyle name="20% - Accent4 2 2 2 3" xfId="3334"/>
    <cellStyle name="20% - Accent4 2 2 2 4" xfId="2540"/>
    <cellStyle name="20% - Accent4 2 2 2 5" xfId="4017"/>
    <cellStyle name="20% - Accent4 2 2 3" xfId="1334"/>
    <cellStyle name="20% - Accent4 2 2 3 2" xfId="2281"/>
    <cellStyle name="20% - Accent4 2 2 3 2 2" xfId="4173"/>
    <cellStyle name="20% - Accent4 2 2 3 2 3" xfId="4972"/>
    <cellStyle name="20% - Accent4 2 2 3 2 4" xfId="5602"/>
    <cellStyle name="20% - Accent4 2 2 3 3" xfId="3425"/>
    <cellStyle name="20% - Accent4 2 2 3 4" xfId="2486"/>
    <cellStyle name="20% - Accent4 2 2 3 5" xfId="2965"/>
    <cellStyle name="20% - Accent4 2 2 4" xfId="1865"/>
    <cellStyle name="20% - Accent4 2 2 4 2" xfId="3814"/>
    <cellStyle name="20% - Accent4 2 2 4 3" xfId="4656"/>
    <cellStyle name="20% - Accent4 2 2 4 4" xfId="5339"/>
    <cellStyle name="20% - Accent4 2 2 5" xfId="2661"/>
    <cellStyle name="20% - Accent4 2 2 6" xfId="3321"/>
    <cellStyle name="20% - Accent4 2 2 7" xfId="3487"/>
    <cellStyle name="20% - Accent4 2 20" xfId="5968"/>
    <cellStyle name="20% - Accent4 2 21" xfId="6524"/>
    <cellStyle name="20% - Accent4 2 22" xfId="6204"/>
    <cellStyle name="20% - Accent4 2 3" xfId="425"/>
    <cellStyle name="20% - Accent4 2 3 2" xfId="1282"/>
    <cellStyle name="20% - Accent4 2 3 2 2" xfId="2236"/>
    <cellStyle name="20% - Accent4 2 3 2 2 2" xfId="4128"/>
    <cellStyle name="20% - Accent4 2 3 2 2 3" xfId="4927"/>
    <cellStyle name="20% - Accent4 2 3 2 2 4" xfId="5557"/>
    <cellStyle name="20% - Accent4 2 3 2 3" xfId="3376"/>
    <cellStyle name="20% - Accent4 2 3 2 4" xfId="3132"/>
    <cellStyle name="20% - Accent4 2 3 2 5" xfId="3598"/>
    <cellStyle name="20% - Accent4 2 3 3" xfId="1444"/>
    <cellStyle name="20% - Accent4 2 3 3 2" xfId="2344"/>
    <cellStyle name="20% - Accent4 2 3 3 2 2" xfId="4236"/>
    <cellStyle name="20% - Accent4 2 3 3 2 3" xfId="5035"/>
    <cellStyle name="20% - Accent4 2 3 3 2 4" xfId="5665"/>
    <cellStyle name="20% - Accent4 2 3 3 3" xfId="3518"/>
    <cellStyle name="20% - Accent4 2 3 3 4" xfId="4416"/>
    <cellStyle name="20% - Accent4 2 3 3 5" xfId="5197"/>
    <cellStyle name="20% - Accent4 2 3 4" xfId="1904"/>
    <cellStyle name="20% - Accent4 2 3 4 2" xfId="3853"/>
    <cellStyle name="20% - Accent4 2 3 4 3" xfId="4695"/>
    <cellStyle name="20% - Accent4 2 3 4 4" xfId="5378"/>
    <cellStyle name="20% - Accent4 2 3 5" xfId="2709"/>
    <cellStyle name="20% - Accent4 2 3 6" xfId="2604"/>
    <cellStyle name="20% - Accent4 2 3 7" xfId="3059"/>
    <cellStyle name="20% - Accent4 2 4" xfId="882"/>
    <cellStyle name="20% - Accent4 2 4 2" xfId="1349"/>
    <cellStyle name="20% - Accent4 2 4 2 2" xfId="2295"/>
    <cellStyle name="20% - Accent4 2 4 2 2 2" xfId="4187"/>
    <cellStyle name="20% - Accent4 2 4 2 2 3" xfId="4986"/>
    <cellStyle name="20% - Accent4 2 4 2 2 4" xfId="5616"/>
    <cellStyle name="20% - Accent4 2 4 2 3" xfId="3439"/>
    <cellStyle name="20% - Accent4 2 4 2 4" xfId="4349"/>
    <cellStyle name="20% - Accent4 2 4 2 5" xfId="5148"/>
    <cellStyle name="20% - Accent4 2 4 3" xfId="1589"/>
    <cellStyle name="20% - Accent4 2 4 3 2" xfId="2382"/>
    <cellStyle name="20% - Accent4 2 4 3 2 2" xfId="4274"/>
    <cellStyle name="20% - Accent4 2 4 3 2 3" xfId="5073"/>
    <cellStyle name="20% - Accent4 2 4 3 2 4" xfId="5703"/>
    <cellStyle name="20% - Accent4 2 4 3 3" xfId="3615"/>
    <cellStyle name="20% - Accent4 2 4 3 4" xfId="4493"/>
    <cellStyle name="20% - Accent4 2 4 3 5" xfId="5235"/>
    <cellStyle name="20% - Accent4 2 4 4" xfId="1917"/>
    <cellStyle name="20% - Accent4 2 4 4 2" xfId="3866"/>
    <cellStyle name="20% - Accent4 2 4 4 3" xfId="4708"/>
    <cellStyle name="20% - Accent4 2 4 4 4" xfId="5391"/>
    <cellStyle name="20% - Accent4 2 4 5" xfId="3010"/>
    <cellStyle name="20% - Accent4 2 4 6" xfId="3393"/>
    <cellStyle name="20% - Accent4 2 4 7" xfId="2520"/>
    <cellStyle name="20% - Accent4 2 5" xfId="1045"/>
    <cellStyle name="20% - Accent4 2 5 2" xfId="1469"/>
    <cellStyle name="20% - Accent4 2 5 2 2" xfId="2363"/>
    <cellStyle name="20% - Accent4 2 5 2 2 2" xfId="4255"/>
    <cellStyle name="20% - Accent4 2 5 2 2 3" xfId="5054"/>
    <cellStyle name="20% - Accent4 2 5 2 2 4" xfId="5684"/>
    <cellStyle name="20% - Accent4 2 5 2 3" xfId="3540"/>
    <cellStyle name="20% - Accent4 2 5 2 4" xfId="4438"/>
    <cellStyle name="20% - Accent4 2 5 2 5" xfId="5216"/>
    <cellStyle name="20% - Accent4 2 5 3" xfId="1702"/>
    <cellStyle name="20% - Accent4 2 5 3 2" xfId="2443"/>
    <cellStyle name="20% - Accent4 2 5 3 2 2" xfId="4335"/>
    <cellStyle name="20% - Accent4 2 5 3 2 3" xfId="5134"/>
    <cellStyle name="20% - Accent4 2 5 3 2 4" xfId="5764"/>
    <cellStyle name="20% - Accent4 2 5 3 3" xfId="3702"/>
    <cellStyle name="20% - Accent4 2 5 3 4" xfId="4571"/>
    <cellStyle name="20% - Accent4 2 5 3 5" xfId="5296"/>
    <cellStyle name="20% - Accent4 2 5 4" xfId="2030"/>
    <cellStyle name="20% - Accent4 2 5 4 2" xfId="3958"/>
    <cellStyle name="20% - Accent4 2 5 4 3" xfId="4789"/>
    <cellStyle name="20% - Accent4 2 5 4 4" xfId="5452"/>
    <cellStyle name="20% - Accent4 2 5 5" xfId="3154"/>
    <cellStyle name="20% - Accent4 2 5 6" xfId="2915"/>
    <cellStyle name="20% - Accent4 2 5 7" xfId="3148"/>
    <cellStyle name="20% - Accent4 2 6" xfId="1088"/>
    <cellStyle name="20% - Accent4 2 6 2" xfId="1511"/>
    <cellStyle name="20% - Accent4 2 6 2 2" xfId="2370"/>
    <cellStyle name="20% - Accent4 2 6 2 2 2" xfId="4262"/>
    <cellStyle name="20% - Accent4 2 6 2 2 3" xfId="5061"/>
    <cellStyle name="20% - Accent4 2 6 2 2 4" xfId="5691"/>
    <cellStyle name="20% - Accent4 2 6 2 3" xfId="3565"/>
    <cellStyle name="20% - Accent4 2 6 2 4" xfId="4459"/>
    <cellStyle name="20% - Accent4 2 6 2 5" xfId="5223"/>
    <cellStyle name="20% - Accent4 2 6 3" xfId="1743"/>
    <cellStyle name="20% - Accent4 2 6 3 2" xfId="2449"/>
    <cellStyle name="20% - Accent4 2 6 3 2 2" xfId="4341"/>
    <cellStyle name="20% - Accent4 2 6 3 2 3" xfId="5140"/>
    <cellStyle name="20% - Accent4 2 6 3 2 4" xfId="5770"/>
    <cellStyle name="20% - Accent4 2 6 3 3" xfId="3727"/>
    <cellStyle name="20% - Accent4 2 6 3 4" xfId="4586"/>
    <cellStyle name="20% - Accent4 2 6 3 5" xfId="5302"/>
    <cellStyle name="20% - Accent4 2 6 4" xfId="2071"/>
    <cellStyle name="20% - Accent4 2 6 4 2" xfId="3985"/>
    <cellStyle name="20% - Accent4 2 6 4 3" xfId="4806"/>
    <cellStyle name="20% - Accent4 2 6 4 4" xfId="5458"/>
    <cellStyle name="20% - Accent4 2 6 5" xfId="3198"/>
    <cellStyle name="20% - Accent4 2 6 6" xfId="4020"/>
    <cellStyle name="20% - Accent4 2 6 7" xfId="4825"/>
    <cellStyle name="20% - Accent4 2 7" xfId="1167"/>
    <cellStyle name="20% - Accent4 2 7 2" xfId="2149"/>
    <cellStyle name="20% - Accent4 2 7 2 2" xfId="4041"/>
    <cellStyle name="20% - Accent4 2 7 2 3" xfId="4840"/>
    <cellStyle name="20% - Accent4 2 7 2 4" xfId="5470"/>
    <cellStyle name="20% - Accent4 2 7 3" xfId="3276"/>
    <cellStyle name="20% - Accent4 2 7 4" xfId="3752"/>
    <cellStyle name="20% - Accent4 2 7 5" xfId="4603"/>
    <cellStyle name="20% - Accent4 2 8" xfId="1341"/>
    <cellStyle name="20% - Accent4 2 8 2" xfId="2287"/>
    <cellStyle name="20% - Accent4 2 8 2 2" xfId="4179"/>
    <cellStyle name="20% - Accent4 2 8 2 3" xfId="4978"/>
    <cellStyle name="20% - Accent4 2 8 2 4" xfId="5608"/>
    <cellStyle name="20% - Accent4 2 8 3" xfId="3431"/>
    <cellStyle name="20% - Accent4 2 8 4" xfId="2466"/>
    <cellStyle name="20% - Accent4 2 8 5" xfId="3063"/>
    <cellStyle name="20% - Accent4 2 9" xfId="1821"/>
    <cellStyle name="20% - Accent4 2 9 2" xfId="3780"/>
    <cellStyle name="20% - Accent4 2 9 3" xfId="4623"/>
    <cellStyle name="20% - Accent4 2 9 4" xfId="5313"/>
    <cellStyle name="20% - Accent4 3" xfId="183"/>
    <cellStyle name="20% - Accent4 3 10" xfId="2465"/>
    <cellStyle name="20% - Accent4 3 11" xfId="3145"/>
    <cellStyle name="20% - Accent4 3 12" xfId="3651"/>
    <cellStyle name="20% - Accent4 3 2" xfId="366"/>
    <cellStyle name="20% - Accent4 3 2 2" xfId="1241"/>
    <cellStyle name="20% - Accent4 3 2 2 2" xfId="2195"/>
    <cellStyle name="20% - Accent4 3 2 2 2 2" xfId="4087"/>
    <cellStyle name="20% - Accent4 3 2 2 2 3" xfId="4886"/>
    <cellStyle name="20% - Accent4 3 2 2 2 4" xfId="5516"/>
    <cellStyle name="20% - Accent4 3 2 2 3" xfId="3335"/>
    <cellStyle name="20% - Accent4 3 2 2 4" xfId="2539"/>
    <cellStyle name="20% - Accent4 3 2 2 5" xfId="2978"/>
    <cellStyle name="20% - Accent4 3 2 3" xfId="1329"/>
    <cellStyle name="20% - Accent4 3 2 3 2" xfId="2277"/>
    <cellStyle name="20% - Accent4 3 2 3 2 2" xfId="4169"/>
    <cellStyle name="20% - Accent4 3 2 3 2 3" xfId="4968"/>
    <cellStyle name="20% - Accent4 3 2 3 2 4" xfId="5598"/>
    <cellStyle name="20% - Accent4 3 2 3 3" xfId="3421"/>
    <cellStyle name="20% - Accent4 3 2 3 4" xfId="2492"/>
    <cellStyle name="20% - Accent4 3 2 3 5" xfId="2891"/>
    <cellStyle name="20% - Accent4 3 2 4" xfId="1866"/>
    <cellStyle name="20% - Accent4 3 2 4 2" xfId="3815"/>
    <cellStyle name="20% - Accent4 3 2 4 3" xfId="4657"/>
    <cellStyle name="20% - Accent4 3 2 4 4" xfId="5340"/>
    <cellStyle name="20% - Accent4 3 2 5" xfId="2662"/>
    <cellStyle name="20% - Accent4 3 2 6" xfId="2845"/>
    <cellStyle name="20% - Accent4 3 2 7" xfId="3566"/>
    <cellStyle name="20% - Accent4 3 3" xfId="424"/>
    <cellStyle name="20% - Accent4 3 3 2" xfId="1281"/>
    <cellStyle name="20% - Accent4 3 3 2 2" xfId="2235"/>
    <cellStyle name="20% - Accent4 3 3 2 2 2" xfId="4127"/>
    <cellStyle name="20% - Accent4 3 3 2 2 3" xfId="4926"/>
    <cellStyle name="20% - Accent4 3 3 2 2 4" xfId="5556"/>
    <cellStyle name="20% - Accent4 3 3 2 3" xfId="3375"/>
    <cellStyle name="20% - Accent4 3 3 2 4" xfId="3294"/>
    <cellStyle name="20% - Accent4 3 3 2 5" xfId="2860"/>
    <cellStyle name="20% - Accent4 3 3 3" xfId="1458"/>
    <cellStyle name="20% - Accent4 3 3 3 2" xfId="2355"/>
    <cellStyle name="20% - Accent4 3 3 3 2 2" xfId="4247"/>
    <cellStyle name="20% - Accent4 3 3 3 2 3" xfId="5046"/>
    <cellStyle name="20% - Accent4 3 3 3 2 4" xfId="5676"/>
    <cellStyle name="20% - Accent4 3 3 3 3" xfId="3530"/>
    <cellStyle name="20% - Accent4 3 3 3 4" xfId="4428"/>
    <cellStyle name="20% - Accent4 3 3 3 5" xfId="5208"/>
    <cellStyle name="20% - Accent4 3 3 4" xfId="1903"/>
    <cellStyle name="20% - Accent4 3 3 4 2" xfId="3852"/>
    <cellStyle name="20% - Accent4 3 3 4 3" xfId="4694"/>
    <cellStyle name="20% - Accent4 3 3 4 4" xfId="5377"/>
    <cellStyle name="20% - Accent4 3 3 5" xfId="2708"/>
    <cellStyle name="20% - Accent4 3 3 6" xfId="2605"/>
    <cellStyle name="20% - Accent4 3 3 7" xfId="2997"/>
    <cellStyle name="20% - Accent4 3 4" xfId="883"/>
    <cellStyle name="20% - Accent4 3 4 2" xfId="1350"/>
    <cellStyle name="20% - Accent4 3 4 2 2" xfId="2296"/>
    <cellStyle name="20% - Accent4 3 4 2 2 2" xfId="4188"/>
    <cellStyle name="20% - Accent4 3 4 2 2 3" xfId="4987"/>
    <cellStyle name="20% - Accent4 3 4 2 2 4" xfId="5617"/>
    <cellStyle name="20% - Accent4 3 4 2 3" xfId="3440"/>
    <cellStyle name="20% - Accent4 3 4 2 4" xfId="4350"/>
    <cellStyle name="20% - Accent4 3 4 2 5" xfId="5149"/>
    <cellStyle name="20% - Accent4 3 4 3" xfId="1590"/>
    <cellStyle name="20% - Accent4 3 4 3 2" xfId="2383"/>
    <cellStyle name="20% - Accent4 3 4 3 2 2" xfId="4275"/>
    <cellStyle name="20% - Accent4 3 4 3 2 3" xfId="5074"/>
    <cellStyle name="20% - Accent4 3 4 3 2 4" xfId="5704"/>
    <cellStyle name="20% - Accent4 3 4 3 3" xfId="3616"/>
    <cellStyle name="20% - Accent4 3 4 3 4" xfId="4494"/>
    <cellStyle name="20% - Accent4 3 4 3 5" xfId="5236"/>
    <cellStyle name="20% - Accent4 3 4 4" xfId="1918"/>
    <cellStyle name="20% - Accent4 3 4 4 2" xfId="3867"/>
    <cellStyle name="20% - Accent4 3 4 4 3" xfId="4709"/>
    <cellStyle name="20% - Accent4 3 4 4 4" xfId="5392"/>
    <cellStyle name="20% - Accent4 3 4 5" xfId="3011"/>
    <cellStyle name="20% - Accent4 3 4 6" xfId="3297"/>
    <cellStyle name="20% - Accent4 3 4 7" xfId="2838"/>
    <cellStyle name="20% - Accent4 3 5" xfId="1043"/>
    <cellStyle name="20% - Accent4 3 5 2" xfId="1467"/>
    <cellStyle name="20% - Accent4 3 5 2 2" xfId="2361"/>
    <cellStyle name="20% - Accent4 3 5 2 2 2" xfId="4253"/>
    <cellStyle name="20% - Accent4 3 5 2 2 3" xfId="5052"/>
    <cellStyle name="20% - Accent4 3 5 2 2 4" xfId="5682"/>
    <cellStyle name="20% - Accent4 3 5 2 3" xfId="3538"/>
    <cellStyle name="20% - Accent4 3 5 2 4" xfId="4436"/>
    <cellStyle name="20% - Accent4 3 5 2 5" xfId="5214"/>
    <cellStyle name="20% - Accent4 3 5 3" xfId="1700"/>
    <cellStyle name="20% - Accent4 3 5 3 2" xfId="2441"/>
    <cellStyle name="20% - Accent4 3 5 3 2 2" xfId="4333"/>
    <cellStyle name="20% - Accent4 3 5 3 2 3" xfId="5132"/>
    <cellStyle name="20% - Accent4 3 5 3 2 4" xfId="5762"/>
    <cellStyle name="20% - Accent4 3 5 3 3" xfId="3700"/>
    <cellStyle name="20% - Accent4 3 5 3 4" xfId="4569"/>
    <cellStyle name="20% - Accent4 3 5 3 5" xfId="5294"/>
    <cellStyle name="20% - Accent4 3 5 4" xfId="2028"/>
    <cellStyle name="20% - Accent4 3 5 4 2" xfId="3956"/>
    <cellStyle name="20% - Accent4 3 5 4 3" xfId="4787"/>
    <cellStyle name="20% - Accent4 3 5 4 4" xfId="5450"/>
    <cellStyle name="20% - Accent4 3 5 5" xfId="3152"/>
    <cellStyle name="20% - Accent4 3 5 6" xfId="2924"/>
    <cellStyle name="20% - Accent4 3 5 7" xfId="3763"/>
    <cellStyle name="20% - Accent4 3 6" xfId="1087"/>
    <cellStyle name="20% - Accent4 3 6 2" xfId="1510"/>
    <cellStyle name="20% - Accent4 3 6 2 2" xfId="2369"/>
    <cellStyle name="20% - Accent4 3 6 2 2 2" xfId="4261"/>
    <cellStyle name="20% - Accent4 3 6 2 2 3" xfId="5060"/>
    <cellStyle name="20% - Accent4 3 6 2 2 4" xfId="5690"/>
    <cellStyle name="20% - Accent4 3 6 2 3" xfId="3564"/>
    <cellStyle name="20% - Accent4 3 6 2 4" xfId="4458"/>
    <cellStyle name="20% - Accent4 3 6 2 5" xfId="5222"/>
    <cellStyle name="20% - Accent4 3 6 3" xfId="1742"/>
    <cellStyle name="20% - Accent4 3 6 3 2" xfId="2448"/>
    <cellStyle name="20% - Accent4 3 6 3 2 2" xfId="4340"/>
    <cellStyle name="20% - Accent4 3 6 3 2 3" xfId="5139"/>
    <cellStyle name="20% - Accent4 3 6 3 2 4" xfId="5769"/>
    <cellStyle name="20% - Accent4 3 6 3 3" xfId="3726"/>
    <cellStyle name="20% - Accent4 3 6 3 4" xfId="4585"/>
    <cellStyle name="20% - Accent4 3 6 3 5" xfId="5301"/>
    <cellStyle name="20% - Accent4 3 6 4" xfId="2070"/>
    <cellStyle name="20% - Accent4 3 6 4 2" xfId="3984"/>
    <cellStyle name="20% - Accent4 3 6 4 3" xfId="4805"/>
    <cellStyle name="20% - Accent4 3 6 4 4" xfId="5457"/>
    <cellStyle name="20% - Accent4 3 6 5" xfId="3197"/>
    <cellStyle name="20% - Accent4 3 6 6" xfId="2981"/>
    <cellStyle name="20% - Accent4 3 6 7" xfId="2986"/>
    <cellStyle name="20% - Accent4 3 7" xfId="1168"/>
    <cellStyle name="20% - Accent4 3 7 2" xfId="2150"/>
    <cellStyle name="20% - Accent4 3 7 2 2" xfId="4042"/>
    <cellStyle name="20% - Accent4 3 7 2 3" xfId="4841"/>
    <cellStyle name="20% - Accent4 3 7 2 4" xfId="5471"/>
    <cellStyle name="20% - Accent4 3 7 3" xfId="3277"/>
    <cellStyle name="20% - Accent4 3 7 4" xfId="3589"/>
    <cellStyle name="20% - Accent4 3 7 5" xfId="4473"/>
    <cellStyle name="20% - Accent4 3 8" xfId="1332"/>
    <cellStyle name="20% - Accent4 3 8 2" xfId="2280"/>
    <cellStyle name="20% - Accent4 3 8 2 2" xfId="4172"/>
    <cellStyle name="20% - Accent4 3 8 2 3" xfId="4971"/>
    <cellStyle name="20% - Accent4 3 8 2 4" xfId="5601"/>
    <cellStyle name="20% - Accent4 3 8 3" xfId="3424"/>
    <cellStyle name="20% - Accent4 3 8 4" xfId="2489"/>
    <cellStyle name="20% - Accent4 3 8 5" xfId="3324"/>
    <cellStyle name="20% - Accent4 3 9" xfId="1822"/>
    <cellStyle name="20% - Accent4 3 9 2" xfId="3781"/>
    <cellStyle name="20% - Accent4 3 9 3" xfId="4624"/>
    <cellStyle name="20% - Accent4 3 9 4" xfId="5314"/>
    <cellStyle name="20% - Accent4 4" xfId="337"/>
    <cellStyle name="20% - Accent4 5" xfId="5901"/>
    <cellStyle name="20% - Accent4 6" xfId="6362"/>
    <cellStyle name="20% - Accent4 7" xfId="5913"/>
    <cellStyle name="20% - Accent4 8" xfId="6254"/>
    <cellStyle name="20% - Accent4 9" xfId="6205"/>
    <cellStyle name="20% - Accent5 10" xfId="6544"/>
    <cellStyle name="20% - Accent5 11" xfId="6424"/>
    <cellStyle name="20% - Accent5 12" xfId="6228"/>
    <cellStyle name="20% - Accent5 13" xfId="6382"/>
    <cellStyle name="20% - Accent5 2" xfId="184"/>
    <cellStyle name="20% - Accent5 2 10" xfId="2467"/>
    <cellStyle name="20% - Accent5 2 11" xfId="2999"/>
    <cellStyle name="20% - Accent5 2 12" xfId="3920"/>
    <cellStyle name="20% - Accent5 2 13" xfId="444"/>
    <cellStyle name="20% - Accent5 2 14" xfId="6103"/>
    <cellStyle name="20% - Accent5 2 15" xfId="6529"/>
    <cellStyle name="20% - Accent5 2 16" xfId="5998"/>
    <cellStyle name="20% - Accent5 2 17" xfId="6285"/>
    <cellStyle name="20% - Accent5 2 18" xfId="6273"/>
    <cellStyle name="20% - Accent5 2 19" xfId="6531"/>
    <cellStyle name="20% - Accent5 2 2" xfId="185"/>
    <cellStyle name="20% - Accent5 2 2 2" xfId="1242"/>
    <cellStyle name="20% - Accent5 2 2 2 2" xfId="2196"/>
    <cellStyle name="20% - Accent5 2 2 2 2 2" xfId="4088"/>
    <cellStyle name="20% - Accent5 2 2 2 2 3" xfId="4887"/>
    <cellStyle name="20% - Accent5 2 2 2 2 4" xfId="5517"/>
    <cellStyle name="20% - Accent5 2 2 2 3" xfId="3336"/>
    <cellStyle name="20% - Accent5 2 2 2 4" xfId="2538"/>
    <cellStyle name="20% - Accent5 2 2 2 5" xfId="3556"/>
    <cellStyle name="20% - Accent5 2 2 3" xfId="1342"/>
    <cellStyle name="20% - Accent5 2 2 3 2" xfId="2288"/>
    <cellStyle name="20% - Accent5 2 2 3 2 2" xfId="4180"/>
    <cellStyle name="20% - Accent5 2 2 3 2 3" xfId="4979"/>
    <cellStyle name="20% - Accent5 2 2 3 2 4" xfId="5609"/>
    <cellStyle name="20% - Accent5 2 2 3 3" xfId="3432"/>
    <cellStyle name="20% - Accent5 2 2 3 4" xfId="2463"/>
    <cellStyle name="20% - Accent5 2 2 3 5" xfId="3323"/>
    <cellStyle name="20% - Accent5 2 2 4" xfId="1867"/>
    <cellStyle name="20% - Accent5 2 2 4 2" xfId="3816"/>
    <cellStyle name="20% - Accent5 2 2 4 3" xfId="4658"/>
    <cellStyle name="20% - Accent5 2 2 4 4" xfId="5341"/>
    <cellStyle name="20% - Accent5 2 2 5" xfId="2663"/>
    <cellStyle name="20% - Accent5 2 2 6" xfId="2839"/>
    <cellStyle name="20% - Accent5 2 2 7" xfId="3715"/>
    <cellStyle name="20% - Accent5 2 20" xfId="6751"/>
    <cellStyle name="20% - Accent5 2 21" xfId="6034"/>
    <cellStyle name="20% - Accent5 2 22" xfId="6759"/>
    <cellStyle name="20% - Accent5 2 3" xfId="423"/>
    <cellStyle name="20% - Accent5 2 3 2" xfId="1280"/>
    <cellStyle name="20% - Accent5 2 3 2 2" xfId="2234"/>
    <cellStyle name="20% - Accent5 2 3 2 2 2" xfId="4126"/>
    <cellStyle name="20% - Accent5 2 3 2 2 3" xfId="4925"/>
    <cellStyle name="20% - Accent5 2 3 2 2 4" xfId="5555"/>
    <cellStyle name="20% - Accent5 2 3 2 3" xfId="3374"/>
    <cellStyle name="20% - Accent5 2 3 2 4" xfId="3414"/>
    <cellStyle name="20% - Accent5 2 3 2 5" xfId="2499"/>
    <cellStyle name="20% - Accent5 2 3 3" xfId="1302"/>
    <cellStyle name="20% - Accent5 2 3 3 2" xfId="2253"/>
    <cellStyle name="20% - Accent5 2 3 3 2 2" xfId="4145"/>
    <cellStyle name="20% - Accent5 2 3 3 2 3" xfId="4944"/>
    <cellStyle name="20% - Accent5 2 3 3 2 4" xfId="5574"/>
    <cellStyle name="20% - Accent5 2 3 3 3" xfId="3395"/>
    <cellStyle name="20% - Accent5 2 3 3 4" xfId="2518"/>
    <cellStyle name="20% - Accent5 2 3 3 5" xfId="4013"/>
    <cellStyle name="20% - Accent5 2 3 4" xfId="1902"/>
    <cellStyle name="20% - Accent5 2 3 4 2" xfId="3851"/>
    <cellStyle name="20% - Accent5 2 3 4 3" xfId="4693"/>
    <cellStyle name="20% - Accent5 2 3 4 4" xfId="5376"/>
    <cellStyle name="20% - Accent5 2 3 5" xfId="2707"/>
    <cellStyle name="20% - Accent5 2 3 6" xfId="2606"/>
    <cellStyle name="20% - Accent5 2 3 7" xfId="2639"/>
    <cellStyle name="20% - Accent5 2 4" xfId="884"/>
    <cellStyle name="20% - Accent5 2 4 2" xfId="1351"/>
    <cellStyle name="20% - Accent5 2 4 2 2" xfId="2297"/>
    <cellStyle name="20% - Accent5 2 4 2 2 2" xfId="4189"/>
    <cellStyle name="20% - Accent5 2 4 2 2 3" xfId="4988"/>
    <cellStyle name="20% - Accent5 2 4 2 2 4" xfId="5618"/>
    <cellStyle name="20% - Accent5 2 4 2 3" xfId="3441"/>
    <cellStyle name="20% - Accent5 2 4 2 4" xfId="4351"/>
    <cellStyle name="20% - Accent5 2 4 2 5" xfId="5150"/>
    <cellStyle name="20% - Accent5 2 4 3" xfId="1591"/>
    <cellStyle name="20% - Accent5 2 4 3 2" xfId="2384"/>
    <cellStyle name="20% - Accent5 2 4 3 2 2" xfId="4276"/>
    <cellStyle name="20% - Accent5 2 4 3 2 3" xfId="5075"/>
    <cellStyle name="20% - Accent5 2 4 3 2 4" xfId="5705"/>
    <cellStyle name="20% - Accent5 2 4 3 3" xfId="3617"/>
    <cellStyle name="20% - Accent5 2 4 3 4" xfId="4495"/>
    <cellStyle name="20% - Accent5 2 4 3 5" xfId="5237"/>
    <cellStyle name="20% - Accent5 2 4 4" xfId="1919"/>
    <cellStyle name="20% - Accent5 2 4 4 2" xfId="3868"/>
    <cellStyle name="20% - Accent5 2 4 4 3" xfId="4710"/>
    <cellStyle name="20% - Accent5 2 4 4 4" xfId="5393"/>
    <cellStyle name="20% - Accent5 2 4 5" xfId="3012"/>
    <cellStyle name="20% - Accent5 2 4 6" xfId="2811"/>
    <cellStyle name="20% - Accent5 2 4 7" xfId="2959"/>
    <cellStyle name="20% - Accent5 2 5" xfId="1040"/>
    <cellStyle name="20% - Accent5 2 5 2" xfId="1464"/>
    <cellStyle name="20% - Accent5 2 5 2 2" xfId="2359"/>
    <cellStyle name="20% - Accent5 2 5 2 2 2" xfId="4251"/>
    <cellStyle name="20% - Accent5 2 5 2 2 3" xfId="5050"/>
    <cellStyle name="20% - Accent5 2 5 2 2 4" xfId="5680"/>
    <cellStyle name="20% - Accent5 2 5 2 3" xfId="3535"/>
    <cellStyle name="20% - Accent5 2 5 2 4" xfId="4433"/>
    <cellStyle name="20% - Accent5 2 5 2 5" xfId="5212"/>
    <cellStyle name="20% - Accent5 2 5 3" xfId="1697"/>
    <cellStyle name="20% - Accent5 2 5 3 2" xfId="2439"/>
    <cellStyle name="20% - Accent5 2 5 3 2 2" xfId="4331"/>
    <cellStyle name="20% - Accent5 2 5 3 2 3" xfId="5130"/>
    <cellStyle name="20% - Accent5 2 5 3 2 4" xfId="5760"/>
    <cellStyle name="20% - Accent5 2 5 3 3" xfId="3697"/>
    <cellStyle name="20% - Accent5 2 5 3 4" xfId="4566"/>
    <cellStyle name="20% - Accent5 2 5 3 5" xfId="5292"/>
    <cellStyle name="20% - Accent5 2 5 4" xfId="2025"/>
    <cellStyle name="20% - Accent5 2 5 4 2" xfId="3953"/>
    <cellStyle name="20% - Accent5 2 5 4 3" xfId="4784"/>
    <cellStyle name="20% - Accent5 2 5 4 4" xfId="5448"/>
    <cellStyle name="20% - Accent5 2 5 5" xfId="3149"/>
    <cellStyle name="20% - Accent5 2 5 6" xfId="2939"/>
    <cellStyle name="20% - Accent5 2 5 7" xfId="2561"/>
    <cellStyle name="20% - Accent5 2 6" xfId="888"/>
    <cellStyle name="20% - Accent5 2 6 2" xfId="1355"/>
    <cellStyle name="20% - Accent5 2 6 2 2" xfId="2301"/>
    <cellStyle name="20% - Accent5 2 6 2 2 2" xfId="4193"/>
    <cellStyle name="20% - Accent5 2 6 2 2 3" xfId="4992"/>
    <cellStyle name="20% - Accent5 2 6 2 2 4" xfId="5622"/>
    <cellStyle name="20% - Accent5 2 6 2 3" xfId="3445"/>
    <cellStyle name="20% - Accent5 2 6 2 4" xfId="4355"/>
    <cellStyle name="20% - Accent5 2 6 2 5" xfId="5154"/>
    <cellStyle name="20% - Accent5 2 6 3" xfId="1595"/>
    <cellStyle name="20% - Accent5 2 6 3 2" xfId="2388"/>
    <cellStyle name="20% - Accent5 2 6 3 2 2" xfId="4280"/>
    <cellStyle name="20% - Accent5 2 6 3 2 3" xfId="5079"/>
    <cellStyle name="20% - Accent5 2 6 3 2 4" xfId="5709"/>
    <cellStyle name="20% - Accent5 2 6 3 3" xfId="3621"/>
    <cellStyle name="20% - Accent5 2 6 3 4" xfId="4499"/>
    <cellStyle name="20% - Accent5 2 6 3 5" xfId="5241"/>
    <cellStyle name="20% - Accent5 2 6 4" xfId="1923"/>
    <cellStyle name="20% - Accent5 2 6 4 2" xfId="3872"/>
    <cellStyle name="20% - Accent5 2 6 4 3" xfId="4714"/>
    <cellStyle name="20% - Accent5 2 6 4 4" xfId="5397"/>
    <cellStyle name="20% - Accent5 2 6 5" xfId="3016"/>
    <cellStyle name="20% - Accent5 2 6 6" xfId="2784"/>
    <cellStyle name="20% - Accent5 2 6 7" xfId="3581"/>
    <cellStyle name="20% - Accent5 2 7" xfId="1169"/>
    <cellStyle name="20% - Accent5 2 7 2" xfId="2151"/>
    <cellStyle name="20% - Accent5 2 7 2 2" xfId="4043"/>
    <cellStyle name="20% - Accent5 2 7 2 3" xfId="4842"/>
    <cellStyle name="20% - Accent5 2 7 2 4" xfId="5472"/>
    <cellStyle name="20% - Accent5 2 7 3" xfId="3278"/>
    <cellStyle name="20% - Accent5 2 7 4" xfId="3981"/>
    <cellStyle name="20% - Accent5 2 7 5" xfId="4803"/>
    <cellStyle name="20% - Accent5 2 8" xfId="1231"/>
    <cellStyle name="20% - Accent5 2 8 2" xfId="2185"/>
    <cellStyle name="20% - Accent5 2 8 2 2" xfId="4077"/>
    <cellStyle name="20% - Accent5 2 8 2 3" xfId="4876"/>
    <cellStyle name="20% - Accent5 2 8 2 4" xfId="5506"/>
    <cellStyle name="20% - Accent5 2 8 3" xfId="3325"/>
    <cellStyle name="20% - Accent5 2 8 4" xfId="2827"/>
    <cellStyle name="20% - Accent5 2 8 5" xfId="2797"/>
    <cellStyle name="20% - Accent5 2 9" xfId="1823"/>
    <cellStyle name="20% - Accent5 2 9 2" xfId="3782"/>
    <cellStyle name="20% - Accent5 2 9 3" xfId="4625"/>
    <cellStyle name="20% - Accent5 2 9 4" xfId="5315"/>
    <cellStyle name="20% - Accent5 3" xfId="186"/>
    <cellStyle name="20% - Accent5 3 10" xfId="2468"/>
    <cellStyle name="20% - Accent5 3 11" xfId="2976"/>
    <cellStyle name="20% - Accent5 3 12" xfId="3509"/>
    <cellStyle name="20% - Accent5 3 2" xfId="368"/>
    <cellStyle name="20% - Accent5 3 2 2" xfId="1243"/>
    <cellStyle name="20% - Accent5 3 2 2 2" xfId="2197"/>
    <cellStyle name="20% - Accent5 3 2 2 2 2" xfId="4089"/>
    <cellStyle name="20% - Accent5 3 2 2 2 3" xfId="4888"/>
    <cellStyle name="20% - Accent5 3 2 2 2 4" xfId="5518"/>
    <cellStyle name="20% - Accent5 3 2 2 3" xfId="3337"/>
    <cellStyle name="20% - Accent5 3 2 2 4" xfId="2537"/>
    <cellStyle name="20% - Accent5 3 2 2 5" xfId="3718"/>
    <cellStyle name="20% - Accent5 3 2 3" xfId="1293"/>
    <cellStyle name="20% - Accent5 3 2 3 2" xfId="2247"/>
    <cellStyle name="20% - Accent5 3 2 3 2 2" xfId="4139"/>
    <cellStyle name="20% - Accent5 3 2 3 2 3" xfId="4938"/>
    <cellStyle name="20% - Accent5 3 2 3 2 4" xfId="5568"/>
    <cellStyle name="20% - Accent5 3 2 3 3" xfId="3387"/>
    <cellStyle name="20% - Accent5 3 2 3 4" xfId="2525"/>
    <cellStyle name="20% - Accent5 3 2 3 5" xfId="2988"/>
    <cellStyle name="20% - Accent5 3 2 4" xfId="1868"/>
    <cellStyle name="20% - Accent5 3 2 4 2" xfId="3817"/>
    <cellStyle name="20% - Accent5 3 2 4 3" xfId="4659"/>
    <cellStyle name="20% - Accent5 3 2 4 4" xfId="5342"/>
    <cellStyle name="20% - Accent5 3 2 5" xfId="2664"/>
    <cellStyle name="20% - Accent5 3 2 6" xfId="2833"/>
    <cellStyle name="20% - Accent5 3 2 7" xfId="2739"/>
    <cellStyle name="20% - Accent5 3 3" xfId="422"/>
    <cellStyle name="20% - Accent5 3 3 2" xfId="1279"/>
    <cellStyle name="20% - Accent5 3 3 2 2" xfId="2233"/>
    <cellStyle name="20% - Accent5 3 3 2 2 2" xfId="4125"/>
    <cellStyle name="20% - Accent5 3 3 2 2 3" xfId="4924"/>
    <cellStyle name="20% - Accent5 3 3 2 2 4" xfId="5554"/>
    <cellStyle name="20% - Accent5 3 3 2 3" xfId="3373"/>
    <cellStyle name="20% - Accent5 3 3 2 4" xfId="3798"/>
    <cellStyle name="20% - Accent5 3 3 2 5" xfId="4641"/>
    <cellStyle name="20% - Accent5 3 3 3" xfId="1303"/>
    <cellStyle name="20% - Accent5 3 3 3 2" xfId="2254"/>
    <cellStyle name="20% - Accent5 3 3 3 2 2" xfId="4146"/>
    <cellStyle name="20% - Accent5 3 3 3 2 3" xfId="4945"/>
    <cellStyle name="20% - Accent5 3 3 3 2 4" xfId="5575"/>
    <cellStyle name="20% - Accent5 3 3 3 3" xfId="3396"/>
    <cellStyle name="20% - Accent5 3 3 3 4" xfId="2517"/>
    <cellStyle name="20% - Accent5 3 3 3 5" xfId="2760"/>
    <cellStyle name="20% - Accent5 3 3 4" xfId="1901"/>
    <cellStyle name="20% - Accent5 3 3 4 2" xfId="3850"/>
    <cellStyle name="20% - Accent5 3 3 4 3" xfId="4692"/>
    <cellStyle name="20% - Accent5 3 3 4 4" xfId="5375"/>
    <cellStyle name="20% - Accent5 3 3 5" xfId="2706"/>
    <cellStyle name="20% - Accent5 3 3 6" xfId="2607"/>
    <cellStyle name="20% - Accent5 3 3 7" xfId="2638"/>
    <cellStyle name="20% - Accent5 3 4" xfId="885"/>
    <cellStyle name="20% - Accent5 3 4 2" xfId="1352"/>
    <cellStyle name="20% - Accent5 3 4 2 2" xfId="2298"/>
    <cellStyle name="20% - Accent5 3 4 2 2 2" xfId="4190"/>
    <cellStyle name="20% - Accent5 3 4 2 2 3" xfId="4989"/>
    <cellStyle name="20% - Accent5 3 4 2 2 4" xfId="5619"/>
    <cellStyle name="20% - Accent5 3 4 2 3" xfId="3442"/>
    <cellStyle name="20% - Accent5 3 4 2 4" xfId="4352"/>
    <cellStyle name="20% - Accent5 3 4 2 5" xfId="5151"/>
    <cellStyle name="20% - Accent5 3 4 3" xfId="1592"/>
    <cellStyle name="20% - Accent5 3 4 3 2" xfId="2385"/>
    <cellStyle name="20% - Accent5 3 4 3 2 2" xfId="4277"/>
    <cellStyle name="20% - Accent5 3 4 3 2 3" xfId="5076"/>
    <cellStyle name="20% - Accent5 3 4 3 2 4" xfId="5706"/>
    <cellStyle name="20% - Accent5 3 4 3 3" xfId="3618"/>
    <cellStyle name="20% - Accent5 3 4 3 4" xfId="4496"/>
    <cellStyle name="20% - Accent5 3 4 3 5" xfId="5238"/>
    <cellStyle name="20% - Accent5 3 4 4" xfId="1920"/>
    <cellStyle name="20% - Accent5 3 4 4 2" xfId="3869"/>
    <cellStyle name="20% - Accent5 3 4 4 3" xfId="4711"/>
    <cellStyle name="20% - Accent5 3 4 4 4" xfId="5394"/>
    <cellStyle name="20% - Accent5 3 4 5" xfId="3013"/>
    <cellStyle name="20% - Accent5 3 4 6" xfId="2804"/>
    <cellStyle name="20% - Accent5 3 4 7" xfId="3497"/>
    <cellStyle name="20% - Accent5 3 5" xfId="1038"/>
    <cellStyle name="20% - Accent5 3 5 2" xfId="1463"/>
    <cellStyle name="20% - Accent5 3 5 2 2" xfId="2358"/>
    <cellStyle name="20% - Accent5 3 5 2 2 2" xfId="4250"/>
    <cellStyle name="20% - Accent5 3 5 2 2 3" xfId="5049"/>
    <cellStyle name="20% - Accent5 3 5 2 2 4" xfId="5679"/>
    <cellStyle name="20% - Accent5 3 5 2 3" xfId="3534"/>
    <cellStyle name="20% - Accent5 3 5 2 4" xfId="4432"/>
    <cellStyle name="20% - Accent5 3 5 2 5" xfId="5211"/>
    <cellStyle name="20% - Accent5 3 5 3" xfId="1696"/>
    <cellStyle name="20% - Accent5 3 5 3 2" xfId="2438"/>
    <cellStyle name="20% - Accent5 3 5 3 2 2" xfId="4330"/>
    <cellStyle name="20% - Accent5 3 5 3 2 3" xfId="5129"/>
    <cellStyle name="20% - Accent5 3 5 3 2 4" xfId="5759"/>
    <cellStyle name="20% - Accent5 3 5 3 3" xfId="3696"/>
    <cellStyle name="20% - Accent5 3 5 3 4" xfId="4565"/>
    <cellStyle name="20% - Accent5 3 5 3 5" xfId="5291"/>
    <cellStyle name="20% - Accent5 3 5 4" xfId="2024"/>
    <cellStyle name="20% - Accent5 3 5 4 2" xfId="3952"/>
    <cellStyle name="20% - Accent5 3 5 4 3" xfId="4783"/>
    <cellStyle name="20% - Accent5 3 5 4 4" xfId="5447"/>
    <cellStyle name="20% - Accent5 3 5 5" xfId="3147"/>
    <cellStyle name="20% - Accent5 3 5 6" xfId="2719"/>
    <cellStyle name="20% - Accent5 3 5 7" xfId="2594"/>
    <cellStyle name="20% - Accent5 3 6" xfId="902"/>
    <cellStyle name="20% - Accent5 3 6 2" xfId="1368"/>
    <cellStyle name="20% - Accent5 3 6 2 2" xfId="2314"/>
    <cellStyle name="20% - Accent5 3 6 2 2 2" xfId="4206"/>
    <cellStyle name="20% - Accent5 3 6 2 2 3" xfId="5005"/>
    <cellStyle name="20% - Accent5 3 6 2 2 4" xfId="5635"/>
    <cellStyle name="20% - Accent5 3 6 2 3" xfId="3458"/>
    <cellStyle name="20% - Accent5 3 6 2 4" xfId="4368"/>
    <cellStyle name="20% - Accent5 3 6 2 5" xfId="5167"/>
    <cellStyle name="20% - Accent5 3 6 3" xfId="1608"/>
    <cellStyle name="20% - Accent5 3 6 3 2" xfId="2401"/>
    <cellStyle name="20% - Accent5 3 6 3 2 2" xfId="4293"/>
    <cellStyle name="20% - Accent5 3 6 3 2 3" xfId="5092"/>
    <cellStyle name="20% - Accent5 3 6 3 2 4" xfId="5722"/>
    <cellStyle name="20% - Accent5 3 6 3 3" xfId="3634"/>
    <cellStyle name="20% - Accent5 3 6 3 4" xfId="4512"/>
    <cellStyle name="20% - Accent5 3 6 3 5" xfId="5254"/>
    <cellStyle name="20% - Accent5 3 6 4" xfId="1936"/>
    <cellStyle name="20% - Accent5 3 6 4 2" xfId="3885"/>
    <cellStyle name="20% - Accent5 3 6 4 3" xfId="4727"/>
    <cellStyle name="20% - Accent5 3 6 4 4" xfId="5410"/>
    <cellStyle name="20% - Accent5 3 6 5" xfId="3030"/>
    <cellStyle name="20% - Accent5 3 6 6" xfId="2748"/>
    <cellStyle name="20% - Accent5 3 6 7" xfId="3966"/>
    <cellStyle name="20% - Accent5 3 7" xfId="1170"/>
    <cellStyle name="20% - Accent5 3 7 2" xfId="2152"/>
    <cellStyle name="20% - Accent5 3 7 2 2" xfId="4044"/>
    <cellStyle name="20% - Accent5 3 7 2 3" xfId="4843"/>
    <cellStyle name="20% - Accent5 3 7 2 4" xfId="5473"/>
    <cellStyle name="20% - Accent5 3 7 3" xfId="3279"/>
    <cellStyle name="20% - Accent5 3 7 4" xfId="3724"/>
    <cellStyle name="20% - Accent5 3 7 5" xfId="4583"/>
    <cellStyle name="20% - Accent5 3 8" xfId="1328"/>
    <cellStyle name="20% - Accent5 3 8 2" xfId="2276"/>
    <cellStyle name="20% - Accent5 3 8 2 2" xfId="4168"/>
    <cellStyle name="20% - Accent5 3 8 2 3" xfId="4967"/>
    <cellStyle name="20% - Accent5 3 8 2 4" xfId="5597"/>
    <cellStyle name="20% - Accent5 3 8 3" xfId="3420"/>
    <cellStyle name="20% - Accent5 3 8 4" xfId="2493"/>
    <cellStyle name="20% - Accent5 3 8 5" xfId="2886"/>
    <cellStyle name="20% - Accent5 3 9" xfId="1824"/>
    <cellStyle name="20% - Accent5 3 9 2" xfId="3783"/>
    <cellStyle name="20% - Accent5 3 9 3" xfId="4626"/>
    <cellStyle name="20% - Accent5 3 9 4" xfId="5316"/>
    <cellStyle name="20% - Accent5 4" xfId="489"/>
    <cellStyle name="20% - Accent5 5" xfId="6098"/>
    <cellStyle name="20% - Accent5 6" xfId="6410"/>
    <cellStyle name="20% - Accent5 7" xfId="6715"/>
    <cellStyle name="20% - Accent5 8" xfId="5995"/>
    <cellStyle name="20% - Accent5 9" xfId="6706"/>
    <cellStyle name="20% - Accent6 10" xfId="6602"/>
    <cellStyle name="20% - Accent6 11" xfId="6831"/>
    <cellStyle name="20% - Accent6 12" xfId="6537"/>
    <cellStyle name="20% - Accent6 13" xfId="6754"/>
    <cellStyle name="20% - Accent6 2" xfId="187"/>
    <cellStyle name="20% - Accent6 2 10" xfId="2469"/>
    <cellStyle name="20% - Accent6 2 11" xfId="2651"/>
    <cellStyle name="20% - Accent6 2 12" xfId="2854"/>
    <cellStyle name="20% - Accent6 2 13" xfId="327"/>
    <cellStyle name="20% - Accent6 2 14" xfId="6059"/>
    <cellStyle name="20% - Accent6 2 15" xfId="6219"/>
    <cellStyle name="20% - Accent6 2 16" xfId="6453"/>
    <cellStyle name="20% - Accent6 2 17" xfId="6143"/>
    <cellStyle name="20% - Accent6 2 18" xfId="6813"/>
    <cellStyle name="20% - Accent6 2 19" xfId="6686"/>
    <cellStyle name="20% - Accent6 2 2" xfId="188"/>
    <cellStyle name="20% - Accent6 2 2 2" xfId="1244"/>
    <cellStyle name="20% - Accent6 2 2 2 2" xfId="2198"/>
    <cellStyle name="20% - Accent6 2 2 2 2 2" xfId="4090"/>
    <cellStyle name="20% - Accent6 2 2 2 2 3" xfId="4889"/>
    <cellStyle name="20% - Accent6 2 2 2 2 4" xfId="5519"/>
    <cellStyle name="20% - Accent6 2 2 2 3" xfId="3338"/>
    <cellStyle name="20% - Accent6 2 2 2 4" xfId="2536"/>
    <cellStyle name="20% - Accent6 2 2 2 5" xfId="3974"/>
    <cellStyle name="20% - Accent6 2 2 3" xfId="1208"/>
    <cellStyle name="20% - Accent6 2 2 3 2" xfId="2179"/>
    <cellStyle name="20% - Accent6 2 2 3 2 2" xfId="4071"/>
    <cellStyle name="20% - Accent6 2 2 3 2 3" xfId="4870"/>
    <cellStyle name="20% - Accent6 2 2 3 2 4" xfId="5500"/>
    <cellStyle name="20% - Accent6 2 2 3 3" xfId="3310"/>
    <cellStyle name="20% - Accent6 2 2 3 4" xfId="3991"/>
    <cellStyle name="20% - Accent6 2 2 3 5" xfId="4810"/>
    <cellStyle name="20% - Accent6 2 2 4" xfId="1869"/>
    <cellStyle name="20% - Accent6 2 2 4 2" xfId="3818"/>
    <cellStyle name="20% - Accent6 2 2 4 3" xfId="4660"/>
    <cellStyle name="20% - Accent6 2 2 4 4" xfId="5343"/>
    <cellStyle name="20% - Accent6 2 2 5" xfId="2665"/>
    <cellStyle name="20% - Accent6 2 2 6" xfId="2828"/>
    <cellStyle name="20% - Accent6 2 2 7" xfId="2790"/>
    <cellStyle name="20% - Accent6 2 20" xfId="6088"/>
    <cellStyle name="20% - Accent6 2 21" xfId="6085"/>
    <cellStyle name="20% - Accent6 2 22" xfId="6240"/>
    <cellStyle name="20% - Accent6 2 3" xfId="421"/>
    <cellStyle name="20% - Accent6 2 3 2" xfId="1278"/>
    <cellStyle name="20% - Accent6 2 3 2 2" xfId="2232"/>
    <cellStyle name="20% - Accent6 2 3 2 2 2" xfId="4124"/>
    <cellStyle name="20% - Accent6 2 3 2 2 3" xfId="4923"/>
    <cellStyle name="20% - Accent6 2 3 2 2 4" xfId="5553"/>
    <cellStyle name="20% - Accent6 2 3 2 3" xfId="3372"/>
    <cellStyle name="20% - Accent6 2 3 2 4" xfId="2533"/>
    <cellStyle name="20% - Accent6 2 3 2 5" xfId="4003"/>
    <cellStyle name="20% - Accent6 2 3 3" xfId="1304"/>
    <cellStyle name="20% - Accent6 2 3 3 2" xfId="2255"/>
    <cellStyle name="20% - Accent6 2 3 3 2 2" xfId="4147"/>
    <cellStyle name="20% - Accent6 2 3 3 2 3" xfId="4946"/>
    <cellStyle name="20% - Accent6 2 3 3 2 4" xfId="5576"/>
    <cellStyle name="20% - Accent6 2 3 3 3" xfId="3397"/>
    <cellStyle name="20% - Accent6 2 3 3 4" xfId="2516"/>
    <cellStyle name="20% - Accent6 2 3 3 5" xfId="2767"/>
    <cellStyle name="20% - Accent6 2 3 4" xfId="1900"/>
    <cellStyle name="20% - Accent6 2 3 4 2" xfId="3849"/>
    <cellStyle name="20% - Accent6 2 3 4 3" xfId="4691"/>
    <cellStyle name="20% - Accent6 2 3 4 4" xfId="5374"/>
    <cellStyle name="20% - Accent6 2 3 5" xfId="2705"/>
    <cellStyle name="20% - Accent6 2 3 6" xfId="2608"/>
    <cellStyle name="20% - Accent6 2 3 7" xfId="2786"/>
    <cellStyle name="20% - Accent6 2 4" xfId="886"/>
    <cellStyle name="20% - Accent6 2 4 2" xfId="1353"/>
    <cellStyle name="20% - Accent6 2 4 2 2" xfId="2299"/>
    <cellStyle name="20% - Accent6 2 4 2 2 2" xfId="4191"/>
    <cellStyle name="20% - Accent6 2 4 2 2 3" xfId="4990"/>
    <cellStyle name="20% - Accent6 2 4 2 2 4" xfId="5620"/>
    <cellStyle name="20% - Accent6 2 4 2 3" xfId="3443"/>
    <cellStyle name="20% - Accent6 2 4 2 4" xfId="4353"/>
    <cellStyle name="20% - Accent6 2 4 2 5" xfId="5152"/>
    <cellStyle name="20% - Accent6 2 4 3" xfId="1593"/>
    <cellStyle name="20% - Accent6 2 4 3 2" xfId="2386"/>
    <cellStyle name="20% - Accent6 2 4 3 2 2" xfId="4278"/>
    <cellStyle name="20% - Accent6 2 4 3 2 3" xfId="5077"/>
    <cellStyle name="20% - Accent6 2 4 3 2 4" xfId="5707"/>
    <cellStyle name="20% - Accent6 2 4 3 3" xfId="3619"/>
    <cellStyle name="20% - Accent6 2 4 3 4" xfId="4497"/>
    <cellStyle name="20% - Accent6 2 4 3 5" xfId="5239"/>
    <cellStyle name="20% - Accent6 2 4 4" xfId="1921"/>
    <cellStyle name="20% - Accent6 2 4 4 2" xfId="3870"/>
    <cellStyle name="20% - Accent6 2 4 4 3" xfId="4712"/>
    <cellStyle name="20% - Accent6 2 4 4 4" xfId="5395"/>
    <cellStyle name="20% - Accent6 2 4 5" xfId="3014"/>
    <cellStyle name="20% - Accent6 2 4 6" xfId="2798"/>
    <cellStyle name="20% - Accent6 2 4 7" xfId="2916"/>
    <cellStyle name="20% - Accent6 2 5" xfId="1035"/>
    <cellStyle name="20% - Accent6 2 5 2" xfId="1460"/>
    <cellStyle name="20% - Accent6 2 5 2 2" xfId="2356"/>
    <cellStyle name="20% - Accent6 2 5 2 2 2" xfId="4248"/>
    <cellStyle name="20% - Accent6 2 5 2 2 3" xfId="5047"/>
    <cellStyle name="20% - Accent6 2 5 2 2 4" xfId="5677"/>
    <cellStyle name="20% - Accent6 2 5 2 3" xfId="3532"/>
    <cellStyle name="20% - Accent6 2 5 2 4" xfId="4430"/>
    <cellStyle name="20% - Accent6 2 5 2 5" xfId="5209"/>
    <cellStyle name="20% - Accent6 2 5 3" xfId="1694"/>
    <cellStyle name="20% - Accent6 2 5 3 2" xfId="2437"/>
    <cellStyle name="20% - Accent6 2 5 3 2 2" xfId="4329"/>
    <cellStyle name="20% - Accent6 2 5 3 2 3" xfId="5128"/>
    <cellStyle name="20% - Accent6 2 5 3 2 4" xfId="5758"/>
    <cellStyle name="20% - Accent6 2 5 3 3" xfId="3695"/>
    <cellStyle name="20% - Accent6 2 5 3 4" xfId="4564"/>
    <cellStyle name="20% - Accent6 2 5 3 5" xfId="5290"/>
    <cellStyle name="20% - Accent6 2 5 4" xfId="2022"/>
    <cellStyle name="20% - Accent6 2 5 4 2" xfId="3951"/>
    <cellStyle name="20% - Accent6 2 5 4 3" xfId="4782"/>
    <cellStyle name="20% - Accent6 2 5 4 4" xfId="5446"/>
    <cellStyle name="20% - Accent6 2 5 5" xfId="3144"/>
    <cellStyle name="20% - Accent6 2 5 6" xfId="3902"/>
    <cellStyle name="20% - Accent6 2 5 7" xfId="4744"/>
    <cellStyle name="20% - Accent6 2 6" xfId="904"/>
    <cellStyle name="20% - Accent6 2 6 2" xfId="1370"/>
    <cellStyle name="20% - Accent6 2 6 2 2" xfId="2316"/>
    <cellStyle name="20% - Accent6 2 6 2 2 2" xfId="4208"/>
    <cellStyle name="20% - Accent6 2 6 2 2 3" xfId="5007"/>
    <cellStyle name="20% - Accent6 2 6 2 2 4" xfId="5637"/>
    <cellStyle name="20% - Accent6 2 6 2 3" xfId="3460"/>
    <cellStyle name="20% - Accent6 2 6 2 4" xfId="4370"/>
    <cellStyle name="20% - Accent6 2 6 2 5" xfId="5169"/>
    <cellStyle name="20% - Accent6 2 6 3" xfId="1609"/>
    <cellStyle name="20% - Accent6 2 6 3 2" xfId="2402"/>
    <cellStyle name="20% - Accent6 2 6 3 2 2" xfId="4294"/>
    <cellStyle name="20% - Accent6 2 6 3 2 3" xfId="5093"/>
    <cellStyle name="20% - Accent6 2 6 3 2 4" xfId="5723"/>
    <cellStyle name="20% - Accent6 2 6 3 3" xfId="3635"/>
    <cellStyle name="20% - Accent6 2 6 3 4" xfId="4513"/>
    <cellStyle name="20% - Accent6 2 6 3 5" xfId="5255"/>
    <cellStyle name="20% - Accent6 2 6 4" xfId="1937"/>
    <cellStyle name="20% - Accent6 2 6 4 2" xfId="3886"/>
    <cellStyle name="20% - Accent6 2 6 4 3" xfId="4728"/>
    <cellStyle name="20% - Accent6 2 6 4 4" xfId="5411"/>
    <cellStyle name="20% - Accent6 2 6 5" xfId="3032"/>
    <cellStyle name="20% - Accent6 2 6 6" xfId="4025"/>
    <cellStyle name="20% - Accent6 2 6 7" xfId="4829"/>
    <cellStyle name="20% - Accent6 2 7" xfId="1171"/>
    <cellStyle name="20% - Accent6 2 7 2" xfId="2153"/>
    <cellStyle name="20% - Accent6 2 7 2 2" xfId="4045"/>
    <cellStyle name="20% - Accent6 2 7 2 3" xfId="4844"/>
    <cellStyle name="20% - Accent6 2 7 2 4" xfId="5474"/>
    <cellStyle name="20% - Accent6 2 7 3" xfId="3280"/>
    <cellStyle name="20% - Accent6 2 7 4" xfId="3561"/>
    <cellStyle name="20% - Accent6 2 7 5" xfId="4455"/>
    <cellStyle name="20% - Accent6 2 8" xfId="1327"/>
    <cellStyle name="20% - Accent6 2 8 2" xfId="2275"/>
    <cellStyle name="20% - Accent6 2 8 2 2" xfId="4167"/>
    <cellStyle name="20% - Accent6 2 8 2 3" xfId="4966"/>
    <cellStyle name="20% - Accent6 2 8 2 4" xfId="5596"/>
    <cellStyle name="20% - Accent6 2 8 3" xfId="3419"/>
    <cellStyle name="20% - Accent6 2 8 4" xfId="2494"/>
    <cellStyle name="20% - Accent6 2 8 5" xfId="2880"/>
    <cellStyle name="20% - Accent6 2 9" xfId="1825"/>
    <cellStyle name="20% - Accent6 2 9 2" xfId="3784"/>
    <cellStyle name="20% - Accent6 2 9 3" xfId="4627"/>
    <cellStyle name="20% - Accent6 2 9 4" xfId="5317"/>
    <cellStyle name="20% - Accent6 3" xfId="189"/>
    <cellStyle name="20% - Accent6 3 10" xfId="2470"/>
    <cellStyle name="20% - Accent6 3 11" xfId="2950"/>
    <cellStyle name="20% - Accent6 3 12" xfId="2558"/>
    <cellStyle name="20% - Accent6 3 2" xfId="370"/>
    <cellStyle name="20% - Accent6 3 2 2" xfId="1245"/>
    <cellStyle name="20% - Accent6 3 2 2 2" xfId="2199"/>
    <cellStyle name="20% - Accent6 3 2 2 2 2" xfId="4091"/>
    <cellStyle name="20% - Accent6 3 2 2 2 3" xfId="4890"/>
    <cellStyle name="20% - Accent6 3 2 2 2 4" xfId="5520"/>
    <cellStyle name="20% - Accent6 3 2 2 3" xfId="3339"/>
    <cellStyle name="20% - Accent6 3 2 2 4" xfId="2975"/>
    <cellStyle name="20% - Accent6 3 2 2 5" xfId="3931"/>
    <cellStyle name="20% - Accent6 3 2 3" xfId="1160"/>
    <cellStyle name="20% - Accent6 3 2 3 2" xfId="2142"/>
    <cellStyle name="20% - Accent6 3 2 3 2 2" xfId="4034"/>
    <cellStyle name="20% - Accent6 3 2 3 2 3" xfId="4833"/>
    <cellStyle name="20% - Accent6 3 2 3 2 4" xfId="5463"/>
    <cellStyle name="20% - Accent6 3 2 3 3" xfId="3269"/>
    <cellStyle name="20% - Accent6 3 2 3 4" xfId="2921"/>
    <cellStyle name="20% - Accent6 3 2 3 5" xfId="3980"/>
    <cellStyle name="20% - Accent6 3 2 4" xfId="1870"/>
    <cellStyle name="20% - Accent6 3 2 4 2" xfId="3819"/>
    <cellStyle name="20% - Accent6 3 2 4 3" xfId="4661"/>
    <cellStyle name="20% - Accent6 3 2 4 4" xfId="5344"/>
    <cellStyle name="20% - Accent6 3 2 5" xfId="2666"/>
    <cellStyle name="20% - Accent6 3 2 6" xfId="2822"/>
    <cellStyle name="20% - Accent6 3 2 7" xfId="2688"/>
    <cellStyle name="20% - Accent6 3 3" xfId="420"/>
    <cellStyle name="20% - Accent6 3 3 2" xfId="1277"/>
    <cellStyle name="20% - Accent6 3 3 2 2" xfId="2231"/>
    <cellStyle name="20% - Accent6 3 3 2 2 2" xfId="4123"/>
    <cellStyle name="20% - Accent6 3 3 2 2 3" xfId="4922"/>
    <cellStyle name="20% - Accent6 3 3 2 2 4" xfId="5552"/>
    <cellStyle name="20% - Accent6 3 3 2 3" xfId="3371"/>
    <cellStyle name="20% - Accent6 3 3 2 4" xfId="2534"/>
    <cellStyle name="20% - Accent6 3 3 2 5" xfId="3746"/>
    <cellStyle name="20% - Accent6 3 3 3" xfId="1305"/>
    <cellStyle name="20% - Accent6 3 3 3 2" xfId="2256"/>
    <cellStyle name="20% - Accent6 3 3 3 2 2" xfId="4148"/>
    <cellStyle name="20% - Accent6 3 3 3 2 3" xfId="4947"/>
    <cellStyle name="20% - Accent6 3 3 3 2 4" xfId="5577"/>
    <cellStyle name="20% - Accent6 3 3 3 3" xfId="3398"/>
    <cellStyle name="20% - Accent6 3 3 3 4" xfId="2515"/>
    <cellStyle name="20% - Accent6 3 3 3 5" xfId="2772"/>
    <cellStyle name="20% - Accent6 3 3 4" xfId="1899"/>
    <cellStyle name="20% - Accent6 3 3 4 2" xfId="3848"/>
    <cellStyle name="20% - Accent6 3 3 4 3" xfId="4690"/>
    <cellStyle name="20% - Accent6 3 3 4 4" xfId="5373"/>
    <cellStyle name="20% - Accent6 3 3 5" xfId="2704"/>
    <cellStyle name="20% - Accent6 3 3 6" xfId="2609"/>
    <cellStyle name="20% - Accent6 3 3 7" xfId="2779"/>
    <cellStyle name="20% - Accent6 3 4" xfId="887"/>
    <cellStyle name="20% - Accent6 3 4 2" xfId="1354"/>
    <cellStyle name="20% - Accent6 3 4 2 2" xfId="2300"/>
    <cellStyle name="20% - Accent6 3 4 2 2 2" xfId="4192"/>
    <cellStyle name="20% - Accent6 3 4 2 2 3" xfId="4991"/>
    <cellStyle name="20% - Accent6 3 4 2 2 4" xfId="5621"/>
    <cellStyle name="20% - Accent6 3 4 2 3" xfId="3444"/>
    <cellStyle name="20% - Accent6 3 4 2 4" xfId="4354"/>
    <cellStyle name="20% - Accent6 3 4 2 5" xfId="5153"/>
    <cellStyle name="20% - Accent6 3 4 3" xfId="1594"/>
    <cellStyle name="20% - Accent6 3 4 3 2" xfId="2387"/>
    <cellStyle name="20% - Accent6 3 4 3 2 2" xfId="4279"/>
    <cellStyle name="20% - Accent6 3 4 3 2 3" xfId="5078"/>
    <cellStyle name="20% - Accent6 3 4 3 2 4" xfId="5708"/>
    <cellStyle name="20% - Accent6 3 4 3 3" xfId="3620"/>
    <cellStyle name="20% - Accent6 3 4 3 4" xfId="4498"/>
    <cellStyle name="20% - Accent6 3 4 3 5" xfId="5240"/>
    <cellStyle name="20% - Accent6 3 4 4" xfId="1922"/>
    <cellStyle name="20% - Accent6 3 4 4 2" xfId="3871"/>
    <cellStyle name="20% - Accent6 3 4 4 3" xfId="4713"/>
    <cellStyle name="20% - Accent6 3 4 4 4" xfId="5396"/>
    <cellStyle name="20% - Accent6 3 4 5" xfId="3015"/>
    <cellStyle name="20% - Accent6 3 4 6" xfId="2791"/>
    <cellStyle name="20% - Accent6 3 4 7" xfId="3986"/>
    <cellStyle name="20% - Accent6 3 5" xfId="1031"/>
    <cellStyle name="20% - Accent6 3 5 2" xfId="1456"/>
    <cellStyle name="20% - Accent6 3 5 2 2" xfId="2353"/>
    <cellStyle name="20% - Accent6 3 5 2 2 2" xfId="4245"/>
    <cellStyle name="20% - Accent6 3 5 2 2 3" xfId="5044"/>
    <cellStyle name="20% - Accent6 3 5 2 2 4" xfId="5674"/>
    <cellStyle name="20% - Accent6 3 5 2 3" xfId="3528"/>
    <cellStyle name="20% - Accent6 3 5 2 4" xfId="4426"/>
    <cellStyle name="20% - Accent6 3 5 2 5" xfId="5206"/>
    <cellStyle name="20% - Accent6 3 5 3" xfId="1691"/>
    <cellStyle name="20% - Accent6 3 5 3 2" xfId="2435"/>
    <cellStyle name="20% - Accent6 3 5 3 2 2" xfId="4327"/>
    <cellStyle name="20% - Accent6 3 5 3 2 3" xfId="5126"/>
    <cellStyle name="20% - Accent6 3 5 3 2 4" xfId="5756"/>
    <cellStyle name="20% - Accent6 3 5 3 3" xfId="3692"/>
    <cellStyle name="20% - Accent6 3 5 3 4" xfId="4561"/>
    <cellStyle name="20% - Accent6 3 5 3 5" xfId="5288"/>
    <cellStyle name="20% - Accent6 3 5 4" xfId="2019"/>
    <cellStyle name="20% - Accent6 3 5 4 2" xfId="3948"/>
    <cellStyle name="20% - Accent6 3 5 4 3" xfId="4779"/>
    <cellStyle name="20% - Accent6 3 5 4 4" xfId="5444"/>
    <cellStyle name="20% - Accent6 3 5 5" xfId="3141"/>
    <cellStyle name="20% - Accent6 3 5 6" xfId="3494"/>
    <cellStyle name="20% - Accent6 3 5 7" xfId="4398"/>
    <cellStyle name="20% - Accent6 3 6" xfId="905"/>
    <cellStyle name="20% - Accent6 3 6 2" xfId="1371"/>
    <cellStyle name="20% - Accent6 3 6 2 2" xfId="2317"/>
    <cellStyle name="20% - Accent6 3 6 2 2 2" xfId="4209"/>
    <cellStyle name="20% - Accent6 3 6 2 2 3" xfId="5008"/>
    <cellStyle name="20% - Accent6 3 6 2 2 4" xfId="5638"/>
    <cellStyle name="20% - Accent6 3 6 2 3" xfId="3461"/>
    <cellStyle name="20% - Accent6 3 6 2 4" xfId="4371"/>
    <cellStyle name="20% - Accent6 3 6 2 5" xfId="5170"/>
    <cellStyle name="20% - Accent6 3 6 3" xfId="1610"/>
    <cellStyle name="20% - Accent6 3 6 3 2" xfId="2403"/>
    <cellStyle name="20% - Accent6 3 6 3 2 2" xfId="4295"/>
    <cellStyle name="20% - Accent6 3 6 3 2 3" xfId="5094"/>
    <cellStyle name="20% - Accent6 3 6 3 2 4" xfId="5724"/>
    <cellStyle name="20% - Accent6 3 6 3 3" xfId="3636"/>
    <cellStyle name="20% - Accent6 3 6 3 4" xfId="4514"/>
    <cellStyle name="20% - Accent6 3 6 3 5" xfId="5256"/>
    <cellStyle name="20% - Accent6 3 6 4" xfId="1938"/>
    <cellStyle name="20% - Accent6 3 6 4 2" xfId="3887"/>
    <cellStyle name="20% - Accent6 3 6 4 3" xfId="4729"/>
    <cellStyle name="20% - Accent6 3 6 4 4" xfId="5412"/>
    <cellStyle name="20% - Accent6 3 6 5" xfId="3033"/>
    <cellStyle name="20% - Accent6 3 6 6" xfId="3766"/>
    <cellStyle name="20% - Accent6 3 6 7" xfId="4612"/>
    <cellStyle name="20% - Accent6 3 7" xfId="1172"/>
    <cellStyle name="20% - Accent6 3 7 2" xfId="2154"/>
    <cellStyle name="20% - Accent6 3 7 2 2" xfId="4046"/>
    <cellStyle name="20% - Accent6 3 7 2 3" xfId="4845"/>
    <cellStyle name="20% - Accent6 3 7 2 4" xfId="5475"/>
    <cellStyle name="20% - Accent6 3 7 3" xfId="3281"/>
    <cellStyle name="20% - Accent6 3 7 4" xfId="3901"/>
    <cellStyle name="20% - Accent6 3 7 5" xfId="4743"/>
    <cellStyle name="20% - Accent6 3 8" xfId="1326"/>
    <cellStyle name="20% - Accent6 3 8 2" xfId="2274"/>
    <cellStyle name="20% - Accent6 3 8 2 2" xfId="4166"/>
    <cellStyle name="20% - Accent6 3 8 2 3" xfId="4965"/>
    <cellStyle name="20% - Accent6 3 8 2 4" xfId="5595"/>
    <cellStyle name="20% - Accent6 3 8 3" xfId="3418"/>
    <cellStyle name="20% - Accent6 3 8 4" xfId="2495"/>
    <cellStyle name="20% - Accent6 3 8 5" xfId="2875"/>
    <cellStyle name="20% - Accent6 3 9" xfId="1826"/>
    <cellStyle name="20% - Accent6 3 9 2" xfId="3785"/>
    <cellStyle name="20% - Accent6 3 9 3" xfId="4628"/>
    <cellStyle name="20% - Accent6 3 9 4" xfId="5318"/>
    <cellStyle name="20% - Accent6 4" xfId="331"/>
    <cellStyle name="20% - Accent6 5" xfId="6073"/>
    <cellStyle name="20% - Accent6 6" xfId="6062"/>
    <cellStyle name="20% - Accent6 7" xfId="6542"/>
    <cellStyle name="20% - Accent6 8" xfId="6335"/>
    <cellStyle name="20% - Accent6 9" xfId="5868"/>
    <cellStyle name="40% - Accent1 10" xfId="6663"/>
    <cellStyle name="40% - Accent1 11" xfId="6771"/>
    <cellStyle name="40% - Accent1 12" xfId="6224"/>
    <cellStyle name="40% - Accent1 13" xfId="6864"/>
    <cellStyle name="40% - Accent1 2" xfId="190"/>
    <cellStyle name="40% - Accent1 2 10" xfId="2472"/>
    <cellStyle name="40% - Accent1 2 11" xfId="2942"/>
    <cellStyle name="40% - Accent1 2 12" xfId="3095"/>
    <cellStyle name="40% - Accent1 2 13" xfId="318"/>
    <cellStyle name="40% - Accent1 2 14" xfId="6038"/>
    <cellStyle name="40% - Accent1 2 15" xfId="6084"/>
    <cellStyle name="40% - Accent1 2 16" xfId="6480"/>
    <cellStyle name="40% - Accent1 2 17" xfId="5951"/>
    <cellStyle name="40% - Accent1 2 18" xfId="6814"/>
    <cellStyle name="40% - Accent1 2 19" xfId="6231"/>
    <cellStyle name="40% - Accent1 2 2" xfId="191"/>
    <cellStyle name="40% - Accent1 2 2 2" xfId="1246"/>
    <cellStyle name="40% - Accent1 2 2 2 2" xfId="2200"/>
    <cellStyle name="40% - Accent1 2 2 2 2 2" xfId="4092"/>
    <cellStyle name="40% - Accent1 2 2 2 2 3" xfId="4891"/>
    <cellStyle name="40% - Accent1 2 2 2 2 4" xfId="5521"/>
    <cellStyle name="40% - Accent1 2 2 2 3" xfId="3340"/>
    <cellStyle name="40% - Accent1 2 2 2 4" xfId="4030"/>
    <cellStyle name="40% - Accent1 2 2 2 5" xfId="4830"/>
    <cellStyle name="40% - Accent1 2 2 3" xfId="1207"/>
    <cellStyle name="40% - Accent1 2 2 3 2" xfId="2178"/>
    <cellStyle name="40% - Accent1 2 2 3 2 2" xfId="4070"/>
    <cellStyle name="40% - Accent1 2 2 3 2 3" xfId="4869"/>
    <cellStyle name="40% - Accent1 2 2 3 2 4" xfId="5499"/>
    <cellStyle name="40% - Accent1 2 2 3 3" xfId="3309"/>
    <cellStyle name="40% - Accent1 2 2 3 4" xfId="3594"/>
    <cellStyle name="40% - Accent1 2 2 3 5" xfId="4477"/>
    <cellStyle name="40% - Accent1 2 2 4" xfId="1871"/>
    <cellStyle name="40% - Accent1 2 2 4 2" xfId="3820"/>
    <cellStyle name="40% - Accent1 2 2 4 3" xfId="4662"/>
    <cellStyle name="40% - Accent1 2 2 4 4" xfId="5345"/>
    <cellStyle name="40% - Accent1 2 2 5" xfId="2667"/>
    <cellStyle name="40% - Accent1 2 2 6" xfId="2817"/>
    <cellStyle name="40% - Accent1 2 2 7" xfId="2832"/>
    <cellStyle name="40% - Accent1 2 20" xfId="6431"/>
    <cellStyle name="40% - Accent1 2 21" xfId="6742"/>
    <cellStyle name="40% - Accent1 2 22" xfId="6253"/>
    <cellStyle name="40% - Accent1 2 3" xfId="417"/>
    <cellStyle name="40% - Accent1 2 3 2" xfId="1276"/>
    <cellStyle name="40% - Accent1 2 3 2 2" xfId="2230"/>
    <cellStyle name="40% - Accent1 2 3 2 2 2" xfId="4122"/>
    <cellStyle name="40% - Accent1 2 3 2 2 3" xfId="4921"/>
    <cellStyle name="40% - Accent1 2 3 2 2 4" xfId="5551"/>
    <cellStyle name="40% - Accent1 2 3 2 3" xfId="3370"/>
    <cellStyle name="40% - Accent1 2 3 2 4" xfId="2535"/>
    <cellStyle name="40% - Accent1 2 3 2 5" xfId="3584"/>
    <cellStyle name="40% - Accent1 2 3 3" xfId="1307"/>
    <cellStyle name="40% - Accent1 2 3 3 2" xfId="2257"/>
    <cellStyle name="40% - Accent1 2 3 3 2 2" xfId="4149"/>
    <cellStyle name="40% - Accent1 2 3 3 2 3" xfId="4948"/>
    <cellStyle name="40% - Accent1 2 3 3 2 4" xfId="5578"/>
    <cellStyle name="40% - Accent1 2 3 3 3" xfId="3400"/>
    <cellStyle name="40% - Accent1 2 3 3 4" xfId="2513"/>
    <cellStyle name="40% - Accent1 2 3 3 5" xfId="2644"/>
    <cellStyle name="40% - Accent1 2 3 4" xfId="1898"/>
    <cellStyle name="40% - Accent1 2 3 4 2" xfId="3847"/>
    <cellStyle name="40% - Accent1 2 3 4 3" xfId="4689"/>
    <cellStyle name="40% - Accent1 2 3 4 4" xfId="5372"/>
    <cellStyle name="40% - Accent1 2 3 5" xfId="2703"/>
    <cellStyle name="40% - Accent1 2 3 6" xfId="2610"/>
    <cellStyle name="40% - Accent1 2 3 7" xfId="2759"/>
    <cellStyle name="40% - Accent1 2 4" xfId="889"/>
    <cellStyle name="40% - Accent1 2 4 2" xfId="1356"/>
    <cellStyle name="40% - Accent1 2 4 2 2" xfId="2302"/>
    <cellStyle name="40% - Accent1 2 4 2 2 2" xfId="4194"/>
    <cellStyle name="40% - Accent1 2 4 2 2 3" xfId="4993"/>
    <cellStyle name="40% - Accent1 2 4 2 2 4" xfId="5623"/>
    <cellStyle name="40% - Accent1 2 4 2 3" xfId="3446"/>
    <cellStyle name="40% - Accent1 2 4 2 4" xfId="4356"/>
    <cellStyle name="40% - Accent1 2 4 2 5" xfId="5155"/>
    <cellStyle name="40% - Accent1 2 4 3" xfId="1596"/>
    <cellStyle name="40% - Accent1 2 4 3 2" xfId="2389"/>
    <cellStyle name="40% - Accent1 2 4 3 2 2" xfId="4281"/>
    <cellStyle name="40% - Accent1 2 4 3 2 3" xfId="5080"/>
    <cellStyle name="40% - Accent1 2 4 3 2 4" xfId="5710"/>
    <cellStyle name="40% - Accent1 2 4 3 3" xfId="3622"/>
    <cellStyle name="40% - Accent1 2 4 3 4" xfId="4500"/>
    <cellStyle name="40% - Accent1 2 4 3 5" xfId="5242"/>
    <cellStyle name="40% - Accent1 2 4 4" xfId="1924"/>
    <cellStyle name="40% - Accent1 2 4 4 2" xfId="3873"/>
    <cellStyle name="40% - Accent1 2 4 4 3" xfId="4715"/>
    <cellStyle name="40% - Accent1 2 4 4 4" xfId="5398"/>
    <cellStyle name="40% - Accent1 2 4 5" xfId="3017"/>
    <cellStyle name="40% - Accent1 2 4 6" xfId="2777"/>
    <cellStyle name="40% - Accent1 2 4 7" xfId="2750"/>
    <cellStyle name="40% - Accent1 2 5" xfId="1084"/>
    <cellStyle name="40% - Accent1 2 5 2" xfId="1507"/>
    <cellStyle name="40% - Accent1 2 5 2 2" xfId="2367"/>
    <cellStyle name="40% - Accent1 2 5 2 2 2" xfId="4259"/>
    <cellStyle name="40% - Accent1 2 5 2 2 3" xfId="5058"/>
    <cellStyle name="40% - Accent1 2 5 2 2 4" xfId="5688"/>
    <cellStyle name="40% - Accent1 2 5 2 3" xfId="3562"/>
    <cellStyle name="40% - Accent1 2 5 2 4" xfId="4456"/>
    <cellStyle name="40% - Accent1 2 5 2 5" xfId="5220"/>
    <cellStyle name="40% - Accent1 2 5 3" xfId="1740"/>
    <cellStyle name="40% - Accent1 2 5 3 2" xfId="2447"/>
    <cellStyle name="40% - Accent1 2 5 3 2 2" xfId="4339"/>
    <cellStyle name="40% - Accent1 2 5 3 2 3" xfId="5138"/>
    <cellStyle name="40% - Accent1 2 5 3 2 4" xfId="5768"/>
    <cellStyle name="40% - Accent1 2 5 3 3" xfId="3725"/>
    <cellStyle name="40% - Accent1 2 5 3 4" xfId="4584"/>
    <cellStyle name="40% - Accent1 2 5 3 5" xfId="5300"/>
    <cellStyle name="40% - Accent1 2 5 4" xfId="2068"/>
    <cellStyle name="40% - Accent1 2 5 4 2" xfId="3982"/>
    <cellStyle name="40% - Accent1 2 5 4 3" xfId="4804"/>
    <cellStyle name="40% - Accent1 2 5 4 4" xfId="5456"/>
    <cellStyle name="40% - Accent1 2 5 5" xfId="3194"/>
    <cellStyle name="40% - Accent1 2 5 6" xfId="3977"/>
    <cellStyle name="40% - Accent1 2 5 7" xfId="4801"/>
    <cellStyle name="40% - Accent1 2 6" xfId="1126"/>
    <cellStyle name="40% - Accent1 2 6 2" xfId="1549"/>
    <cellStyle name="40% - Accent1 2 6 2 2" xfId="2374"/>
    <cellStyle name="40% - Accent1 2 6 2 2 2" xfId="4266"/>
    <cellStyle name="40% - Accent1 2 6 2 2 3" xfId="5065"/>
    <cellStyle name="40% - Accent1 2 6 2 2 4" xfId="5695"/>
    <cellStyle name="40% - Accent1 2 6 2 3" xfId="3590"/>
    <cellStyle name="40% - Accent1 2 6 2 4" xfId="4474"/>
    <cellStyle name="40% - Accent1 2 6 2 5" xfId="5227"/>
    <cellStyle name="40% - Accent1 2 6 3" xfId="1781"/>
    <cellStyle name="40% - Accent1 2 6 3 2" xfId="2453"/>
    <cellStyle name="40% - Accent1 2 6 3 2 2" xfId="4345"/>
    <cellStyle name="40% - Accent1 2 6 3 2 3" xfId="5144"/>
    <cellStyle name="40% - Accent1 2 6 3 2 4" xfId="5774"/>
    <cellStyle name="40% - Accent1 2 6 3 3" xfId="3753"/>
    <cellStyle name="40% - Accent1 2 6 3 4" xfId="4604"/>
    <cellStyle name="40% - Accent1 2 6 3 5" xfId="5306"/>
    <cellStyle name="40% - Accent1 2 6 4" xfId="2109"/>
    <cellStyle name="40% - Accent1 2 6 4 2" xfId="4012"/>
    <cellStyle name="40% - Accent1 2 6 4 3" xfId="4822"/>
    <cellStyle name="40% - Accent1 2 6 4 4" xfId="5462"/>
    <cellStyle name="40% - Accent1 2 6 5" xfId="3236"/>
    <cellStyle name="40% - Accent1 2 6 6" xfId="2543"/>
    <cellStyle name="40% - Accent1 2 6 7" xfId="3730"/>
    <cellStyle name="40% - Accent1 2 7" xfId="1173"/>
    <cellStyle name="40% - Accent1 2 7 2" xfId="2155"/>
    <cellStyle name="40% - Accent1 2 7 2 2" xfId="4047"/>
    <cellStyle name="40% - Accent1 2 7 2 3" xfId="4846"/>
    <cellStyle name="40% - Accent1 2 7 2 4" xfId="5476"/>
    <cellStyle name="40% - Accent1 2 7 3" xfId="3282"/>
    <cellStyle name="40% - Accent1 2 7 4" xfId="3650"/>
    <cellStyle name="40% - Accent1 2 7 5" xfId="4528"/>
    <cellStyle name="40% - Accent1 2 8" xfId="1325"/>
    <cellStyle name="40% - Accent1 2 8 2" xfId="2273"/>
    <cellStyle name="40% - Accent1 2 8 2 2" xfId="4165"/>
    <cellStyle name="40% - Accent1 2 8 2 3" xfId="4964"/>
    <cellStyle name="40% - Accent1 2 8 2 4" xfId="5594"/>
    <cellStyle name="40% - Accent1 2 8 3" xfId="3417"/>
    <cellStyle name="40% - Accent1 2 8 4" xfId="2496"/>
    <cellStyle name="40% - Accent1 2 8 5" xfId="2869"/>
    <cellStyle name="40% - Accent1 2 9" xfId="1827"/>
    <cellStyle name="40% - Accent1 2 9 2" xfId="3786"/>
    <cellStyle name="40% - Accent1 2 9 3" xfId="4629"/>
    <cellStyle name="40% - Accent1 2 9 4" xfId="5319"/>
    <cellStyle name="40% - Accent1 3" xfId="192"/>
    <cellStyle name="40% - Accent1 3 10" xfId="2473"/>
    <cellStyle name="40% - Accent1 3 11" xfId="2938"/>
    <cellStyle name="40% - Accent1 3 12" xfId="2731"/>
    <cellStyle name="40% - Accent1 3 2" xfId="371"/>
    <cellStyle name="40% - Accent1 3 2 2" xfId="1247"/>
    <cellStyle name="40% - Accent1 3 2 2 2" xfId="2201"/>
    <cellStyle name="40% - Accent1 3 2 2 2 2" xfId="4093"/>
    <cellStyle name="40% - Accent1 3 2 2 2 3" xfId="4892"/>
    <cellStyle name="40% - Accent1 3 2 2 2 4" xfId="5522"/>
    <cellStyle name="40% - Accent1 3 2 2 3" xfId="3341"/>
    <cellStyle name="40% - Accent1 3 2 2 4" xfId="3769"/>
    <cellStyle name="40% - Accent1 3 2 2 5" xfId="4613"/>
    <cellStyle name="40% - Accent1 3 2 3" xfId="1206"/>
    <cellStyle name="40% - Accent1 3 2 3 2" xfId="2177"/>
    <cellStyle name="40% - Accent1 3 2 3 2 2" xfId="4069"/>
    <cellStyle name="40% - Accent1 3 2 3 2 3" xfId="4868"/>
    <cellStyle name="40% - Accent1 3 2 3 2 4" xfId="5498"/>
    <cellStyle name="40% - Accent1 3 2 3 3" xfId="3308"/>
    <cellStyle name="40% - Accent1 3 2 3 4" xfId="3759"/>
    <cellStyle name="40% - Accent1 3 2 3 5" xfId="4607"/>
    <cellStyle name="40% - Accent1 3 2 4" xfId="1872"/>
    <cellStyle name="40% - Accent1 3 2 4 2" xfId="3821"/>
    <cellStyle name="40% - Accent1 3 2 4 3" xfId="4663"/>
    <cellStyle name="40% - Accent1 3 2 4 4" xfId="5346"/>
    <cellStyle name="40% - Accent1 3 2 5" xfId="2668"/>
    <cellStyle name="40% - Accent1 3 2 6" xfId="2813"/>
    <cellStyle name="40% - Accent1 3 2 7" xfId="2725"/>
    <cellStyle name="40% - Accent1 3 3" xfId="416"/>
    <cellStyle name="40% - Accent1 3 3 2" xfId="1275"/>
    <cellStyle name="40% - Accent1 3 3 2 2" xfId="2229"/>
    <cellStyle name="40% - Accent1 3 3 2 2 2" xfId="4121"/>
    <cellStyle name="40% - Accent1 3 3 2 2 3" xfId="4920"/>
    <cellStyle name="40% - Accent1 3 3 2 2 4" xfId="5550"/>
    <cellStyle name="40% - Accent1 3 3 2 3" xfId="3369"/>
    <cellStyle name="40% - Accent1 3 3 2 4" xfId="2727"/>
    <cellStyle name="40% - Accent1 3 3 2 5" xfId="2589"/>
    <cellStyle name="40% - Accent1 3 3 3" xfId="1308"/>
    <cellStyle name="40% - Accent1 3 3 3 2" xfId="2258"/>
    <cellStyle name="40% - Accent1 3 3 3 2 2" xfId="4150"/>
    <cellStyle name="40% - Accent1 3 3 3 2 3" xfId="4949"/>
    <cellStyle name="40% - Accent1 3 3 3 2 4" xfId="5579"/>
    <cellStyle name="40% - Accent1 3 3 3 3" xfId="3401"/>
    <cellStyle name="40% - Accent1 3 3 3 4" xfId="2512"/>
    <cellStyle name="40% - Accent1 3 3 3 5" xfId="2645"/>
    <cellStyle name="40% - Accent1 3 3 4" xfId="1897"/>
    <cellStyle name="40% - Accent1 3 3 4 2" xfId="3846"/>
    <cellStyle name="40% - Accent1 3 3 4 3" xfId="4688"/>
    <cellStyle name="40% - Accent1 3 3 4 4" xfId="5371"/>
    <cellStyle name="40% - Accent1 3 3 5" xfId="2702"/>
    <cellStyle name="40% - Accent1 3 3 6" xfId="2611"/>
    <cellStyle name="40% - Accent1 3 3 7" xfId="4028"/>
    <cellStyle name="40% - Accent1 3 4" xfId="890"/>
    <cellStyle name="40% - Accent1 3 4 2" xfId="1357"/>
    <cellStyle name="40% - Accent1 3 4 2 2" xfId="2303"/>
    <cellStyle name="40% - Accent1 3 4 2 2 2" xfId="4195"/>
    <cellStyle name="40% - Accent1 3 4 2 2 3" xfId="4994"/>
    <cellStyle name="40% - Accent1 3 4 2 2 4" xfId="5624"/>
    <cellStyle name="40% - Accent1 3 4 2 3" xfId="3447"/>
    <cellStyle name="40% - Accent1 3 4 2 4" xfId="4357"/>
    <cellStyle name="40% - Accent1 3 4 2 5" xfId="5156"/>
    <cellStyle name="40% - Accent1 3 4 3" xfId="1597"/>
    <cellStyle name="40% - Accent1 3 4 3 2" xfId="2390"/>
    <cellStyle name="40% - Accent1 3 4 3 2 2" xfId="4282"/>
    <cellStyle name="40% - Accent1 3 4 3 2 3" xfId="5081"/>
    <cellStyle name="40% - Accent1 3 4 3 2 4" xfId="5711"/>
    <cellStyle name="40% - Accent1 3 4 3 3" xfId="3623"/>
    <cellStyle name="40% - Accent1 3 4 3 4" xfId="4501"/>
    <cellStyle name="40% - Accent1 3 4 3 5" xfId="5243"/>
    <cellStyle name="40% - Accent1 3 4 4" xfId="1925"/>
    <cellStyle name="40% - Accent1 3 4 4 2" xfId="3874"/>
    <cellStyle name="40% - Accent1 3 4 4 3" xfId="4716"/>
    <cellStyle name="40% - Accent1 3 4 4 4" xfId="5399"/>
    <cellStyle name="40% - Accent1 3 4 5" xfId="3018"/>
    <cellStyle name="40% - Accent1 3 4 6" xfId="2770"/>
    <cellStyle name="40% - Accent1 3 4 7" xfId="2575"/>
    <cellStyle name="40% - Accent1 3 5" xfId="1062"/>
    <cellStyle name="40% - Accent1 3 5 2" xfId="1487"/>
    <cellStyle name="40% - Accent1 3 5 2 2" xfId="2365"/>
    <cellStyle name="40% - Accent1 3 5 2 2 2" xfId="4257"/>
    <cellStyle name="40% - Accent1 3 5 2 2 3" xfId="5056"/>
    <cellStyle name="40% - Accent1 3 5 2 2 4" xfId="5686"/>
    <cellStyle name="40% - Accent1 3 5 2 3" xfId="3550"/>
    <cellStyle name="40% - Accent1 3 5 2 4" xfId="4446"/>
    <cellStyle name="40% - Accent1 3 5 2 5" xfId="5218"/>
    <cellStyle name="40% - Accent1 3 5 3" xfId="1720"/>
    <cellStyle name="40% - Accent1 3 5 3 2" xfId="2445"/>
    <cellStyle name="40% - Accent1 3 5 3 2 2" xfId="4337"/>
    <cellStyle name="40% - Accent1 3 5 3 2 3" xfId="5136"/>
    <cellStyle name="40% - Accent1 3 5 3 2 4" xfId="5766"/>
    <cellStyle name="40% - Accent1 3 5 3 3" xfId="3712"/>
    <cellStyle name="40% - Accent1 3 5 3 4" xfId="4576"/>
    <cellStyle name="40% - Accent1 3 5 3 5" xfId="5298"/>
    <cellStyle name="40% - Accent1 3 5 4" xfId="2048"/>
    <cellStyle name="40% - Accent1 3 5 4 2" xfId="3967"/>
    <cellStyle name="40% - Accent1 3 5 4 3" xfId="4795"/>
    <cellStyle name="40% - Accent1 3 5 4 4" xfId="5454"/>
    <cellStyle name="40% - Accent1 3 5 5" xfId="3172"/>
    <cellStyle name="40% - Accent1 3 5 6" xfId="2721"/>
    <cellStyle name="40% - Accent1 3 5 7" xfId="2592"/>
    <cellStyle name="40% - Accent1 3 6" xfId="1106"/>
    <cellStyle name="40% - Accent1 3 6 2" xfId="1529"/>
    <cellStyle name="40% - Accent1 3 6 2 2" xfId="2372"/>
    <cellStyle name="40% - Accent1 3 6 2 2 2" xfId="4264"/>
    <cellStyle name="40% - Accent1 3 6 2 2 3" xfId="5063"/>
    <cellStyle name="40% - Accent1 3 6 2 2 4" xfId="5693"/>
    <cellStyle name="40% - Accent1 3 6 2 3" xfId="3577"/>
    <cellStyle name="40% - Accent1 3 6 2 4" xfId="4465"/>
    <cellStyle name="40% - Accent1 3 6 2 5" xfId="5225"/>
    <cellStyle name="40% - Accent1 3 6 3" xfId="1761"/>
    <cellStyle name="40% - Accent1 3 6 3 2" xfId="2451"/>
    <cellStyle name="40% - Accent1 3 6 3 2 2" xfId="4343"/>
    <cellStyle name="40% - Accent1 3 6 3 2 3" xfId="5142"/>
    <cellStyle name="40% - Accent1 3 6 3 2 4" xfId="5772"/>
    <cellStyle name="40% - Accent1 3 6 3 3" xfId="3739"/>
    <cellStyle name="40% - Accent1 3 6 3 4" xfId="4594"/>
    <cellStyle name="40% - Accent1 3 6 3 5" xfId="5304"/>
    <cellStyle name="40% - Accent1 3 6 4" xfId="2089"/>
    <cellStyle name="40% - Accent1 3 6 4 2" xfId="3997"/>
    <cellStyle name="40% - Accent1 3 6 4 3" xfId="4813"/>
    <cellStyle name="40% - Accent1 3 6 4 4" xfId="5460"/>
    <cellStyle name="40% - Accent1 3 6 5" xfId="3216"/>
    <cellStyle name="40% - Accent1 3 6 6" xfId="3488"/>
    <cellStyle name="40% - Accent1 3 6 7" xfId="4392"/>
    <cellStyle name="40% - Accent1 3 7" xfId="1174"/>
    <cellStyle name="40% - Accent1 3 7 2" xfId="2156"/>
    <cellStyle name="40% - Accent1 3 7 2 2" xfId="4048"/>
    <cellStyle name="40% - Accent1 3 7 2 3" xfId="4847"/>
    <cellStyle name="40% - Accent1 3 7 2 4" xfId="5477"/>
    <cellStyle name="40% - Accent1 3 7 3" xfId="3283"/>
    <cellStyle name="40% - Accent1 3 7 4" xfId="3477"/>
    <cellStyle name="40% - Accent1 3 7 5" xfId="4387"/>
    <cellStyle name="40% - Accent1 3 8" xfId="1324"/>
    <cellStyle name="40% - Accent1 3 8 2" xfId="2272"/>
    <cellStyle name="40% - Accent1 3 8 2 2" xfId="4164"/>
    <cellStyle name="40% - Accent1 3 8 2 3" xfId="4963"/>
    <cellStyle name="40% - Accent1 3 8 2 4" xfId="5593"/>
    <cellStyle name="40% - Accent1 3 8 3" xfId="3416"/>
    <cellStyle name="40% - Accent1 3 8 4" xfId="2497"/>
    <cellStyle name="40% - Accent1 3 8 5" xfId="2864"/>
    <cellStyle name="40% - Accent1 3 9" xfId="1828"/>
    <cellStyle name="40% - Accent1 3 9 2" xfId="3787"/>
    <cellStyle name="40% - Accent1 3 9 3" xfId="4630"/>
    <cellStyle name="40% - Accent1 3 9 4" xfId="5320"/>
    <cellStyle name="40% - Accent1 4" xfId="418"/>
    <cellStyle name="40% - Accent1 5" xfId="6036"/>
    <cellStyle name="40% - Accent1 6" xfId="6460"/>
    <cellStyle name="40% - Accent1 7" xfId="6609"/>
    <cellStyle name="40% - Accent1 8" xfId="6739"/>
    <cellStyle name="40% - Accent1 9" xfId="5907"/>
    <cellStyle name="40% - Accent2 10" xfId="6237"/>
    <cellStyle name="40% - Accent2 11" xfId="6856"/>
    <cellStyle name="40% - Accent2 12" xfId="6917"/>
    <cellStyle name="40% - Accent2 13" xfId="6772"/>
    <cellStyle name="40% - Accent2 2" xfId="193"/>
    <cellStyle name="40% - Accent2 2 10" xfId="2475"/>
    <cellStyle name="40% - Accent2 2 11" xfId="2928"/>
    <cellStyle name="40% - Accent2 2 12" xfId="3710"/>
    <cellStyle name="40% - Accent2 2 13" xfId="404"/>
    <cellStyle name="40% - Accent2 2 14" xfId="6019"/>
    <cellStyle name="40% - Accent2 2 15" xfId="6764"/>
    <cellStyle name="40% - Accent2 2 16" xfId="6851"/>
    <cellStyle name="40% - Accent2 2 17" xfId="6846"/>
    <cellStyle name="40% - Accent2 2 18" xfId="6035"/>
    <cellStyle name="40% - Accent2 2 19" xfId="6583"/>
    <cellStyle name="40% - Accent2 2 2" xfId="194"/>
    <cellStyle name="40% - Accent2 2 2 2" xfId="1248"/>
    <cellStyle name="40% - Accent2 2 2 2 2" xfId="2202"/>
    <cellStyle name="40% - Accent2 2 2 2 2 2" xfId="4094"/>
    <cellStyle name="40% - Accent2 2 2 2 2 3" xfId="4893"/>
    <cellStyle name="40% - Accent2 2 2 2 2 4" xfId="5523"/>
    <cellStyle name="40% - Accent2 2 2 2 3" xfId="3342"/>
    <cellStyle name="40% - Accent2 2 2 2 4" xfId="3604"/>
    <cellStyle name="40% - Accent2 2 2 2 5" xfId="4482"/>
    <cellStyle name="40% - Accent2 2 2 3" xfId="1205"/>
    <cellStyle name="40% - Accent2 2 2 3 2" xfId="2176"/>
    <cellStyle name="40% - Accent2 2 2 3 2 2" xfId="4068"/>
    <cellStyle name="40% - Accent2 2 2 3 2 3" xfId="4867"/>
    <cellStyle name="40% - Accent2 2 2 3 2 4" xfId="5497"/>
    <cellStyle name="40% - Accent2 2 2 3 3" xfId="3307"/>
    <cellStyle name="40% - Accent2 2 2 3 4" xfId="4019"/>
    <cellStyle name="40% - Accent2 2 2 3 5" xfId="4824"/>
    <cellStyle name="40% - Accent2 2 2 4" xfId="1873"/>
    <cellStyle name="40% - Accent2 2 2 4 2" xfId="3822"/>
    <cellStyle name="40% - Accent2 2 2 4 3" xfId="4664"/>
    <cellStyle name="40% - Accent2 2 2 4 4" xfId="5347"/>
    <cellStyle name="40% - Accent2 2 2 5" xfId="2669"/>
    <cellStyle name="40% - Accent2 2 2 6" xfId="2806"/>
    <cellStyle name="40% - Accent2 2 2 7" xfId="3674"/>
    <cellStyle name="40% - Accent2 2 20" xfId="6185"/>
    <cellStyle name="40% - Accent2 2 21" xfId="6578"/>
    <cellStyle name="40% - Accent2 2 22" xfId="6733"/>
    <cellStyle name="40% - Accent2 2 3" xfId="415"/>
    <cellStyle name="40% - Accent2 2 3 2" xfId="1274"/>
    <cellStyle name="40% - Accent2 2 3 2 2" xfId="2228"/>
    <cellStyle name="40% - Accent2 2 3 2 2 2" xfId="4120"/>
    <cellStyle name="40% - Accent2 2 3 2 2 3" xfId="4919"/>
    <cellStyle name="40% - Accent2 2 3 2 2 4" xfId="5549"/>
    <cellStyle name="40% - Accent2 2 3 2 3" xfId="3368"/>
    <cellStyle name="40% - Accent2 2 3 2 4" xfId="3486"/>
    <cellStyle name="40% - Accent2 2 3 2 5" xfId="4391"/>
    <cellStyle name="40% - Accent2 2 3 3" xfId="1309"/>
    <cellStyle name="40% - Accent2 2 3 3 2" xfId="2259"/>
    <cellStyle name="40% - Accent2 2 3 3 2 2" xfId="4151"/>
    <cellStyle name="40% - Accent2 2 3 3 2 3" xfId="4950"/>
    <cellStyle name="40% - Accent2 2 3 3 2 4" xfId="5580"/>
    <cellStyle name="40% - Accent2 2 3 3 3" xfId="3402"/>
    <cellStyle name="40% - Accent2 2 3 3 4" xfId="2511"/>
    <cellStyle name="40% - Accent2 2 3 3 5" xfId="2646"/>
    <cellStyle name="40% - Accent2 2 3 4" xfId="1896"/>
    <cellStyle name="40% - Accent2 2 3 4 2" xfId="3845"/>
    <cellStyle name="40% - Accent2 2 3 4 3" xfId="4687"/>
    <cellStyle name="40% - Accent2 2 3 4 4" xfId="5370"/>
    <cellStyle name="40% - Accent2 2 3 5" xfId="2701"/>
    <cellStyle name="40% - Accent2 2 3 6" xfId="2612"/>
    <cellStyle name="40% - Accent2 2 3 7" xfId="3767"/>
    <cellStyle name="40% - Accent2 2 4" xfId="891"/>
    <cellStyle name="40% - Accent2 2 4 2" xfId="1358"/>
    <cellStyle name="40% - Accent2 2 4 2 2" xfId="2304"/>
    <cellStyle name="40% - Accent2 2 4 2 2 2" xfId="4196"/>
    <cellStyle name="40% - Accent2 2 4 2 2 3" xfId="4995"/>
    <cellStyle name="40% - Accent2 2 4 2 2 4" xfId="5625"/>
    <cellStyle name="40% - Accent2 2 4 2 3" xfId="3448"/>
    <cellStyle name="40% - Accent2 2 4 2 4" xfId="4358"/>
    <cellStyle name="40% - Accent2 2 4 2 5" xfId="5157"/>
    <cellStyle name="40% - Accent2 2 4 3" xfId="1598"/>
    <cellStyle name="40% - Accent2 2 4 3 2" xfId="2391"/>
    <cellStyle name="40% - Accent2 2 4 3 2 2" xfId="4283"/>
    <cellStyle name="40% - Accent2 2 4 3 2 3" xfId="5082"/>
    <cellStyle name="40% - Accent2 2 4 3 2 4" xfId="5712"/>
    <cellStyle name="40% - Accent2 2 4 3 3" xfId="3624"/>
    <cellStyle name="40% - Accent2 2 4 3 4" xfId="4502"/>
    <cellStyle name="40% - Accent2 2 4 3 5" xfId="5244"/>
    <cellStyle name="40% - Accent2 2 4 4" xfId="1926"/>
    <cellStyle name="40% - Accent2 2 4 4 2" xfId="3875"/>
    <cellStyle name="40% - Accent2 2 4 4 3" xfId="4717"/>
    <cellStyle name="40% - Accent2 2 4 4 4" xfId="5400"/>
    <cellStyle name="40% - Accent2 2 4 5" xfId="3019"/>
    <cellStyle name="40% - Accent2 2 4 6" xfId="2765"/>
    <cellStyle name="40% - Accent2 2 4 7" xfId="2577"/>
    <cellStyle name="40% - Accent2 2 5" xfId="1027"/>
    <cellStyle name="40% - Accent2 2 5 2" xfId="1453"/>
    <cellStyle name="40% - Accent2 2 5 2 2" xfId="2350"/>
    <cellStyle name="40% - Accent2 2 5 2 2 2" xfId="4242"/>
    <cellStyle name="40% - Accent2 2 5 2 2 3" xfId="5041"/>
    <cellStyle name="40% - Accent2 2 5 2 2 4" xfId="5671"/>
    <cellStyle name="40% - Accent2 2 5 2 3" xfId="3525"/>
    <cellStyle name="40% - Accent2 2 5 2 4" xfId="4423"/>
    <cellStyle name="40% - Accent2 2 5 2 5" xfId="5203"/>
    <cellStyle name="40% - Accent2 2 5 3" xfId="1689"/>
    <cellStyle name="40% - Accent2 2 5 3 2" xfId="2433"/>
    <cellStyle name="40% - Accent2 2 5 3 2 2" xfId="4325"/>
    <cellStyle name="40% - Accent2 2 5 3 2 3" xfId="5124"/>
    <cellStyle name="40% - Accent2 2 5 3 2 4" xfId="5754"/>
    <cellStyle name="40% - Accent2 2 5 3 3" xfId="3690"/>
    <cellStyle name="40% - Accent2 2 5 3 4" xfId="4559"/>
    <cellStyle name="40% - Accent2 2 5 3 5" xfId="5286"/>
    <cellStyle name="40% - Accent2 2 5 4" xfId="2017"/>
    <cellStyle name="40% - Accent2 2 5 4 2" xfId="3946"/>
    <cellStyle name="40% - Accent2 2 5 4 3" xfId="4777"/>
    <cellStyle name="40% - Accent2 2 5 4 4" xfId="5442"/>
    <cellStyle name="40% - Accent2 2 5 5" xfId="3138"/>
    <cellStyle name="40% - Accent2 2 5 6" xfId="3552"/>
    <cellStyle name="40% - Accent2 2 5 7" xfId="4448"/>
    <cellStyle name="40% - Accent2 2 6" xfId="908"/>
    <cellStyle name="40% - Accent2 2 6 2" xfId="1372"/>
    <cellStyle name="40% - Accent2 2 6 2 2" xfId="2318"/>
    <cellStyle name="40% - Accent2 2 6 2 2 2" xfId="4210"/>
    <cellStyle name="40% - Accent2 2 6 2 2 3" xfId="5009"/>
    <cellStyle name="40% - Accent2 2 6 2 2 4" xfId="5639"/>
    <cellStyle name="40% - Accent2 2 6 2 3" xfId="3462"/>
    <cellStyle name="40% - Accent2 2 6 2 4" xfId="4372"/>
    <cellStyle name="40% - Accent2 2 6 2 5" xfId="5171"/>
    <cellStyle name="40% - Accent2 2 6 3" xfId="1611"/>
    <cellStyle name="40% - Accent2 2 6 3 2" xfId="2404"/>
    <cellStyle name="40% - Accent2 2 6 3 2 2" xfId="4296"/>
    <cellStyle name="40% - Accent2 2 6 3 2 3" xfId="5095"/>
    <cellStyle name="40% - Accent2 2 6 3 2 4" xfId="5725"/>
    <cellStyle name="40% - Accent2 2 6 3 3" xfId="3637"/>
    <cellStyle name="40% - Accent2 2 6 3 4" xfId="4515"/>
    <cellStyle name="40% - Accent2 2 6 3 5" xfId="5257"/>
    <cellStyle name="40% - Accent2 2 6 4" xfId="1939"/>
    <cellStyle name="40% - Accent2 2 6 4 2" xfId="3888"/>
    <cellStyle name="40% - Accent2 2 6 4 3" xfId="4730"/>
    <cellStyle name="40% - Accent2 2 6 4 4" xfId="5413"/>
    <cellStyle name="40% - Accent2 2 6 5" xfId="3035"/>
    <cellStyle name="40% - Accent2 2 6 6" xfId="3742"/>
    <cellStyle name="40% - Accent2 2 6 7" xfId="4597"/>
    <cellStyle name="40% - Accent2 2 7" xfId="1175"/>
    <cellStyle name="40% - Accent2 2 7 2" xfId="2157"/>
    <cellStyle name="40% - Accent2 2 7 2 2" xfId="4049"/>
    <cellStyle name="40% - Accent2 2 7 2 3" xfId="4848"/>
    <cellStyle name="40% - Accent2 2 7 2 4" xfId="5478"/>
    <cellStyle name="40% - Accent2 2 7 3" xfId="3284"/>
    <cellStyle name="40% - Accent2 2 7 4" xfId="2972"/>
    <cellStyle name="40% - Accent2 2 7 5" xfId="2911"/>
    <cellStyle name="40% - Accent2 2 8" xfId="1323"/>
    <cellStyle name="40% - Accent2 2 8 2" xfId="2271"/>
    <cellStyle name="40% - Accent2 2 8 2 2" xfId="4163"/>
    <cellStyle name="40% - Accent2 2 8 2 3" xfId="4962"/>
    <cellStyle name="40% - Accent2 2 8 2 4" xfId="5592"/>
    <cellStyle name="40% - Accent2 2 8 3" xfId="3415"/>
    <cellStyle name="40% - Accent2 2 8 4" xfId="2498"/>
    <cellStyle name="40% - Accent2 2 8 5" xfId="2856"/>
    <cellStyle name="40% - Accent2 2 9" xfId="1829"/>
    <cellStyle name="40% - Accent2 2 9 2" xfId="3788"/>
    <cellStyle name="40% - Accent2 2 9 3" xfId="4631"/>
    <cellStyle name="40% - Accent2 2 9 4" xfId="5321"/>
    <cellStyle name="40% - Accent2 3" xfId="195"/>
    <cellStyle name="40% - Accent2 3 10" xfId="2476"/>
    <cellStyle name="40% - Accent2 3 11" xfId="2923"/>
    <cellStyle name="40% - Accent2 3 12" xfId="4022"/>
    <cellStyle name="40% - Accent2 3 2" xfId="373"/>
    <cellStyle name="40% - Accent2 3 2 2" xfId="1249"/>
    <cellStyle name="40% - Accent2 3 2 2 2" xfId="2203"/>
    <cellStyle name="40% - Accent2 3 2 2 2 2" xfId="4095"/>
    <cellStyle name="40% - Accent2 3 2 2 2 3" xfId="4894"/>
    <cellStyle name="40% - Accent2 3 2 2 2 4" xfId="5524"/>
    <cellStyle name="40% - Accent2 3 2 2 3" xfId="3343"/>
    <cellStyle name="40% - Accent2 3 2 2 4" xfId="4005"/>
    <cellStyle name="40% - Accent2 3 2 2 5" xfId="4817"/>
    <cellStyle name="40% - Accent2 3 2 3" xfId="1204"/>
    <cellStyle name="40% - Accent2 3 2 3 2" xfId="2175"/>
    <cellStyle name="40% - Accent2 3 2 3 2 2" xfId="4067"/>
    <cellStyle name="40% - Accent2 3 2 3 2 3" xfId="4866"/>
    <cellStyle name="40% - Accent2 3 2 3 2 4" xfId="5496"/>
    <cellStyle name="40% - Accent2 3 2 3 3" xfId="3306"/>
    <cellStyle name="40% - Accent2 3 2 3 4" xfId="2980"/>
    <cellStyle name="40% - Accent2 3 2 3 5" xfId="2987"/>
    <cellStyle name="40% - Accent2 3 2 4" xfId="1874"/>
    <cellStyle name="40% - Accent2 3 2 4 2" xfId="3823"/>
    <cellStyle name="40% - Accent2 3 2 4 3" xfId="4665"/>
    <cellStyle name="40% - Accent2 3 2 4 4" xfId="5348"/>
    <cellStyle name="40% - Accent2 3 2 5" xfId="2670"/>
    <cellStyle name="40% - Accent2 3 2 6" xfId="2800"/>
    <cellStyle name="40% - Accent2 3 2 7" xfId="2904"/>
    <cellStyle name="40% - Accent2 3 3" xfId="414"/>
    <cellStyle name="40% - Accent2 3 3 2" xfId="1273"/>
    <cellStyle name="40% - Accent2 3 3 2 2" xfId="2227"/>
    <cellStyle name="40% - Accent2 3 3 2 2 2" xfId="4119"/>
    <cellStyle name="40% - Accent2 3 3 2 2 3" xfId="4918"/>
    <cellStyle name="40% - Accent2 3 3 2 2 4" xfId="5548"/>
    <cellStyle name="40% - Accent2 3 3 2 3" xfId="3367"/>
    <cellStyle name="40% - Accent2 3 3 2 4" xfId="3657"/>
    <cellStyle name="40% - Accent2 3 3 2 5" xfId="4532"/>
    <cellStyle name="40% - Accent2 3 3 3" xfId="1310"/>
    <cellStyle name="40% - Accent2 3 3 3 2" xfId="2260"/>
    <cellStyle name="40% - Accent2 3 3 3 2 2" xfId="4152"/>
    <cellStyle name="40% - Accent2 3 3 3 2 3" xfId="4951"/>
    <cellStyle name="40% - Accent2 3 3 3 2 4" xfId="5581"/>
    <cellStyle name="40% - Accent2 3 3 3 3" xfId="3403"/>
    <cellStyle name="40% - Accent2 3 3 3 4" xfId="2510"/>
    <cellStyle name="40% - Accent2 3 3 3 5" xfId="2647"/>
    <cellStyle name="40% - Accent2 3 3 4" xfId="1895"/>
    <cellStyle name="40% - Accent2 3 3 4 2" xfId="3844"/>
    <cellStyle name="40% - Accent2 3 3 4 3" xfId="4686"/>
    <cellStyle name="40% - Accent2 3 3 4 4" xfId="5369"/>
    <cellStyle name="40% - Accent2 3 3 5" xfId="2700"/>
    <cellStyle name="40% - Accent2 3 3 6" xfId="2613"/>
    <cellStyle name="40% - Accent2 3 3 7" xfId="3602"/>
    <cellStyle name="40% - Accent2 3 4" xfId="892"/>
    <cellStyle name="40% - Accent2 3 4 2" xfId="1359"/>
    <cellStyle name="40% - Accent2 3 4 2 2" xfId="2305"/>
    <cellStyle name="40% - Accent2 3 4 2 2 2" xfId="4197"/>
    <cellStyle name="40% - Accent2 3 4 2 2 3" xfId="4996"/>
    <cellStyle name="40% - Accent2 3 4 2 2 4" xfId="5626"/>
    <cellStyle name="40% - Accent2 3 4 2 3" xfId="3449"/>
    <cellStyle name="40% - Accent2 3 4 2 4" xfId="4359"/>
    <cellStyle name="40% - Accent2 3 4 2 5" xfId="5158"/>
    <cellStyle name="40% - Accent2 3 4 3" xfId="1599"/>
    <cellStyle name="40% - Accent2 3 4 3 2" xfId="2392"/>
    <cellStyle name="40% - Accent2 3 4 3 2 2" xfId="4284"/>
    <cellStyle name="40% - Accent2 3 4 3 2 3" xfId="5083"/>
    <cellStyle name="40% - Accent2 3 4 3 2 4" xfId="5713"/>
    <cellStyle name="40% - Accent2 3 4 3 3" xfId="3625"/>
    <cellStyle name="40% - Accent2 3 4 3 4" xfId="4503"/>
    <cellStyle name="40% - Accent2 3 4 3 5" xfId="5245"/>
    <cellStyle name="40% - Accent2 3 4 4" xfId="1927"/>
    <cellStyle name="40% - Accent2 3 4 4 2" xfId="3876"/>
    <cellStyle name="40% - Accent2 3 4 4 3" xfId="4718"/>
    <cellStyle name="40% - Accent2 3 4 4 4" xfId="5401"/>
    <cellStyle name="40% - Accent2 3 4 5" xfId="3020"/>
    <cellStyle name="40% - Accent2 3 4 6" xfId="2757"/>
    <cellStyle name="40% - Accent2 3 4 7" xfId="2581"/>
    <cellStyle name="40% - Accent2 3 5" xfId="1024"/>
    <cellStyle name="40% - Accent2 3 5 2" xfId="1450"/>
    <cellStyle name="40% - Accent2 3 5 2 2" xfId="2348"/>
    <cellStyle name="40% - Accent2 3 5 2 2 2" xfId="4240"/>
    <cellStyle name="40% - Accent2 3 5 2 2 3" xfId="5039"/>
    <cellStyle name="40% - Accent2 3 5 2 2 4" xfId="5669"/>
    <cellStyle name="40% - Accent2 3 5 2 3" xfId="3522"/>
    <cellStyle name="40% - Accent2 3 5 2 4" xfId="4420"/>
    <cellStyle name="40% - Accent2 3 5 2 5" xfId="5201"/>
    <cellStyle name="40% - Accent2 3 5 3" xfId="1686"/>
    <cellStyle name="40% - Accent2 3 5 3 2" xfId="2431"/>
    <cellStyle name="40% - Accent2 3 5 3 2 2" xfId="4323"/>
    <cellStyle name="40% - Accent2 3 5 3 2 3" xfId="5122"/>
    <cellStyle name="40% - Accent2 3 5 3 2 4" xfId="5752"/>
    <cellStyle name="40% - Accent2 3 5 3 3" xfId="3687"/>
    <cellStyle name="40% - Accent2 3 5 3 4" xfId="4556"/>
    <cellStyle name="40% - Accent2 3 5 3 5" xfId="5284"/>
    <cellStyle name="40% - Accent2 3 5 4" xfId="2014"/>
    <cellStyle name="40% - Accent2 3 5 4 2" xfId="3943"/>
    <cellStyle name="40% - Accent2 3 5 4 3" xfId="4774"/>
    <cellStyle name="40% - Accent2 3 5 4 4" xfId="5440"/>
    <cellStyle name="40% - Accent2 3 5 5" xfId="3135"/>
    <cellStyle name="40% - Accent2 3 5 6" xfId="3579"/>
    <cellStyle name="40% - Accent2 3 5 7" xfId="4467"/>
    <cellStyle name="40% - Accent2 3 6" xfId="909"/>
    <cellStyle name="40% - Accent2 3 6 2" xfId="1373"/>
    <cellStyle name="40% - Accent2 3 6 2 2" xfId="2319"/>
    <cellStyle name="40% - Accent2 3 6 2 2 2" xfId="4211"/>
    <cellStyle name="40% - Accent2 3 6 2 2 3" xfId="5010"/>
    <cellStyle name="40% - Accent2 3 6 2 2 4" xfId="5640"/>
    <cellStyle name="40% - Accent2 3 6 2 3" xfId="3463"/>
    <cellStyle name="40% - Accent2 3 6 2 4" xfId="4373"/>
    <cellStyle name="40% - Accent2 3 6 2 5" xfId="5172"/>
    <cellStyle name="40% - Accent2 3 6 3" xfId="1612"/>
    <cellStyle name="40% - Accent2 3 6 3 2" xfId="2405"/>
    <cellStyle name="40% - Accent2 3 6 3 2 2" xfId="4297"/>
    <cellStyle name="40% - Accent2 3 6 3 2 3" xfId="5096"/>
    <cellStyle name="40% - Accent2 3 6 3 2 4" xfId="5726"/>
    <cellStyle name="40% - Accent2 3 6 3 3" xfId="3638"/>
    <cellStyle name="40% - Accent2 3 6 3 4" xfId="4516"/>
    <cellStyle name="40% - Accent2 3 6 3 5" xfId="5258"/>
    <cellStyle name="40% - Accent2 3 6 4" xfId="1940"/>
    <cellStyle name="40% - Accent2 3 6 4 2" xfId="3889"/>
    <cellStyle name="40% - Accent2 3 6 4 3" xfId="4731"/>
    <cellStyle name="40% - Accent2 3 6 4 4" xfId="5414"/>
    <cellStyle name="40% - Accent2 3 6 5" xfId="3036"/>
    <cellStyle name="40% - Accent2 3 6 6" xfId="3580"/>
    <cellStyle name="40% - Accent2 3 6 7" xfId="4468"/>
    <cellStyle name="40% - Accent2 3 7" xfId="1176"/>
    <cellStyle name="40% - Accent2 3 7 2" xfId="2158"/>
    <cellStyle name="40% - Accent2 3 7 2 2" xfId="4050"/>
    <cellStyle name="40% - Accent2 3 7 2 3" xfId="4849"/>
    <cellStyle name="40% - Accent2 3 7 2 4" xfId="5479"/>
    <cellStyle name="40% - Accent2 3 7 3" xfId="3285"/>
    <cellStyle name="40% - Accent2 3 7 4" xfId="2984"/>
    <cellStyle name="40% - Accent2 3 7 5" xfId="2853"/>
    <cellStyle name="40% - Accent2 3 8" xfId="1321"/>
    <cellStyle name="40% - Accent2 3 8 2" xfId="2270"/>
    <cellStyle name="40% - Accent2 3 8 2 2" xfId="4162"/>
    <cellStyle name="40% - Accent2 3 8 2 3" xfId="4961"/>
    <cellStyle name="40% - Accent2 3 8 2 4" xfId="5591"/>
    <cellStyle name="40% - Accent2 3 8 3" xfId="3413"/>
    <cellStyle name="40% - Accent2 3 8 4" xfId="2500"/>
    <cellStyle name="40% - Accent2 3 8 5" xfId="2649"/>
    <cellStyle name="40% - Accent2 3 9" xfId="1830"/>
    <cellStyle name="40% - Accent2 3 9 2" xfId="3789"/>
    <cellStyle name="40% - Accent2 3 9 3" xfId="4632"/>
    <cellStyle name="40% - Accent2 3 9 4" xfId="5322"/>
    <cellStyle name="40% - Accent2 4" xfId="405"/>
    <cellStyle name="40% - Accent2 5" xfId="6023"/>
    <cellStyle name="40% - Accent2 6" xfId="6852"/>
    <cellStyle name="40% - Accent2 7" xfId="6520"/>
    <cellStyle name="40% - Accent2 8" xfId="6399"/>
    <cellStyle name="40% - Accent2 9" xfId="6122"/>
    <cellStyle name="40% - Accent3 10" xfId="6832"/>
    <cellStyle name="40% - Accent3 11" xfId="6391"/>
    <cellStyle name="40% - Accent3 12" xfId="6487"/>
    <cellStyle name="40% - Accent3 13" xfId="6989"/>
    <cellStyle name="40% - Accent3 2" xfId="196"/>
    <cellStyle name="40% - Accent3 2 10" xfId="2478"/>
    <cellStyle name="40% - Accent3 2 11" xfId="2914"/>
    <cellStyle name="40% - Accent3 2 12" xfId="3023"/>
    <cellStyle name="40% - Accent3 2 13" xfId="307"/>
    <cellStyle name="40% - Accent3 2 14" xfId="6013"/>
    <cellStyle name="40% - Accent3 2 15" xfId="6316"/>
    <cellStyle name="40% - Accent3 2 16" xfId="6603"/>
    <cellStyle name="40% - Accent3 2 17" xfId="6591"/>
    <cellStyle name="40% - Accent3 2 18" xfId="6604"/>
    <cellStyle name="40% - Accent3 2 19" xfId="6565"/>
    <cellStyle name="40% - Accent3 2 2" xfId="197"/>
    <cellStyle name="40% - Accent3 2 2 2" xfId="1250"/>
    <cellStyle name="40% - Accent3 2 2 2 2" xfId="2204"/>
    <cellStyle name="40% - Accent3 2 2 2 2 2" xfId="4096"/>
    <cellStyle name="40% - Accent3 2 2 2 2 3" xfId="4895"/>
    <cellStyle name="40% - Accent3 2 2 2 2 4" xfId="5525"/>
    <cellStyle name="40% - Accent3 2 2 2 3" xfId="3344"/>
    <cellStyle name="40% - Accent3 2 2 2 4" xfId="3747"/>
    <cellStyle name="40% - Accent3 2 2 2 5" xfId="4599"/>
    <cellStyle name="40% - Accent3 2 2 3" xfId="1203"/>
    <cellStyle name="40% - Accent3 2 2 3 2" xfId="2174"/>
    <cellStyle name="40% - Accent3 2 2 3 2 2" xfId="4066"/>
    <cellStyle name="40% - Accent3 2 2 3 2 3" xfId="4865"/>
    <cellStyle name="40% - Accent3 2 2 3 2 4" xfId="5495"/>
    <cellStyle name="40% - Accent3 2 2 3 3" xfId="3305"/>
    <cellStyle name="40% - Accent3 2 2 3 4" xfId="3558"/>
    <cellStyle name="40% - Accent3 2 2 3 5" xfId="4452"/>
    <cellStyle name="40% - Accent3 2 2 4" xfId="1875"/>
    <cellStyle name="40% - Accent3 2 2 4 2" xfId="3824"/>
    <cellStyle name="40% - Accent3 2 2 4 3" xfId="4666"/>
    <cellStyle name="40% - Accent3 2 2 4 4" xfId="5349"/>
    <cellStyle name="40% - Accent3 2 2 5" xfId="2671"/>
    <cellStyle name="40% - Accent3 2 2 6" xfId="2793"/>
    <cellStyle name="40% - Accent3 2 2 7" xfId="3567"/>
    <cellStyle name="40% - Accent3 2 20" xfId="6105"/>
    <cellStyle name="40% - Accent3 2 21" xfId="6625"/>
    <cellStyle name="40% - Accent3 2 22" xfId="6599"/>
    <cellStyle name="40% - Accent3 2 3" xfId="413"/>
    <cellStyle name="40% - Accent3 2 3 2" xfId="1272"/>
    <cellStyle name="40% - Accent3 2 3 2 2" xfId="2226"/>
    <cellStyle name="40% - Accent3 2 3 2 2 2" xfId="4118"/>
    <cellStyle name="40% - Accent3 2 3 2 2 3" xfId="4917"/>
    <cellStyle name="40% - Accent3 2 3 2 2 4" xfId="5547"/>
    <cellStyle name="40% - Accent3 2 3 2 3" xfId="3366"/>
    <cellStyle name="40% - Accent3 2 3 2 4" xfId="3909"/>
    <cellStyle name="40% - Accent3 2 3 2 5" xfId="4748"/>
    <cellStyle name="40% - Accent3 2 3 3" xfId="1291"/>
    <cellStyle name="40% - Accent3 2 3 3 2" xfId="2245"/>
    <cellStyle name="40% - Accent3 2 3 3 2 2" xfId="4137"/>
    <cellStyle name="40% - Accent3 2 3 3 2 3" xfId="4936"/>
    <cellStyle name="40% - Accent3 2 3 3 2 4" xfId="5566"/>
    <cellStyle name="40% - Accent3 2 3 3 3" xfId="3385"/>
    <cellStyle name="40% - Accent3 2 3 3 4" xfId="2527"/>
    <cellStyle name="40% - Accent3 2 3 3 5" xfId="2966"/>
    <cellStyle name="40% - Accent3 2 3 4" xfId="1894"/>
    <cellStyle name="40% - Accent3 2 3 4 2" xfId="3843"/>
    <cellStyle name="40% - Accent3 2 3 4 3" xfId="4685"/>
    <cellStyle name="40% - Accent3 2 3 4 4" xfId="5368"/>
    <cellStyle name="40% - Accent3 2 3 5" xfId="2699"/>
    <cellStyle name="40% - Accent3 2 3 6" xfId="2614"/>
    <cellStyle name="40% - Accent3 2 3 7" xfId="4002"/>
    <cellStyle name="40% - Accent3 2 4" xfId="893"/>
    <cellStyle name="40% - Accent3 2 4 2" xfId="1360"/>
    <cellStyle name="40% - Accent3 2 4 2 2" xfId="2306"/>
    <cellStyle name="40% - Accent3 2 4 2 2 2" xfId="4198"/>
    <cellStyle name="40% - Accent3 2 4 2 2 3" xfId="4997"/>
    <cellStyle name="40% - Accent3 2 4 2 2 4" xfId="5627"/>
    <cellStyle name="40% - Accent3 2 4 2 3" xfId="3450"/>
    <cellStyle name="40% - Accent3 2 4 2 4" xfId="4360"/>
    <cellStyle name="40% - Accent3 2 4 2 5" xfId="5159"/>
    <cellStyle name="40% - Accent3 2 4 3" xfId="1600"/>
    <cellStyle name="40% - Accent3 2 4 3 2" xfId="2393"/>
    <cellStyle name="40% - Accent3 2 4 3 2 2" xfId="4285"/>
    <cellStyle name="40% - Accent3 2 4 3 2 3" xfId="5084"/>
    <cellStyle name="40% - Accent3 2 4 3 2 4" xfId="5714"/>
    <cellStyle name="40% - Accent3 2 4 3 3" xfId="3626"/>
    <cellStyle name="40% - Accent3 2 4 3 4" xfId="4504"/>
    <cellStyle name="40% - Accent3 2 4 3 5" xfId="5246"/>
    <cellStyle name="40% - Accent3 2 4 4" xfId="1928"/>
    <cellStyle name="40% - Accent3 2 4 4 2" xfId="3877"/>
    <cellStyle name="40% - Accent3 2 4 4 3" xfId="4719"/>
    <cellStyle name="40% - Accent3 2 4 4 4" xfId="5402"/>
    <cellStyle name="40% - Accent3 2 4 5" xfId="3021"/>
    <cellStyle name="40% - Accent3 2 4 6" xfId="2752"/>
    <cellStyle name="40% - Accent3 2 4 7" xfId="3656"/>
    <cellStyle name="40% - Accent3 2 5" xfId="1020"/>
    <cellStyle name="40% - Accent3 2 5 2" xfId="1447"/>
    <cellStyle name="40% - Accent3 2 5 2 2" xfId="2346"/>
    <cellStyle name="40% - Accent3 2 5 2 2 2" xfId="4238"/>
    <cellStyle name="40% - Accent3 2 5 2 2 3" xfId="5037"/>
    <cellStyle name="40% - Accent3 2 5 2 2 4" xfId="5667"/>
    <cellStyle name="40% - Accent3 2 5 2 3" xfId="3520"/>
    <cellStyle name="40% - Accent3 2 5 2 4" xfId="4418"/>
    <cellStyle name="40% - Accent3 2 5 2 5" xfId="5199"/>
    <cellStyle name="40% - Accent3 2 5 3" xfId="1683"/>
    <cellStyle name="40% - Accent3 2 5 3 2" xfId="2429"/>
    <cellStyle name="40% - Accent3 2 5 3 2 2" xfId="4321"/>
    <cellStyle name="40% - Accent3 2 5 3 2 3" xfId="5120"/>
    <cellStyle name="40% - Accent3 2 5 3 2 4" xfId="5750"/>
    <cellStyle name="40% - Accent3 2 5 3 3" xfId="3685"/>
    <cellStyle name="40% - Accent3 2 5 3 4" xfId="4554"/>
    <cellStyle name="40% - Accent3 2 5 3 5" xfId="5282"/>
    <cellStyle name="40% - Accent3 2 5 4" xfId="2011"/>
    <cellStyle name="40% - Accent3 2 5 4 2" xfId="3941"/>
    <cellStyle name="40% - Accent3 2 5 4 3" xfId="4772"/>
    <cellStyle name="40% - Accent3 2 5 4 4" xfId="5438"/>
    <cellStyle name="40% - Accent3 2 5 5" xfId="3131"/>
    <cellStyle name="40% - Accent3 2 5 6" xfId="3765"/>
    <cellStyle name="40% - Accent3 2 5 7" xfId="4611"/>
    <cellStyle name="40% - Accent3 2 6" xfId="996"/>
    <cellStyle name="40% - Accent3 2 6 2" xfId="1427"/>
    <cellStyle name="40% - Accent3 2 6 2 2" xfId="2336"/>
    <cellStyle name="40% - Accent3 2 6 2 2 2" xfId="4228"/>
    <cellStyle name="40% - Accent3 2 6 2 2 3" xfId="5027"/>
    <cellStyle name="40% - Accent3 2 6 2 2 4" xfId="5657"/>
    <cellStyle name="40% - Accent3 2 6 2 3" xfId="3506"/>
    <cellStyle name="40% - Accent3 2 6 2 4" xfId="4406"/>
    <cellStyle name="40% - Accent3 2 6 2 5" xfId="5189"/>
    <cellStyle name="40% - Accent3 2 6 3" xfId="1664"/>
    <cellStyle name="40% - Accent3 2 6 3 2" xfId="2420"/>
    <cellStyle name="40% - Accent3 2 6 3 2 2" xfId="4312"/>
    <cellStyle name="40% - Accent3 2 6 3 2 3" xfId="5111"/>
    <cellStyle name="40% - Accent3 2 6 3 2 4" xfId="5741"/>
    <cellStyle name="40% - Accent3 2 6 3 3" xfId="3672"/>
    <cellStyle name="40% - Accent3 2 6 3 4" xfId="4543"/>
    <cellStyle name="40% - Accent3 2 6 3 5" xfId="5273"/>
    <cellStyle name="40% - Accent3 2 6 4" xfId="1992"/>
    <cellStyle name="40% - Accent3 2 6 4 2" xfId="3927"/>
    <cellStyle name="40% - Accent3 2 6 4 3" xfId="4761"/>
    <cellStyle name="40% - Accent3 2 6 4 4" xfId="5429"/>
    <cellStyle name="40% - Accent3 2 6 5" xfId="3109"/>
    <cellStyle name="40% - Accent3 2 6 6" xfId="3800"/>
    <cellStyle name="40% - Accent3 2 6 7" xfId="4643"/>
    <cellStyle name="40% - Accent3 2 7" xfId="1177"/>
    <cellStyle name="40% - Accent3 2 7 2" xfId="2159"/>
    <cellStyle name="40% - Accent3 2 7 2 2" xfId="4051"/>
    <cellStyle name="40% - Accent3 2 7 2 3" xfId="4850"/>
    <cellStyle name="40% - Accent3 2 7 2 4" xfId="5480"/>
    <cellStyle name="40% - Accent3 2 7 3" xfId="3286"/>
    <cellStyle name="40% - Accent3 2 7 4" xfId="2956"/>
    <cellStyle name="40% - Accent3 2 7 5" xfId="4000"/>
    <cellStyle name="40% - Accent3 2 8" xfId="1454"/>
    <cellStyle name="40% - Accent3 2 8 2" xfId="2351"/>
    <cellStyle name="40% - Accent3 2 8 2 2" xfId="4243"/>
    <cellStyle name="40% - Accent3 2 8 2 3" xfId="5042"/>
    <cellStyle name="40% - Accent3 2 8 2 4" xfId="5672"/>
    <cellStyle name="40% - Accent3 2 8 3" xfId="3526"/>
    <cellStyle name="40% - Accent3 2 8 4" xfId="4424"/>
    <cellStyle name="40% - Accent3 2 8 5" xfId="5204"/>
    <cellStyle name="40% - Accent3 2 9" xfId="1831"/>
    <cellStyle name="40% - Accent3 2 9 2" xfId="3790"/>
    <cellStyle name="40% - Accent3 2 9 3" xfId="4633"/>
    <cellStyle name="40% - Accent3 2 9 4" xfId="5323"/>
    <cellStyle name="40% - Accent3 3" xfId="198"/>
    <cellStyle name="40% - Accent3 3 10" xfId="2479"/>
    <cellStyle name="40% - Accent3 3 11" xfId="2908"/>
    <cellStyle name="40% - Accent3 3 12" xfId="3913"/>
    <cellStyle name="40% - Accent3 3 2" xfId="375"/>
    <cellStyle name="40% - Accent3 3 2 2" xfId="1251"/>
    <cellStyle name="40% - Accent3 3 2 2 2" xfId="2205"/>
    <cellStyle name="40% - Accent3 3 2 2 2 2" xfId="4097"/>
    <cellStyle name="40% - Accent3 3 2 2 2 3" xfId="4896"/>
    <cellStyle name="40% - Accent3 3 2 2 2 4" xfId="5526"/>
    <cellStyle name="40% - Accent3 3 2 2 3" xfId="3345"/>
    <cellStyle name="40% - Accent3 3 2 2 4" xfId="3585"/>
    <cellStyle name="40% - Accent3 3 2 2 5" xfId="4470"/>
    <cellStyle name="40% - Accent3 3 2 3" xfId="1202"/>
    <cellStyle name="40% - Accent3 3 2 3 2" xfId="2173"/>
    <cellStyle name="40% - Accent3 3 2 3 2 2" xfId="4065"/>
    <cellStyle name="40% - Accent3 3 2 3 2 3" xfId="4864"/>
    <cellStyle name="40% - Accent3 3 2 3 2 4" xfId="5494"/>
    <cellStyle name="40% - Accent3 3 2 3 3" xfId="3304"/>
    <cellStyle name="40% - Accent3 3 2 3 4" xfId="3720"/>
    <cellStyle name="40% - Accent3 3 2 3 5" xfId="4581"/>
    <cellStyle name="40% - Accent3 3 2 4" xfId="1876"/>
    <cellStyle name="40% - Accent3 3 2 4 2" xfId="3825"/>
    <cellStyle name="40% - Accent3 3 2 4 3" xfId="4667"/>
    <cellStyle name="40% - Accent3 3 2 4 4" xfId="5350"/>
    <cellStyle name="40% - Accent3 3 2 5" xfId="2672"/>
    <cellStyle name="40% - Accent3 3 2 6" xfId="2636"/>
    <cellStyle name="40% - Accent3 3 2 7" xfId="2913"/>
    <cellStyle name="40% - Accent3 3 3" xfId="412"/>
    <cellStyle name="40% - Accent3 3 3 2" xfId="1271"/>
    <cellStyle name="40% - Accent3 3 3 2 2" xfId="2225"/>
    <cellStyle name="40% - Accent3 3 3 2 2 2" xfId="4117"/>
    <cellStyle name="40% - Accent3 3 3 2 2 3" xfId="4916"/>
    <cellStyle name="40% - Accent3 3 3 2 2 4" xfId="5546"/>
    <cellStyle name="40% - Accent3 3 3 2 3" xfId="3365"/>
    <cellStyle name="40% - Accent3 3 3 2 4" xfId="3493"/>
    <cellStyle name="40% - Accent3 3 3 2 5" xfId="4397"/>
    <cellStyle name="40% - Accent3 3 3 3" xfId="1294"/>
    <cellStyle name="40% - Accent3 3 3 3 2" xfId="2248"/>
    <cellStyle name="40% - Accent3 3 3 3 2 2" xfId="4140"/>
    <cellStyle name="40% - Accent3 3 3 3 2 3" xfId="4939"/>
    <cellStyle name="40% - Accent3 3 3 3 2 4" xfId="5569"/>
    <cellStyle name="40% - Accent3 3 3 3 3" xfId="3388"/>
    <cellStyle name="40% - Accent3 3 3 3 4" xfId="2524"/>
    <cellStyle name="40% - Accent3 3 3 3 5" xfId="3484"/>
    <cellStyle name="40% - Accent3 3 3 4" xfId="1893"/>
    <cellStyle name="40% - Accent3 3 3 4 2" xfId="3842"/>
    <cellStyle name="40% - Accent3 3 3 4 3" xfId="4684"/>
    <cellStyle name="40% - Accent3 3 3 4 4" xfId="5367"/>
    <cellStyle name="40% - Accent3 3 3 5" xfId="2698"/>
    <cellStyle name="40% - Accent3 3 3 6" xfId="2615"/>
    <cellStyle name="40% - Accent3 3 3 7" xfId="3745"/>
    <cellStyle name="40% - Accent3 3 4" xfId="894"/>
    <cellStyle name="40% - Accent3 3 4 2" xfId="1361"/>
    <cellStyle name="40% - Accent3 3 4 2 2" xfId="2307"/>
    <cellStyle name="40% - Accent3 3 4 2 2 2" xfId="4199"/>
    <cellStyle name="40% - Accent3 3 4 2 2 3" xfId="4998"/>
    <cellStyle name="40% - Accent3 3 4 2 2 4" xfId="5628"/>
    <cellStyle name="40% - Accent3 3 4 2 3" xfId="3451"/>
    <cellStyle name="40% - Accent3 3 4 2 4" xfId="4361"/>
    <cellStyle name="40% - Accent3 3 4 2 5" xfId="5160"/>
    <cellStyle name="40% - Accent3 3 4 3" xfId="1601"/>
    <cellStyle name="40% - Accent3 3 4 3 2" xfId="2394"/>
    <cellStyle name="40% - Accent3 3 4 3 2 2" xfId="4286"/>
    <cellStyle name="40% - Accent3 3 4 3 2 3" xfId="5085"/>
    <cellStyle name="40% - Accent3 3 4 3 2 4" xfId="5715"/>
    <cellStyle name="40% - Accent3 3 4 3 3" xfId="3627"/>
    <cellStyle name="40% - Accent3 3 4 3 4" xfId="4505"/>
    <cellStyle name="40% - Accent3 3 4 3 5" xfId="5247"/>
    <cellStyle name="40% - Accent3 3 4 4" xfId="1929"/>
    <cellStyle name="40% - Accent3 3 4 4 2" xfId="3878"/>
    <cellStyle name="40% - Accent3 3 4 4 3" xfId="4720"/>
    <cellStyle name="40% - Accent3 3 4 4 4" xfId="5403"/>
    <cellStyle name="40% - Accent3 3 4 5" xfId="3022"/>
    <cellStyle name="40% - Accent3 3 4 6" xfId="2556"/>
    <cellStyle name="40% - Accent3 3 4 7" xfId="3805"/>
    <cellStyle name="40% - Accent3 3 5" xfId="1017"/>
    <cellStyle name="40% - Accent3 3 5 2" xfId="1445"/>
    <cellStyle name="40% - Accent3 3 5 2 2" xfId="2345"/>
    <cellStyle name="40% - Accent3 3 5 2 2 2" xfId="4237"/>
    <cellStyle name="40% - Accent3 3 5 2 2 3" xfId="5036"/>
    <cellStyle name="40% - Accent3 3 5 2 2 4" xfId="5666"/>
    <cellStyle name="40% - Accent3 3 5 2 3" xfId="3519"/>
    <cellStyle name="40% - Accent3 3 5 2 4" xfId="4417"/>
    <cellStyle name="40% - Accent3 3 5 2 5" xfId="5198"/>
    <cellStyle name="40% - Accent3 3 5 3" xfId="1681"/>
    <cellStyle name="40% - Accent3 3 5 3 2" xfId="2428"/>
    <cellStyle name="40% - Accent3 3 5 3 2 2" xfId="4320"/>
    <cellStyle name="40% - Accent3 3 5 3 2 3" xfId="5119"/>
    <cellStyle name="40% - Accent3 3 5 3 2 4" xfId="5749"/>
    <cellStyle name="40% - Accent3 3 5 3 3" xfId="3683"/>
    <cellStyle name="40% - Accent3 3 5 3 4" xfId="4553"/>
    <cellStyle name="40% - Accent3 3 5 3 5" xfId="5281"/>
    <cellStyle name="40% - Accent3 3 5 4" xfId="2009"/>
    <cellStyle name="40% - Accent3 3 5 4 2" xfId="3939"/>
    <cellStyle name="40% - Accent3 3 5 4 3" xfId="4771"/>
    <cellStyle name="40% - Accent3 3 5 4 4" xfId="5437"/>
    <cellStyle name="40% - Accent3 3 5 5" xfId="3129"/>
    <cellStyle name="40% - Accent3 3 5 6" xfId="2749"/>
    <cellStyle name="40% - Accent3 3 5 7" xfId="3711"/>
    <cellStyle name="40% - Accent3 3 6" xfId="1013"/>
    <cellStyle name="40% - Accent3 3 6 2" xfId="1441"/>
    <cellStyle name="40% - Accent3 3 6 2 2" xfId="2342"/>
    <cellStyle name="40% - Accent3 3 6 2 2 2" xfId="4234"/>
    <cellStyle name="40% - Accent3 3 6 2 2 3" xfId="5033"/>
    <cellStyle name="40% - Accent3 3 6 2 2 4" xfId="5663"/>
    <cellStyle name="40% - Accent3 3 6 2 3" xfId="3515"/>
    <cellStyle name="40% - Accent3 3 6 2 4" xfId="4413"/>
    <cellStyle name="40% - Accent3 3 6 2 5" xfId="5195"/>
    <cellStyle name="40% - Accent3 3 6 3" xfId="1678"/>
    <cellStyle name="40% - Accent3 3 6 3 2" xfId="2426"/>
    <cellStyle name="40% - Accent3 3 6 3 2 2" xfId="4318"/>
    <cellStyle name="40% - Accent3 3 6 3 2 3" xfId="5117"/>
    <cellStyle name="40% - Accent3 3 6 3 2 4" xfId="5747"/>
    <cellStyle name="40% - Accent3 3 6 3 3" xfId="3680"/>
    <cellStyle name="40% - Accent3 3 6 3 4" xfId="4550"/>
    <cellStyle name="40% - Accent3 3 6 3 5" xfId="5279"/>
    <cellStyle name="40% - Accent3 3 6 4" xfId="2006"/>
    <cellStyle name="40% - Accent3 3 6 4 2" xfId="3936"/>
    <cellStyle name="40% - Accent3 3 6 4 3" xfId="4768"/>
    <cellStyle name="40% - Accent3 3 6 4 4" xfId="5435"/>
    <cellStyle name="40% - Accent3 3 6 5" xfId="3126"/>
    <cellStyle name="40% - Accent3 3 6 6" xfId="2548"/>
    <cellStyle name="40% - Accent3 3 6 7" xfId="2949"/>
    <cellStyle name="40% - Accent3 3 7" xfId="1178"/>
    <cellStyle name="40% - Accent3 3 7 2" xfId="2160"/>
    <cellStyle name="40% - Accent3 3 7 2 2" xfId="4052"/>
    <cellStyle name="40% - Accent3 3 7 2 3" xfId="4851"/>
    <cellStyle name="40% - Accent3 3 7 2 4" xfId="5481"/>
    <cellStyle name="40% - Accent3 3 7 3" xfId="3287"/>
    <cellStyle name="40% - Accent3 3 7 4" xfId="2732"/>
    <cellStyle name="40% - Accent3 3 7 5" xfId="2585"/>
    <cellStyle name="40% - Accent3 3 8" xfId="1385"/>
    <cellStyle name="40% - Accent3 3 8 2" xfId="2330"/>
    <cellStyle name="40% - Accent3 3 8 2 2" xfId="4222"/>
    <cellStyle name="40% - Accent3 3 8 2 3" xfId="5021"/>
    <cellStyle name="40% - Accent3 3 8 2 4" xfId="5651"/>
    <cellStyle name="40% - Accent3 3 8 3" xfId="3474"/>
    <cellStyle name="40% - Accent3 3 8 4" xfId="4384"/>
    <cellStyle name="40% - Accent3 3 8 5" xfId="5183"/>
    <cellStyle name="40% - Accent3 3 9" xfId="1832"/>
    <cellStyle name="40% - Accent3 3 9 2" xfId="3791"/>
    <cellStyle name="40% - Accent3 3 9 3" xfId="4634"/>
    <cellStyle name="40% - Accent3 3 9 4" xfId="5324"/>
    <cellStyle name="40% - Accent3 4" xfId="315"/>
    <cellStyle name="40% - Accent3 5" xfId="6017"/>
    <cellStyle name="40% - Accent3 6" xfId="6821"/>
    <cellStyle name="40% - Accent3 7" xfId="6119"/>
    <cellStyle name="40% - Accent3 8" xfId="6630"/>
    <cellStyle name="40% - Accent3 9" xfId="6638"/>
    <cellStyle name="40% - Accent4 10" xfId="6257"/>
    <cellStyle name="40% - Accent4 11" xfId="6511"/>
    <cellStyle name="40% - Accent4 12" xfId="6268"/>
    <cellStyle name="40% - Accent4 13" xfId="5935"/>
    <cellStyle name="40% - Accent4 2" xfId="199"/>
    <cellStyle name="40% - Accent4 2 10" xfId="2481"/>
    <cellStyle name="40% - Accent4 2 11" xfId="3139"/>
    <cellStyle name="40% - Accent4 2 12" xfId="2968"/>
    <cellStyle name="40% - Accent4 2 13" xfId="468"/>
    <cellStyle name="40% - Accent4 2 14" xfId="6007"/>
    <cellStyle name="40% - Accent4 2 15" xfId="6676"/>
    <cellStyle name="40% - Accent4 2 16" xfId="6669"/>
    <cellStyle name="40% - Accent4 2 17" xfId="6768"/>
    <cellStyle name="40% - Accent4 2 18" xfId="6331"/>
    <cellStyle name="40% - Accent4 2 19" xfId="6559"/>
    <cellStyle name="40% - Accent4 2 2" xfId="200"/>
    <cellStyle name="40% - Accent4 2 2 2" xfId="1252"/>
    <cellStyle name="40% - Accent4 2 2 2 2" xfId="2206"/>
    <cellStyle name="40% - Accent4 2 2 2 2 2" xfId="4098"/>
    <cellStyle name="40% - Accent4 2 2 2 2 3" xfId="4897"/>
    <cellStyle name="40% - Accent4 2 2 2 2 4" xfId="5527"/>
    <cellStyle name="40% - Accent4 2 2 2 3" xfId="3346"/>
    <cellStyle name="40% - Accent4 2 2 2 4" xfId="3975"/>
    <cellStyle name="40% - Accent4 2 2 2 5" xfId="4799"/>
    <cellStyle name="40% - Accent4 2 2 3" xfId="1201"/>
    <cellStyle name="40% - Accent4 2 2 3 2" xfId="2172"/>
    <cellStyle name="40% - Accent4 2 2 3 2 2" xfId="4064"/>
    <cellStyle name="40% - Accent4 2 2 3 2 3" xfId="4863"/>
    <cellStyle name="40% - Accent4 2 2 3 2 4" xfId="5493"/>
    <cellStyle name="40% - Accent4 2 2 3 3" xfId="3303"/>
    <cellStyle name="40% - Accent4 2 2 3 4" xfId="3976"/>
    <cellStyle name="40% - Accent4 2 2 3 5" xfId="4800"/>
    <cellStyle name="40% - Accent4 2 2 4" xfId="1877"/>
    <cellStyle name="40% - Accent4 2 2 4 2" xfId="3826"/>
    <cellStyle name="40% - Accent4 2 2 4 3" xfId="4668"/>
    <cellStyle name="40% - Accent4 2 2 4 4" xfId="5351"/>
    <cellStyle name="40% - Accent4 2 2 5" xfId="2673"/>
    <cellStyle name="40% - Accent4 2 2 6" xfId="2635"/>
    <cellStyle name="40% - Accent4 2 2 7" xfId="2918"/>
    <cellStyle name="40% - Accent4 2 20" xfId="6688"/>
    <cellStyle name="40% - Accent4 2 21" xfId="6345"/>
    <cellStyle name="40% - Accent4 2 22" xfId="6756"/>
    <cellStyle name="40% - Accent4 2 3" xfId="411"/>
    <cellStyle name="40% - Accent4 2 3 2" xfId="1270"/>
    <cellStyle name="40% - Accent4 2 3 2 2" xfId="2224"/>
    <cellStyle name="40% - Accent4 2 3 2 2 2" xfId="4116"/>
    <cellStyle name="40% - Accent4 2 3 2 2 3" xfId="4915"/>
    <cellStyle name="40% - Accent4 2 3 2 2 4" xfId="5545"/>
    <cellStyle name="40% - Accent4 2 3 2 3" xfId="3364"/>
    <cellStyle name="40% - Accent4 2 3 2 4" xfId="3662"/>
    <cellStyle name="40% - Accent4 2 3 2 5" xfId="4536"/>
    <cellStyle name="40% - Accent4 2 3 3" xfId="1330"/>
    <cellStyle name="40% - Accent4 2 3 3 2" xfId="2278"/>
    <cellStyle name="40% - Accent4 2 3 3 2 2" xfId="4170"/>
    <cellStyle name="40% - Accent4 2 3 3 2 3" xfId="4969"/>
    <cellStyle name="40% - Accent4 2 3 3 2 4" xfId="5599"/>
    <cellStyle name="40% - Accent4 2 3 3 3" xfId="3422"/>
    <cellStyle name="40% - Accent4 2 3 3 4" xfId="2491"/>
    <cellStyle name="40% - Accent4 2 3 3 5" xfId="2896"/>
    <cellStyle name="40% - Accent4 2 3 4" xfId="1892"/>
    <cellStyle name="40% - Accent4 2 3 4 2" xfId="3841"/>
    <cellStyle name="40% - Accent4 2 3 4 3" xfId="4683"/>
    <cellStyle name="40% - Accent4 2 3 4 4" xfId="5366"/>
    <cellStyle name="40% - Accent4 2 3 5" xfId="2697"/>
    <cellStyle name="40% - Accent4 2 3 6" xfId="2616"/>
    <cellStyle name="40% - Accent4 2 3 7" xfId="3583"/>
    <cellStyle name="40% - Accent4 2 4" xfId="896"/>
    <cellStyle name="40% - Accent4 2 4 2" xfId="1362"/>
    <cellStyle name="40% - Accent4 2 4 2 2" xfId="2308"/>
    <cellStyle name="40% - Accent4 2 4 2 2 2" xfId="4200"/>
    <cellStyle name="40% - Accent4 2 4 2 2 3" xfId="4999"/>
    <cellStyle name="40% - Accent4 2 4 2 2 4" xfId="5629"/>
    <cellStyle name="40% - Accent4 2 4 2 3" xfId="3452"/>
    <cellStyle name="40% - Accent4 2 4 2 4" xfId="4362"/>
    <cellStyle name="40% - Accent4 2 4 2 5" xfId="5161"/>
    <cellStyle name="40% - Accent4 2 4 3" xfId="1602"/>
    <cellStyle name="40% - Accent4 2 4 3 2" xfId="2395"/>
    <cellStyle name="40% - Accent4 2 4 3 2 2" xfId="4287"/>
    <cellStyle name="40% - Accent4 2 4 3 2 3" xfId="5086"/>
    <cellStyle name="40% - Accent4 2 4 3 2 4" xfId="5716"/>
    <cellStyle name="40% - Accent4 2 4 3 3" xfId="3628"/>
    <cellStyle name="40% - Accent4 2 4 3 4" xfId="4506"/>
    <cellStyle name="40% - Accent4 2 4 3 5" xfId="5248"/>
    <cellStyle name="40% - Accent4 2 4 4" xfId="1930"/>
    <cellStyle name="40% - Accent4 2 4 4 2" xfId="3879"/>
    <cellStyle name="40% - Accent4 2 4 4 3" xfId="4721"/>
    <cellStyle name="40% - Accent4 2 4 4 4" xfId="5404"/>
    <cellStyle name="40% - Accent4 2 4 5" xfId="3024"/>
    <cellStyle name="40% - Accent4 2 4 6" xfId="2555"/>
    <cellStyle name="40% - Accent4 2 4 7" xfId="2964"/>
    <cellStyle name="40% - Accent4 2 5" xfId="1014"/>
    <cellStyle name="40% - Accent4 2 5 2" xfId="1442"/>
    <cellStyle name="40% - Accent4 2 5 2 2" xfId="2343"/>
    <cellStyle name="40% - Accent4 2 5 2 2 2" xfId="4235"/>
    <cellStyle name="40% - Accent4 2 5 2 2 3" xfId="5034"/>
    <cellStyle name="40% - Accent4 2 5 2 2 4" xfId="5664"/>
    <cellStyle name="40% - Accent4 2 5 2 3" xfId="3516"/>
    <cellStyle name="40% - Accent4 2 5 2 4" xfId="4414"/>
    <cellStyle name="40% - Accent4 2 5 2 5" xfId="5196"/>
    <cellStyle name="40% - Accent4 2 5 3" xfId="1679"/>
    <cellStyle name="40% - Accent4 2 5 3 2" xfId="2427"/>
    <cellStyle name="40% - Accent4 2 5 3 2 2" xfId="4319"/>
    <cellStyle name="40% - Accent4 2 5 3 2 3" xfId="5118"/>
    <cellStyle name="40% - Accent4 2 5 3 2 4" xfId="5748"/>
    <cellStyle name="40% - Accent4 2 5 3 3" xfId="3681"/>
    <cellStyle name="40% - Accent4 2 5 3 4" xfId="4551"/>
    <cellStyle name="40% - Accent4 2 5 3 5" xfId="5280"/>
    <cellStyle name="40% - Accent4 2 5 4" xfId="2007"/>
    <cellStyle name="40% - Accent4 2 5 4 2" xfId="3937"/>
    <cellStyle name="40% - Accent4 2 5 4 3" xfId="4769"/>
    <cellStyle name="40% - Accent4 2 5 4 4" xfId="5436"/>
    <cellStyle name="40% - Accent4 2 5 5" xfId="3127"/>
    <cellStyle name="40% - Accent4 2 5 6" xfId="2769"/>
    <cellStyle name="40% - Accent4 2 5 7" xfId="3047"/>
    <cellStyle name="40% - Accent4 2 6" xfId="1044"/>
    <cellStyle name="40% - Accent4 2 6 2" xfId="1468"/>
    <cellStyle name="40% - Accent4 2 6 2 2" xfId="2362"/>
    <cellStyle name="40% - Accent4 2 6 2 2 2" xfId="4254"/>
    <cellStyle name="40% - Accent4 2 6 2 2 3" xfId="5053"/>
    <cellStyle name="40% - Accent4 2 6 2 2 4" xfId="5683"/>
    <cellStyle name="40% - Accent4 2 6 2 3" xfId="3539"/>
    <cellStyle name="40% - Accent4 2 6 2 4" xfId="4437"/>
    <cellStyle name="40% - Accent4 2 6 2 5" xfId="5215"/>
    <cellStyle name="40% - Accent4 2 6 3" xfId="1701"/>
    <cellStyle name="40% - Accent4 2 6 3 2" xfId="2442"/>
    <cellStyle name="40% - Accent4 2 6 3 2 2" xfId="4334"/>
    <cellStyle name="40% - Accent4 2 6 3 2 3" xfId="5133"/>
    <cellStyle name="40% - Accent4 2 6 3 2 4" xfId="5763"/>
    <cellStyle name="40% - Accent4 2 6 3 3" xfId="3701"/>
    <cellStyle name="40% - Accent4 2 6 3 4" xfId="4570"/>
    <cellStyle name="40% - Accent4 2 6 3 5" xfId="5295"/>
    <cellStyle name="40% - Accent4 2 6 4" xfId="2029"/>
    <cellStyle name="40% - Accent4 2 6 4 2" xfId="3957"/>
    <cellStyle name="40% - Accent4 2 6 4 3" xfId="4788"/>
    <cellStyle name="40% - Accent4 2 6 4 4" xfId="5451"/>
    <cellStyle name="40% - Accent4 2 6 5" xfId="3153"/>
    <cellStyle name="40% - Accent4 2 6 6" xfId="2920"/>
    <cellStyle name="40% - Accent4 2 6 7" xfId="4010"/>
    <cellStyle name="40% - Accent4 2 7" xfId="1179"/>
    <cellStyle name="40% - Accent4 2 7 2" xfId="2161"/>
    <cellStyle name="40% - Accent4 2 7 2 2" xfId="4053"/>
    <cellStyle name="40% - Accent4 2 7 2 3" xfId="4852"/>
    <cellStyle name="40% - Accent4 2 7 2 4" xfId="5482"/>
    <cellStyle name="40% - Accent4 2 7 3" xfId="3288"/>
    <cellStyle name="40% - Accent4 2 7 4" xfId="2718"/>
    <cellStyle name="40% - Accent4 2 7 5" xfId="2595"/>
    <cellStyle name="40% - Accent4 2 8" xfId="1339"/>
    <cellStyle name="40% - Accent4 2 8 2" xfId="2286"/>
    <cellStyle name="40% - Accent4 2 8 2 2" xfId="4178"/>
    <cellStyle name="40% - Accent4 2 8 2 3" xfId="4977"/>
    <cellStyle name="40% - Accent4 2 8 2 4" xfId="5607"/>
    <cellStyle name="40% - Accent4 2 8 3" xfId="3430"/>
    <cellStyle name="40% - Accent4 2 8 4" xfId="2471"/>
    <cellStyle name="40% - Accent4 2 8 5" xfId="2944"/>
    <cellStyle name="40% - Accent4 2 9" xfId="1833"/>
    <cellStyle name="40% - Accent4 2 9 2" xfId="3792"/>
    <cellStyle name="40% - Accent4 2 9 3" xfId="4635"/>
    <cellStyle name="40% - Accent4 2 9 4" xfId="5325"/>
    <cellStyle name="40% - Accent4 3" xfId="201"/>
    <cellStyle name="40% - Accent4 3 10" xfId="2482"/>
    <cellStyle name="40% - Accent4 3 11" xfId="3065"/>
    <cellStyle name="40% - Accent4 3 12" xfId="2874"/>
    <cellStyle name="40% - Accent4 3 2" xfId="376"/>
    <cellStyle name="40% - Accent4 3 2 2" xfId="1253"/>
    <cellStyle name="40% - Accent4 3 2 2 2" xfId="2207"/>
    <cellStyle name="40% - Accent4 3 2 2 2 2" xfId="4099"/>
    <cellStyle name="40% - Accent4 3 2 2 2 3" xfId="4898"/>
    <cellStyle name="40% - Accent4 3 2 2 2 4" xfId="5528"/>
    <cellStyle name="40% - Accent4 3 2 2 3" xfId="3347"/>
    <cellStyle name="40% - Accent4 3 2 2 4" xfId="3719"/>
    <cellStyle name="40% - Accent4 3 2 2 5" xfId="4580"/>
    <cellStyle name="40% - Accent4 3 2 3" xfId="1200"/>
    <cellStyle name="40% - Accent4 3 2 3 2" xfId="2171"/>
    <cellStyle name="40% - Accent4 3 2 3 2 2" xfId="4063"/>
    <cellStyle name="40% - Accent4 3 2 3 2 3" xfId="4862"/>
    <cellStyle name="40% - Accent4 3 2 3 2 4" xfId="5492"/>
    <cellStyle name="40% - Accent4 3 2 3 3" xfId="3302"/>
    <cellStyle name="40% - Accent4 3 2 3 4" xfId="3586"/>
    <cellStyle name="40% - Accent4 3 2 3 5" xfId="4471"/>
    <cellStyle name="40% - Accent4 3 2 4" xfId="1878"/>
    <cellStyle name="40% - Accent4 3 2 4 2" xfId="3827"/>
    <cellStyle name="40% - Accent4 3 2 4 3" xfId="4669"/>
    <cellStyle name="40% - Accent4 3 2 4 4" xfId="5352"/>
    <cellStyle name="40% - Accent4 3 2 5" xfId="2674"/>
    <cellStyle name="40% - Accent4 3 2 6" xfId="2634"/>
    <cellStyle name="40% - Accent4 3 2 7" xfId="2922"/>
    <cellStyle name="40% - Accent4 3 3" xfId="410"/>
    <cellStyle name="40% - Accent4 3 3 2" xfId="1269"/>
    <cellStyle name="40% - Accent4 3 3 2 2" xfId="2223"/>
    <cellStyle name="40% - Accent4 3 3 2 2 2" xfId="4115"/>
    <cellStyle name="40% - Accent4 3 3 2 2 3" xfId="4914"/>
    <cellStyle name="40% - Accent4 3 3 2 2 4" xfId="5544"/>
    <cellStyle name="40% - Accent4 3 3 2 3" xfId="3363"/>
    <cellStyle name="40% - Accent4 3 3 2 4" xfId="3916"/>
    <cellStyle name="40% - Accent4 3 3 2 5" xfId="4753"/>
    <cellStyle name="40% - Accent4 3 3 3" xfId="1336"/>
    <cellStyle name="40% - Accent4 3 3 3 2" xfId="2283"/>
    <cellStyle name="40% - Accent4 3 3 3 2 2" xfId="4175"/>
    <cellStyle name="40% - Accent4 3 3 3 2 3" xfId="4974"/>
    <cellStyle name="40% - Accent4 3 3 3 2 4" xfId="5604"/>
    <cellStyle name="40% - Accent4 3 3 3 3" xfId="3427"/>
    <cellStyle name="40% - Accent4 3 3 3 4" xfId="2480"/>
    <cellStyle name="40% - Accent4 3 3 3 5" xfId="3034"/>
    <cellStyle name="40% - Accent4 3 3 4" xfId="1891"/>
    <cellStyle name="40% - Accent4 3 3 4 2" xfId="3840"/>
    <cellStyle name="40% - Accent4 3 3 4 3" xfId="4682"/>
    <cellStyle name="40% - Accent4 3 3 4 4" xfId="5365"/>
    <cellStyle name="40% - Accent4 3 3 5" xfId="2696"/>
    <cellStyle name="40% - Accent4 3 3 6" xfId="2617"/>
    <cellStyle name="40% - Accent4 3 3 7" xfId="3973"/>
    <cellStyle name="40% - Accent4 3 4" xfId="897"/>
    <cellStyle name="40% - Accent4 3 4 2" xfId="1363"/>
    <cellStyle name="40% - Accent4 3 4 2 2" xfId="2309"/>
    <cellStyle name="40% - Accent4 3 4 2 2 2" xfId="4201"/>
    <cellStyle name="40% - Accent4 3 4 2 2 3" xfId="5000"/>
    <cellStyle name="40% - Accent4 3 4 2 2 4" xfId="5630"/>
    <cellStyle name="40% - Accent4 3 4 2 3" xfId="3453"/>
    <cellStyle name="40% - Accent4 3 4 2 4" xfId="4363"/>
    <cellStyle name="40% - Accent4 3 4 2 5" xfId="5162"/>
    <cellStyle name="40% - Accent4 3 4 3" xfId="1603"/>
    <cellStyle name="40% - Accent4 3 4 3 2" xfId="2396"/>
    <cellStyle name="40% - Accent4 3 4 3 2 2" xfId="4288"/>
    <cellStyle name="40% - Accent4 3 4 3 2 3" xfId="5087"/>
    <cellStyle name="40% - Accent4 3 4 3 2 4" xfId="5717"/>
    <cellStyle name="40% - Accent4 3 4 3 3" xfId="3629"/>
    <cellStyle name="40% - Accent4 3 4 3 4" xfId="4507"/>
    <cellStyle name="40% - Accent4 3 4 3 5" xfId="5249"/>
    <cellStyle name="40% - Accent4 3 4 4" xfId="1931"/>
    <cellStyle name="40% - Accent4 3 4 4 2" xfId="3880"/>
    <cellStyle name="40% - Accent4 3 4 4 3" xfId="4722"/>
    <cellStyle name="40% - Accent4 3 4 4 4" xfId="5405"/>
    <cellStyle name="40% - Accent4 3 4 5" xfId="3025"/>
    <cellStyle name="40% - Accent4 3 4 6" xfId="2554"/>
    <cellStyle name="40% - Accent4 3 4 7" xfId="2990"/>
    <cellStyle name="40% - Accent4 3 5" xfId="1010"/>
    <cellStyle name="40% - Accent4 3 5 2" xfId="1438"/>
    <cellStyle name="40% - Accent4 3 5 2 2" xfId="2341"/>
    <cellStyle name="40% - Accent4 3 5 2 2 2" xfId="4233"/>
    <cellStyle name="40% - Accent4 3 5 2 2 3" xfId="5032"/>
    <cellStyle name="40% - Accent4 3 5 2 2 4" xfId="5662"/>
    <cellStyle name="40% - Accent4 3 5 2 3" xfId="3513"/>
    <cellStyle name="40% - Accent4 3 5 2 4" xfId="4412"/>
    <cellStyle name="40% - Accent4 3 5 2 5" xfId="5194"/>
    <cellStyle name="40% - Accent4 3 5 3" xfId="1675"/>
    <cellStyle name="40% - Accent4 3 5 3 2" xfId="2425"/>
    <cellStyle name="40% - Accent4 3 5 3 2 2" xfId="4317"/>
    <cellStyle name="40% - Accent4 3 5 3 2 3" xfId="5116"/>
    <cellStyle name="40% - Accent4 3 5 3 2 4" xfId="5746"/>
    <cellStyle name="40% - Accent4 3 5 3 3" xfId="3679"/>
    <cellStyle name="40% - Accent4 3 5 3 4" xfId="4549"/>
    <cellStyle name="40% - Accent4 3 5 3 5" xfId="5278"/>
    <cellStyle name="40% - Accent4 3 5 4" xfId="2003"/>
    <cellStyle name="40% - Accent4 3 5 4 2" xfId="3935"/>
    <cellStyle name="40% - Accent4 3 5 4 3" xfId="4767"/>
    <cellStyle name="40% - Accent4 3 5 4 4" xfId="5434"/>
    <cellStyle name="40% - Accent4 3 5 5" xfId="3123"/>
    <cellStyle name="40% - Accent4 3 5 6" xfId="2551"/>
    <cellStyle name="40% - Accent4 3 5 7" xfId="3062"/>
    <cellStyle name="40% - Accent4 3 6" xfId="913"/>
    <cellStyle name="40% - Accent4 3 6 2" xfId="1375"/>
    <cellStyle name="40% - Accent4 3 6 2 2" xfId="2320"/>
    <cellStyle name="40% - Accent4 3 6 2 2 2" xfId="4212"/>
    <cellStyle name="40% - Accent4 3 6 2 2 3" xfId="5011"/>
    <cellStyle name="40% - Accent4 3 6 2 2 4" xfId="5641"/>
    <cellStyle name="40% - Accent4 3 6 2 3" xfId="3464"/>
    <cellStyle name="40% - Accent4 3 6 2 4" xfId="4374"/>
    <cellStyle name="40% - Accent4 3 6 2 5" xfId="5173"/>
    <cellStyle name="40% - Accent4 3 6 3" xfId="1614"/>
    <cellStyle name="40% - Accent4 3 6 3 2" xfId="2406"/>
    <cellStyle name="40% - Accent4 3 6 3 2 2" xfId="4298"/>
    <cellStyle name="40% - Accent4 3 6 3 2 3" xfId="5097"/>
    <cellStyle name="40% - Accent4 3 6 3 2 4" xfId="5727"/>
    <cellStyle name="40% - Accent4 3 6 3 3" xfId="3639"/>
    <cellStyle name="40% - Accent4 3 6 3 4" xfId="4517"/>
    <cellStyle name="40% - Accent4 3 6 3 5" xfId="5259"/>
    <cellStyle name="40% - Accent4 3 6 4" xfId="1942"/>
    <cellStyle name="40% - Accent4 3 6 4 2" xfId="3890"/>
    <cellStyle name="40% - Accent4 3 6 4 3" xfId="4732"/>
    <cellStyle name="40% - Accent4 3 6 4 4" xfId="5415"/>
    <cellStyle name="40% - Accent4 3 6 5" xfId="3039"/>
    <cellStyle name="40% - Accent4 3 6 6" xfId="2969"/>
    <cellStyle name="40% - Accent4 3 6 7" xfId="2945"/>
    <cellStyle name="40% - Accent4 3 7" xfId="1180"/>
    <cellStyle name="40% - Accent4 3 7 2" xfId="2162"/>
    <cellStyle name="40% - Accent4 3 7 2 2" xfId="4054"/>
    <cellStyle name="40% - Accent4 3 7 2 3" xfId="4853"/>
    <cellStyle name="40% - Accent4 3 7 2 4" xfId="5483"/>
    <cellStyle name="40% - Accent4 3 7 3" xfId="3289"/>
    <cellStyle name="40% - Accent4 3 7 4" xfId="2889"/>
    <cellStyle name="40% - Accent4 3 7 5" xfId="3043"/>
    <cellStyle name="40% - Accent4 3 8" xfId="1338"/>
    <cellStyle name="40% - Accent4 3 8 2" xfId="2285"/>
    <cellStyle name="40% - Accent4 3 8 2 2" xfId="4177"/>
    <cellStyle name="40% - Accent4 3 8 2 3" xfId="4976"/>
    <cellStyle name="40% - Accent4 3 8 2 4" xfId="5606"/>
    <cellStyle name="40% - Accent4 3 8 3" xfId="3429"/>
    <cellStyle name="40% - Accent4 3 8 4" xfId="2474"/>
    <cellStyle name="40% - Accent4 3 8 5" xfId="2933"/>
    <cellStyle name="40% - Accent4 3 9" xfId="1834"/>
    <cellStyle name="40% - Accent4 3 9 2" xfId="3793"/>
    <cellStyle name="40% - Accent4 3 9 3" xfId="4636"/>
    <cellStyle name="40% - Accent4 3 9 4" xfId="5326"/>
    <cellStyle name="40% - Accent4 4" xfId="459"/>
    <cellStyle name="40% - Accent4 5" xfId="6010"/>
    <cellStyle name="40% - Accent4 6" xfId="6674"/>
    <cellStyle name="40% - Accent4 7" xfId="5957"/>
    <cellStyle name="40% - Accent4 8" xfId="6234"/>
    <cellStyle name="40% - Accent4 9" xfId="6292"/>
    <cellStyle name="40% - Accent5 10" xfId="6509"/>
    <cellStyle name="40% - Accent5 11" xfId="6179"/>
    <cellStyle name="40% - Accent5 12" xfId="6563"/>
    <cellStyle name="40% - Accent5 13" xfId="6144"/>
    <cellStyle name="40% - Accent5 2" xfId="202"/>
    <cellStyle name="40% - Accent5 2 10" xfId="2484"/>
    <cellStyle name="40% - Accent5 2 11" xfId="2994"/>
    <cellStyle name="40% - Accent5 2 12" xfId="3979"/>
    <cellStyle name="40% - Accent5 2 13" xfId="463"/>
    <cellStyle name="40% - Accent5 2 14" xfId="6053"/>
    <cellStyle name="40% - Accent5 2 15" xfId="6798"/>
    <cellStyle name="40% - Accent5 2 16" xfId="6769"/>
    <cellStyle name="40% - Accent5 2 17" xfId="6690"/>
    <cellStyle name="40% - Accent5 2 18" xfId="6489"/>
    <cellStyle name="40% - Accent5 2 19" xfId="6140"/>
    <cellStyle name="40% - Accent5 2 2" xfId="203"/>
    <cellStyle name="40% - Accent5 2 2 2" xfId="1254"/>
    <cellStyle name="40% - Accent5 2 2 2 2" xfId="2208"/>
    <cellStyle name="40% - Accent5 2 2 2 2 2" xfId="4100"/>
    <cellStyle name="40% - Accent5 2 2 2 2 3" xfId="4899"/>
    <cellStyle name="40% - Accent5 2 2 2 2 4" xfId="5529"/>
    <cellStyle name="40% - Accent5 2 2 2 3" xfId="3348"/>
    <cellStyle name="40% - Accent5 2 2 2 4" xfId="3557"/>
    <cellStyle name="40% - Accent5 2 2 2 5" xfId="4451"/>
    <cellStyle name="40% - Accent5 2 2 3" xfId="1199"/>
    <cellStyle name="40% - Accent5 2 2 3 2" xfId="2170"/>
    <cellStyle name="40% - Accent5 2 2 3 2 2" xfId="4062"/>
    <cellStyle name="40% - Accent5 2 2 3 2 3" xfId="4861"/>
    <cellStyle name="40% - Accent5 2 2 3 2 4" xfId="5491"/>
    <cellStyle name="40% - Accent5 2 2 3 3" xfId="3301"/>
    <cellStyle name="40% - Accent5 2 2 3 4" xfId="3748"/>
    <cellStyle name="40% - Accent5 2 2 3 5" xfId="4600"/>
    <cellStyle name="40% - Accent5 2 2 4" xfId="1879"/>
    <cellStyle name="40% - Accent5 2 2 4 2" xfId="3828"/>
    <cellStyle name="40% - Accent5 2 2 4 3" xfId="4670"/>
    <cellStyle name="40% - Accent5 2 2 4 4" xfId="5353"/>
    <cellStyle name="40% - Accent5 2 2 5" xfId="2675"/>
    <cellStyle name="40% - Accent5 2 2 6" xfId="2633"/>
    <cellStyle name="40% - Accent5 2 2 7" xfId="2926"/>
    <cellStyle name="40% - Accent5 2 20" xfId="5860"/>
    <cellStyle name="40% - Accent5 2 21" xfId="6213"/>
    <cellStyle name="40% - Accent5 2 22" xfId="6695"/>
    <cellStyle name="40% - Accent5 2 3" xfId="409"/>
    <cellStyle name="40% - Accent5 2 3 2" xfId="1268"/>
    <cellStyle name="40% - Accent5 2 3 2 2" xfId="2222"/>
    <cellStyle name="40% - Accent5 2 3 2 2 2" xfId="4114"/>
    <cellStyle name="40% - Accent5 2 3 2 2 3" xfId="4913"/>
    <cellStyle name="40% - Accent5 2 3 2 2 4" xfId="5543"/>
    <cellStyle name="40% - Accent5 2 3 2 3" xfId="3362"/>
    <cellStyle name="40% - Accent5 2 3 2 4" xfId="3524"/>
    <cellStyle name="40% - Accent5 2 3 2 5" xfId="4422"/>
    <cellStyle name="40% - Accent5 2 3 3" xfId="1335"/>
    <cellStyle name="40% - Accent5 2 3 3 2" xfId="2282"/>
    <cellStyle name="40% - Accent5 2 3 3 2 2" xfId="4174"/>
    <cellStyle name="40% - Accent5 2 3 3 2 3" xfId="4973"/>
    <cellStyle name="40% - Accent5 2 3 3 2 4" xfId="5603"/>
    <cellStyle name="40% - Accent5 2 3 3 3" xfId="3426"/>
    <cellStyle name="40% - Accent5 2 3 3 4" xfId="2483"/>
    <cellStyle name="40% - Accent5 2 3 3 5" xfId="3000"/>
    <cellStyle name="40% - Accent5 2 3 4" xfId="1890"/>
    <cellStyle name="40% - Accent5 2 3 4 2" xfId="3839"/>
    <cellStyle name="40% - Accent5 2 3 4 3" xfId="4681"/>
    <cellStyle name="40% - Accent5 2 3 4 4" xfId="5364"/>
    <cellStyle name="40% - Accent5 2 3 5" xfId="2695"/>
    <cellStyle name="40% - Accent5 2 3 6" xfId="2618"/>
    <cellStyle name="40% - Accent5 2 3 7" xfId="3717"/>
    <cellStyle name="40% - Accent5 2 4" xfId="898"/>
    <cellStyle name="40% - Accent5 2 4 2" xfId="1364"/>
    <cellStyle name="40% - Accent5 2 4 2 2" xfId="2310"/>
    <cellStyle name="40% - Accent5 2 4 2 2 2" xfId="4202"/>
    <cellStyle name="40% - Accent5 2 4 2 2 3" xfId="5001"/>
    <cellStyle name="40% - Accent5 2 4 2 2 4" xfId="5631"/>
    <cellStyle name="40% - Accent5 2 4 2 3" xfId="3454"/>
    <cellStyle name="40% - Accent5 2 4 2 4" xfId="4364"/>
    <cellStyle name="40% - Accent5 2 4 2 5" xfId="5163"/>
    <cellStyle name="40% - Accent5 2 4 3" xfId="1604"/>
    <cellStyle name="40% - Accent5 2 4 3 2" xfId="2397"/>
    <cellStyle name="40% - Accent5 2 4 3 2 2" xfId="4289"/>
    <cellStyle name="40% - Accent5 2 4 3 2 3" xfId="5088"/>
    <cellStyle name="40% - Accent5 2 4 3 2 4" xfId="5718"/>
    <cellStyle name="40% - Accent5 2 4 3 3" xfId="3630"/>
    <cellStyle name="40% - Accent5 2 4 3 4" xfId="4508"/>
    <cellStyle name="40% - Accent5 2 4 3 5" xfId="5250"/>
    <cellStyle name="40% - Accent5 2 4 4" xfId="1932"/>
    <cellStyle name="40% - Accent5 2 4 4 2" xfId="3881"/>
    <cellStyle name="40% - Accent5 2 4 4 3" xfId="4723"/>
    <cellStyle name="40% - Accent5 2 4 4 4" xfId="5406"/>
    <cellStyle name="40% - Accent5 2 4 5" xfId="3026"/>
    <cellStyle name="40% - Accent5 2 4 6" xfId="2722"/>
    <cellStyle name="40% - Accent5 2 4 7" xfId="2591"/>
    <cellStyle name="40% - Accent5 2 5" xfId="1007"/>
    <cellStyle name="40% - Accent5 2 5 2" xfId="1435"/>
    <cellStyle name="40% - Accent5 2 5 2 2" xfId="2339"/>
    <cellStyle name="40% - Accent5 2 5 2 2 2" xfId="4231"/>
    <cellStyle name="40% - Accent5 2 5 2 2 3" xfId="5030"/>
    <cellStyle name="40% - Accent5 2 5 2 2 4" xfId="5660"/>
    <cellStyle name="40% - Accent5 2 5 2 3" xfId="3511"/>
    <cellStyle name="40% - Accent5 2 5 2 4" xfId="4410"/>
    <cellStyle name="40% - Accent5 2 5 2 5" xfId="5192"/>
    <cellStyle name="40% - Accent5 2 5 3" xfId="1672"/>
    <cellStyle name="40% - Accent5 2 5 3 2" xfId="2423"/>
    <cellStyle name="40% - Accent5 2 5 3 2 2" xfId="4315"/>
    <cellStyle name="40% - Accent5 2 5 3 2 3" xfId="5114"/>
    <cellStyle name="40% - Accent5 2 5 3 2 4" xfId="5744"/>
    <cellStyle name="40% - Accent5 2 5 3 3" xfId="3677"/>
    <cellStyle name="40% - Accent5 2 5 3 4" xfId="4547"/>
    <cellStyle name="40% - Accent5 2 5 3 5" xfId="5276"/>
    <cellStyle name="40% - Accent5 2 5 4" xfId="2000"/>
    <cellStyle name="40% - Accent5 2 5 4 2" xfId="3933"/>
    <cellStyle name="40% - Accent5 2 5 4 3" xfId="4765"/>
    <cellStyle name="40% - Accent5 2 5 4 4" xfId="5432"/>
    <cellStyle name="40% - Accent5 2 5 5" xfId="3120"/>
    <cellStyle name="40% - Accent5 2 5 6" xfId="2780"/>
    <cellStyle name="40% - Accent5 2 5 7" xfId="4027"/>
    <cellStyle name="40% - Accent5 2 6" xfId="1008"/>
    <cellStyle name="40% - Accent5 2 6 2" xfId="1436"/>
    <cellStyle name="40% - Accent5 2 6 2 2" xfId="2340"/>
    <cellStyle name="40% - Accent5 2 6 2 2 2" xfId="4232"/>
    <cellStyle name="40% - Accent5 2 6 2 2 3" xfId="5031"/>
    <cellStyle name="40% - Accent5 2 6 2 2 4" xfId="5661"/>
    <cellStyle name="40% - Accent5 2 6 2 3" xfId="3512"/>
    <cellStyle name="40% - Accent5 2 6 2 4" xfId="4411"/>
    <cellStyle name="40% - Accent5 2 6 2 5" xfId="5193"/>
    <cellStyle name="40% - Accent5 2 6 3" xfId="1673"/>
    <cellStyle name="40% - Accent5 2 6 3 2" xfId="2424"/>
    <cellStyle name="40% - Accent5 2 6 3 2 2" xfId="4316"/>
    <cellStyle name="40% - Accent5 2 6 3 2 3" xfId="5115"/>
    <cellStyle name="40% - Accent5 2 6 3 2 4" xfId="5745"/>
    <cellStyle name="40% - Accent5 2 6 3 3" xfId="3678"/>
    <cellStyle name="40% - Accent5 2 6 3 4" xfId="4548"/>
    <cellStyle name="40% - Accent5 2 6 3 5" xfId="5277"/>
    <cellStyle name="40% - Accent5 2 6 4" xfId="2001"/>
    <cellStyle name="40% - Accent5 2 6 4 2" xfId="3934"/>
    <cellStyle name="40% - Accent5 2 6 4 3" xfId="4766"/>
    <cellStyle name="40% - Accent5 2 6 4 4" xfId="5433"/>
    <cellStyle name="40% - Accent5 2 6 5" xfId="3121"/>
    <cellStyle name="40% - Accent5 2 6 6" xfId="2773"/>
    <cellStyle name="40% - Accent5 2 6 7" xfId="2572"/>
    <cellStyle name="40% - Accent5 2 7" xfId="1181"/>
    <cellStyle name="40% - Accent5 2 7 2" xfId="2163"/>
    <cellStyle name="40% - Accent5 2 7 2 2" xfId="4055"/>
    <cellStyle name="40% - Accent5 2 7 2 3" xfId="4854"/>
    <cellStyle name="40% - Accent5 2 7 2 4" xfId="5484"/>
    <cellStyle name="40% - Accent5 2 7 3" xfId="3290"/>
    <cellStyle name="40% - Accent5 2 7 4" xfId="2885"/>
    <cellStyle name="40% - Accent5 2 7 5" xfId="2567"/>
    <cellStyle name="40% - Accent5 2 8" xfId="1290"/>
    <cellStyle name="40% - Accent5 2 8 2" xfId="2244"/>
    <cellStyle name="40% - Accent5 2 8 2 2" xfId="4136"/>
    <cellStyle name="40% - Accent5 2 8 2 3" xfId="4935"/>
    <cellStyle name="40% - Accent5 2 8 2 4" xfId="5565"/>
    <cellStyle name="40% - Accent5 2 8 3" xfId="3384"/>
    <cellStyle name="40% - Accent5 2 8 4" xfId="2528"/>
    <cellStyle name="40% - Accent5 2 8 5" xfId="2755"/>
    <cellStyle name="40% - Accent5 2 9" xfId="1835"/>
    <cellStyle name="40% - Accent5 2 9 2" xfId="3794"/>
    <cellStyle name="40% - Accent5 2 9 3" xfId="4637"/>
    <cellStyle name="40% - Accent5 2 9 4" xfId="5327"/>
    <cellStyle name="40% - Accent5 3" xfId="204"/>
    <cellStyle name="40% - Accent5 3 10" xfId="2485"/>
    <cellStyle name="40% - Accent5 3 11" xfId="2991"/>
    <cellStyle name="40% - Accent5 3 12" xfId="4009"/>
    <cellStyle name="40% - Accent5 3 2" xfId="378"/>
    <cellStyle name="40% - Accent5 3 2 2" xfId="1255"/>
    <cellStyle name="40% - Accent5 3 2 2 2" xfId="2209"/>
    <cellStyle name="40% - Accent5 3 2 2 2 2" xfId="4101"/>
    <cellStyle name="40% - Accent5 3 2 2 2 3" xfId="4900"/>
    <cellStyle name="40% - Accent5 3 2 2 2 4" xfId="5530"/>
    <cellStyle name="40% - Accent5 3 2 2 3" xfId="3349"/>
    <cellStyle name="40% - Accent5 3 2 2 4" xfId="2979"/>
    <cellStyle name="40% - Accent5 3 2 2 5" xfId="3480"/>
    <cellStyle name="40% - Accent5 3 2 3" xfId="1198"/>
    <cellStyle name="40% - Accent5 3 2 3 2" xfId="2169"/>
    <cellStyle name="40% - Accent5 3 2 3 2 2" xfId="4061"/>
    <cellStyle name="40% - Accent5 3 2 3 2 3" xfId="4860"/>
    <cellStyle name="40% - Accent5 3 2 3 2 4" xfId="5490"/>
    <cellStyle name="40% - Accent5 3 2 3 3" xfId="3300"/>
    <cellStyle name="40% - Accent5 3 2 3 4" xfId="4006"/>
    <cellStyle name="40% - Accent5 3 2 3 5" xfId="4818"/>
    <cellStyle name="40% - Accent5 3 2 4" xfId="1880"/>
    <cellStyle name="40% - Accent5 3 2 4 2" xfId="3829"/>
    <cellStyle name="40% - Accent5 3 2 4 3" xfId="4671"/>
    <cellStyle name="40% - Accent5 3 2 4 4" xfId="5354"/>
    <cellStyle name="40% - Accent5 3 2 5" xfId="2676"/>
    <cellStyle name="40% - Accent5 3 2 6" xfId="2632"/>
    <cellStyle name="40% - Accent5 3 2 7" xfId="2931"/>
    <cellStyle name="40% - Accent5 3 3" xfId="408"/>
    <cellStyle name="40% - Accent5 3 3 2" xfId="1267"/>
    <cellStyle name="40% - Accent5 3 3 2 2" xfId="2221"/>
    <cellStyle name="40% - Accent5 3 3 2 2 2" xfId="4113"/>
    <cellStyle name="40% - Accent5 3 3 2 2 3" xfId="4912"/>
    <cellStyle name="40% - Accent5 3 3 2 2 4" xfId="5542"/>
    <cellStyle name="40% - Accent5 3 3 2 3" xfId="3361"/>
    <cellStyle name="40% - Accent5 3 3 2 4" xfId="3689"/>
    <cellStyle name="40% - Accent5 3 3 2 5" xfId="4558"/>
    <cellStyle name="40% - Accent5 3 3 3" xfId="1311"/>
    <cellStyle name="40% - Accent5 3 3 3 2" xfId="2261"/>
    <cellStyle name="40% - Accent5 3 3 3 2 2" xfId="4153"/>
    <cellStyle name="40% - Accent5 3 3 3 2 3" xfId="4952"/>
    <cellStyle name="40% - Accent5 3 3 3 2 4" xfId="5582"/>
    <cellStyle name="40% - Accent5 3 3 3 3" xfId="3404"/>
    <cellStyle name="40% - Accent5 3 3 3 4" xfId="2509"/>
    <cellStyle name="40% - Accent5 3 3 3 5" xfId="2795"/>
    <cellStyle name="40% - Accent5 3 3 4" xfId="1889"/>
    <cellStyle name="40% - Accent5 3 3 4 2" xfId="3838"/>
    <cellStyle name="40% - Accent5 3 3 4 3" xfId="4680"/>
    <cellStyle name="40% - Accent5 3 3 4 4" xfId="5363"/>
    <cellStyle name="40% - Accent5 3 3 5" xfId="2694"/>
    <cellStyle name="40% - Accent5 3 3 6" xfId="2619"/>
    <cellStyle name="40% - Accent5 3 3 7" xfId="3555"/>
    <cellStyle name="40% - Accent5 3 4" xfId="899"/>
    <cellStyle name="40% - Accent5 3 4 2" xfId="1365"/>
    <cellStyle name="40% - Accent5 3 4 2 2" xfId="2311"/>
    <cellStyle name="40% - Accent5 3 4 2 2 2" xfId="4203"/>
    <cellStyle name="40% - Accent5 3 4 2 2 3" xfId="5002"/>
    <cellStyle name="40% - Accent5 3 4 2 2 4" xfId="5632"/>
    <cellStyle name="40% - Accent5 3 4 2 3" xfId="3455"/>
    <cellStyle name="40% - Accent5 3 4 2 4" xfId="4365"/>
    <cellStyle name="40% - Accent5 3 4 2 5" xfId="5164"/>
    <cellStyle name="40% - Accent5 3 4 3" xfId="1605"/>
    <cellStyle name="40% - Accent5 3 4 3 2" xfId="2398"/>
    <cellStyle name="40% - Accent5 3 4 3 2 2" xfId="4290"/>
    <cellStyle name="40% - Accent5 3 4 3 2 3" xfId="5089"/>
    <cellStyle name="40% - Accent5 3 4 3 2 4" xfId="5719"/>
    <cellStyle name="40% - Accent5 3 4 3 3" xfId="3631"/>
    <cellStyle name="40% - Accent5 3 4 3 4" xfId="4509"/>
    <cellStyle name="40% - Accent5 3 4 3 5" xfId="5251"/>
    <cellStyle name="40% - Accent5 3 4 4" xfId="1933"/>
    <cellStyle name="40% - Accent5 3 4 4 2" xfId="3882"/>
    <cellStyle name="40% - Accent5 3 4 4 3" xfId="4724"/>
    <cellStyle name="40% - Accent5 3 4 4 4" xfId="5407"/>
    <cellStyle name="40% - Accent5 3 4 5" xfId="3027"/>
    <cellStyle name="40% - Accent5 3 4 6" xfId="2768"/>
    <cellStyle name="40% - Accent5 3 4 7" xfId="3195"/>
    <cellStyle name="40% - Accent5 3 5" xfId="950"/>
    <cellStyle name="40% - Accent5 3 5 2" xfId="1384"/>
    <cellStyle name="40% - Accent5 3 5 2 2" xfId="2329"/>
    <cellStyle name="40% - Accent5 3 5 2 2 2" xfId="4221"/>
    <cellStyle name="40% - Accent5 3 5 2 2 3" xfId="5020"/>
    <cellStyle name="40% - Accent5 3 5 2 2 4" xfId="5650"/>
    <cellStyle name="40% - Accent5 3 5 2 3" xfId="3473"/>
    <cellStyle name="40% - Accent5 3 5 2 4" xfId="4383"/>
    <cellStyle name="40% - Accent5 3 5 2 5" xfId="5182"/>
    <cellStyle name="40% - Accent5 3 5 3" xfId="1622"/>
    <cellStyle name="40% - Accent5 3 5 3 2" xfId="2414"/>
    <cellStyle name="40% - Accent5 3 5 3 2 2" xfId="4306"/>
    <cellStyle name="40% - Accent5 3 5 3 2 3" xfId="5105"/>
    <cellStyle name="40% - Accent5 3 5 3 2 4" xfId="5735"/>
    <cellStyle name="40% - Accent5 3 5 3 3" xfId="3647"/>
    <cellStyle name="40% - Accent5 3 5 3 4" xfId="4525"/>
    <cellStyle name="40% - Accent5 3 5 3 5" xfId="5267"/>
    <cellStyle name="40% - Accent5 3 5 4" xfId="1950"/>
    <cellStyle name="40% - Accent5 3 5 4 2" xfId="3898"/>
    <cellStyle name="40% - Accent5 3 5 4 3" xfId="4740"/>
    <cellStyle name="40% - Accent5 3 5 4 4" xfId="5423"/>
    <cellStyle name="40% - Accent5 3 5 5" xfId="3064"/>
    <cellStyle name="40% - Accent5 3 5 6" xfId="2879"/>
    <cellStyle name="40% - Accent5 3 5 7" xfId="2764"/>
    <cellStyle name="40% - Accent5 3 6" xfId="1032"/>
    <cellStyle name="40% - Accent5 3 6 2" xfId="1457"/>
    <cellStyle name="40% - Accent5 3 6 2 2" xfId="2354"/>
    <cellStyle name="40% - Accent5 3 6 2 2 2" xfId="4246"/>
    <cellStyle name="40% - Accent5 3 6 2 2 3" xfId="5045"/>
    <cellStyle name="40% - Accent5 3 6 2 2 4" xfId="5675"/>
    <cellStyle name="40% - Accent5 3 6 2 3" xfId="3529"/>
    <cellStyle name="40% - Accent5 3 6 2 4" xfId="4427"/>
    <cellStyle name="40% - Accent5 3 6 2 5" xfId="5207"/>
    <cellStyle name="40% - Accent5 3 6 3" xfId="1692"/>
    <cellStyle name="40% - Accent5 3 6 3 2" xfId="2436"/>
    <cellStyle name="40% - Accent5 3 6 3 2 2" xfId="4328"/>
    <cellStyle name="40% - Accent5 3 6 3 2 3" xfId="5127"/>
    <cellStyle name="40% - Accent5 3 6 3 2 4" xfId="5757"/>
    <cellStyle name="40% - Accent5 3 6 3 3" xfId="3693"/>
    <cellStyle name="40% - Accent5 3 6 3 4" xfId="4562"/>
    <cellStyle name="40% - Accent5 3 6 3 5" xfId="5289"/>
    <cellStyle name="40% - Accent5 3 6 4" xfId="2020"/>
    <cellStyle name="40% - Accent5 3 6 4 2" xfId="3949"/>
    <cellStyle name="40% - Accent5 3 6 4 3" xfId="4780"/>
    <cellStyle name="40% - Accent5 3 6 4 4" xfId="5445"/>
    <cellStyle name="40% - Accent5 3 6 5" xfId="3142"/>
    <cellStyle name="40% - Accent5 3 6 6" xfId="3915"/>
    <cellStyle name="40% - Accent5 3 6 7" xfId="4752"/>
    <cellStyle name="40% - Accent5 3 7" xfId="1182"/>
    <cellStyle name="40% - Accent5 3 7 2" xfId="2164"/>
    <cellStyle name="40% - Accent5 3 7 2 2" xfId="4056"/>
    <cellStyle name="40% - Accent5 3 7 2 3" xfId="4855"/>
    <cellStyle name="40% - Accent5 3 7 2 4" xfId="5485"/>
    <cellStyle name="40% - Accent5 3 7 3" xfId="3291"/>
    <cellStyle name="40% - Accent5 3 7 4" xfId="2878"/>
    <cellStyle name="40% - Accent5 3 7 5" xfId="2783"/>
    <cellStyle name="40% - Accent5 3 8" xfId="1319"/>
    <cellStyle name="40% - Accent5 3 8 2" xfId="2268"/>
    <cellStyle name="40% - Accent5 3 8 2 2" xfId="4160"/>
    <cellStyle name="40% - Accent5 3 8 2 3" xfId="4959"/>
    <cellStyle name="40% - Accent5 3 8 2 4" xfId="5589"/>
    <cellStyle name="40% - Accent5 3 8 3" xfId="3411"/>
    <cellStyle name="40% - Accent5 3 8 4" xfId="2502"/>
    <cellStyle name="40% - Accent5 3 8 5" xfId="2841"/>
    <cellStyle name="40% - Accent5 3 9" xfId="1836"/>
    <cellStyle name="40% - Accent5 3 9 2" xfId="3795"/>
    <cellStyle name="40% - Accent5 3 9 3" xfId="4638"/>
    <cellStyle name="40% - Accent5 3 9 4" xfId="5328"/>
    <cellStyle name="40% - Accent5 4" xfId="298"/>
    <cellStyle name="40% - Accent5 5" xfId="6005"/>
    <cellStyle name="40% - Accent5 6" xfId="6244"/>
    <cellStyle name="40% - Accent5 7" xfId="6198"/>
    <cellStyle name="40% - Accent5 8" xfId="6324"/>
    <cellStyle name="40% - Accent5 9" xfId="6201"/>
    <cellStyle name="40% - Accent6 10" xfId="6096"/>
    <cellStyle name="40% - Accent6 11" xfId="6090"/>
    <cellStyle name="40% - Accent6 12" xfId="6727"/>
    <cellStyle name="40% - Accent6 13" xfId="6597"/>
    <cellStyle name="40% - Accent6 2" xfId="205"/>
    <cellStyle name="40% - Accent6 2 10" xfId="2487"/>
    <cellStyle name="40% - Accent6 2 11" xfId="2717"/>
    <cellStyle name="40% - Accent6 2 12" xfId="2596"/>
    <cellStyle name="40% - Accent6 2 13" xfId="296"/>
    <cellStyle name="40% - Accent6 2 14" xfId="6048"/>
    <cellStyle name="40% - Accent6 2 15" xfId="6538"/>
    <cellStyle name="40% - Accent6 2 16" xfId="6787"/>
    <cellStyle name="40% - Accent6 2 17" xfId="5944"/>
    <cellStyle name="40% - Accent6 2 18" xfId="6645"/>
    <cellStyle name="40% - Accent6 2 19" xfId="6355"/>
    <cellStyle name="40% - Accent6 2 2" xfId="206"/>
    <cellStyle name="40% - Accent6 2 2 2" xfId="1256"/>
    <cellStyle name="40% - Accent6 2 2 2 2" xfId="2210"/>
    <cellStyle name="40% - Accent6 2 2 2 2 2" xfId="4102"/>
    <cellStyle name="40% - Accent6 2 2 2 2 3" xfId="4901"/>
    <cellStyle name="40% - Accent6 2 2 2 2 4" xfId="5531"/>
    <cellStyle name="40% - Accent6 2 2 2 3" xfId="3350"/>
    <cellStyle name="40% - Accent6 2 2 2 4" xfId="4018"/>
    <cellStyle name="40% - Accent6 2 2 2 5" xfId="4823"/>
    <cellStyle name="40% - Accent6 2 2 3" xfId="1197"/>
    <cellStyle name="40% - Accent6 2 2 3 2" xfId="2168"/>
    <cellStyle name="40% - Accent6 2 2 3 2 2" xfId="4060"/>
    <cellStyle name="40% - Accent6 2 2 3 2 3" xfId="4859"/>
    <cellStyle name="40% - Accent6 2 2 3 2 4" xfId="5489"/>
    <cellStyle name="40% - Accent6 2 2 3 3" xfId="3299"/>
    <cellStyle name="40% - Accent6 2 2 3 4" xfId="3605"/>
    <cellStyle name="40% - Accent6 2 2 3 5" xfId="4483"/>
    <cellStyle name="40% - Accent6 2 2 4" xfId="1881"/>
    <cellStyle name="40% - Accent6 2 2 4 2" xfId="3830"/>
    <cellStyle name="40% - Accent6 2 2 4 3" xfId="4672"/>
    <cellStyle name="40% - Accent6 2 2 4 4" xfId="5355"/>
    <cellStyle name="40% - Accent6 2 2 5" xfId="2677"/>
    <cellStyle name="40% - Accent6 2 2 6" xfId="2631"/>
    <cellStyle name="40% - Accent6 2 2 7" xfId="2936"/>
    <cellStyle name="40% - Accent6 2 20" xfId="6485"/>
    <cellStyle name="40% - Accent6 2 21" xfId="6671"/>
    <cellStyle name="40% - Accent6 2 22" xfId="6134"/>
    <cellStyle name="40% - Accent6 2 3" xfId="407"/>
    <cellStyle name="40% - Accent6 2 3 2" xfId="1266"/>
    <cellStyle name="40% - Accent6 2 3 2 2" xfId="2220"/>
    <cellStyle name="40% - Accent6 2 3 2 2 2" xfId="4112"/>
    <cellStyle name="40% - Accent6 2 3 2 2 3" xfId="4911"/>
    <cellStyle name="40% - Accent6 2 3 2 2 4" xfId="5541"/>
    <cellStyle name="40% - Accent6 2 3 2 3" xfId="3360"/>
    <cellStyle name="40% - Accent6 2 3 2 4" xfId="3945"/>
    <cellStyle name="40% - Accent6 2 3 2 5" xfId="4776"/>
    <cellStyle name="40% - Accent6 2 3 3" xfId="1313"/>
    <cellStyle name="40% - Accent6 2 3 3 2" xfId="2263"/>
    <cellStyle name="40% - Accent6 2 3 3 2 2" xfId="4155"/>
    <cellStyle name="40% - Accent6 2 3 3 2 3" xfId="4954"/>
    <cellStyle name="40% - Accent6 2 3 3 2 4" xfId="5584"/>
    <cellStyle name="40% - Accent6 2 3 3 3" xfId="3406"/>
    <cellStyle name="40% - Accent6 2 3 3 4" xfId="2507"/>
    <cellStyle name="40% - Accent6 2 3 3 5" xfId="2808"/>
    <cellStyle name="40% - Accent6 2 3 4" xfId="1888"/>
    <cellStyle name="40% - Accent6 2 3 4 2" xfId="3837"/>
    <cellStyle name="40% - Accent6 2 3 4 3" xfId="4679"/>
    <cellStyle name="40% - Accent6 2 3 4 4" xfId="5362"/>
    <cellStyle name="40% - Accent6 2 3 5" xfId="2693"/>
    <cellStyle name="40% - Accent6 2 3 6" xfId="2620"/>
    <cellStyle name="40% - Accent6 2 3 7" xfId="2977"/>
    <cellStyle name="40% - Accent6 2 4" xfId="900"/>
    <cellStyle name="40% - Accent6 2 4 2" xfId="1366"/>
    <cellStyle name="40% - Accent6 2 4 2 2" xfId="2312"/>
    <cellStyle name="40% - Accent6 2 4 2 2 2" xfId="4204"/>
    <cellStyle name="40% - Accent6 2 4 2 2 3" xfId="5003"/>
    <cellStyle name="40% - Accent6 2 4 2 2 4" xfId="5633"/>
    <cellStyle name="40% - Accent6 2 4 2 3" xfId="3456"/>
    <cellStyle name="40% - Accent6 2 4 2 4" xfId="4366"/>
    <cellStyle name="40% - Accent6 2 4 2 5" xfId="5165"/>
    <cellStyle name="40% - Accent6 2 4 3" xfId="1606"/>
    <cellStyle name="40% - Accent6 2 4 3 2" xfId="2399"/>
    <cellStyle name="40% - Accent6 2 4 3 2 2" xfId="4291"/>
    <cellStyle name="40% - Accent6 2 4 3 2 3" xfId="5090"/>
    <cellStyle name="40% - Accent6 2 4 3 2 4" xfId="5720"/>
    <cellStyle name="40% - Accent6 2 4 3 3" xfId="3632"/>
    <cellStyle name="40% - Accent6 2 4 3 4" xfId="4510"/>
    <cellStyle name="40% - Accent6 2 4 3 5" xfId="5252"/>
    <cellStyle name="40% - Accent6 2 4 4" xfId="1934"/>
    <cellStyle name="40% - Accent6 2 4 4 2" xfId="3883"/>
    <cellStyle name="40% - Accent6 2 4 4 3" xfId="4725"/>
    <cellStyle name="40% - Accent6 2 4 4 4" xfId="5408"/>
    <cellStyle name="40% - Accent6 2 4 5" xfId="3028"/>
    <cellStyle name="40% - Accent6 2 4 6" xfId="2761"/>
    <cellStyle name="40% - Accent6 2 4 7" xfId="2579"/>
    <cellStyle name="40% - Accent6 2 5" xfId="1002"/>
    <cellStyle name="40% - Accent6 2 5 2" xfId="1431"/>
    <cellStyle name="40% - Accent6 2 5 2 2" xfId="2338"/>
    <cellStyle name="40% - Accent6 2 5 2 2 2" xfId="4230"/>
    <cellStyle name="40% - Accent6 2 5 2 2 3" xfId="5029"/>
    <cellStyle name="40% - Accent6 2 5 2 2 4" xfId="5659"/>
    <cellStyle name="40% - Accent6 2 5 2 3" xfId="3508"/>
    <cellStyle name="40% - Accent6 2 5 2 4" xfId="4408"/>
    <cellStyle name="40% - Accent6 2 5 2 5" xfId="5191"/>
    <cellStyle name="40% - Accent6 2 5 3" xfId="1668"/>
    <cellStyle name="40% - Accent6 2 5 3 2" xfId="2422"/>
    <cellStyle name="40% - Accent6 2 5 3 2 2" xfId="4314"/>
    <cellStyle name="40% - Accent6 2 5 3 2 3" xfId="5113"/>
    <cellStyle name="40% - Accent6 2 5 3 2 4" xfId="5743"/>
    <cellStyle name="40% - Accent6 2 5 3 3" xfId="3675"/>
    <cellStyle name="40% - Accent6 2 5 3 4" xfId="4545"/>
    <cellStyle name="40% - Accent6 2 5 3 5" xfId="5275"/>
    <cellStyle name="40% - Accent6 2 5 4" xfId="1996"/>
    <cellStyle name="40% - Accent6 2 5 4 2" xfId="3930"/>
    <cellStyle name="40% - Accent6 2 5 4 3" xfId="4763"/>
    <cellStyle name="40% - Accent6 2 5 4 4" xfId="5431"/>
    <cellStyle name="40% - Accent6 2 5 5" xfId="3115"/>
    <cellStyle name="40% - Accent6 2 5 6" xfId="2814"/>
    <cellStyle name="40% - Accent6 2 5 7" xfId="2871"/>
    <cellStyle name="40% - Accent6 2 6" xfId="1041"/>
    <cellStyle name="40% - Accent6 2 6 2" xfId="1465"/>
    <cellStyle name="40% - Accent6 2 6 2 2" xfId="2360"/>
    <cellStyle name="40% - Accent6 2 6 2 2 2" xfId="4252"/>
    <cellStyle name="40% - Accent6 2 6 2 2 3" xfId="5051"/>
    <cellStyle name="40% - Accent6 2 6 2 2 4" xfId="5681"/>
    <cellStyle name="40% - Accent6 2 6 2 3" xfId="3536"/>
    <cellStyle name="40% - Accent6 2 6 2 4" xfId="4434"/>
    <cellStyle name="40% - Accent6 2 6 2 5" xfId="5213"/>
    <cellStyle name="40% - Accent6 2 6 3" xfId="1698"/>
    <cellStyle name="40% - Accent6 2 6 3 2" xfId="2440"/>
    <cellStyle name="40% - Accent6 2 6 3 2 2" xfId="4332"/>
    <cellStyle name="40% - Accent6 2 6 3 2 3" xfId="5131"/>
    <cellStyle name="40% - Accent6 2 6 3 2 4" xfId="5761"/>
    <cellStyle name="40% - Accent6 2 6 3 3" xfId="3698"/>
    <cellStyle name="40% - Accent6 2 6 3 4" xfId="4567"/>
    <cellStyle name="40% - Accent6 2 6 3 5" xfId="5293"/>
    <cellStyle name="40% - Accent6 2 6 4" xfId="2026"/>
    <cellStyle name="40% - Accent6 2 6 4 2" xfId="3954"/>
    <cellStyle name="40% - Accent6 2 6 4 3" xfId="4785"/>
    <cellStyle name="40% - Accent6 2 6 4 4" xfId="5449"/>
    <cellStyle name="40% - Accent6 2 6 5" xfId="3150"/>
    <cellStyle name="40% - Accent6 2 6 6" xfId="2934"/>
    <cellStyle name="40% - Accent6 2 6 7" xfId="3667"/>
    <cellStyle name="40% - Accent6 2 7" xfId="1183"/>
    <cellStyle name="40% - Accent6 2 7 2" xfId="2165"/>
    <cellStyle name="40% - Accent6 2 7 2 2" xfId="4057"/>
    <cellStyle name="40% - Accent6 2 7 2 3" xfId="4856"/>
    <cellStyle name="40% - Accent6 2 7 2 4" xfId="5486"/>
    <cellStyle name="40% - Accent6 2 7 3" xfId="3292"/>
    <cellStyle name="40% - Accent6 2 7 4" xfId="2872"/>
    <cellStyle name="40% - Accent6 2 7 5" xfId="2961"/>
    <cellStyle name="40% - Accent6 2 8" xfId="1315"/>
    <cellStyle name="40% - Accent6 2 8 2" xfId="2264"/>
    <cellStyle name="40% - Accent6 2 8 2 2" xfId="4156"/>
    <cellStyle name="40% - Accent6 2 8 2 3" xfId="4955"/>
    <cellStyle name="40% - Accent6 2 8 2 4" xfId="5585"/>
    <cellStyle name="40% - Accent6 2 8 3" xfId="3407"/>
    <cellStyle name="40% - Accent6 2 8 4" xfId="2506"/>
    <cellStyle name="40% - Accent6 2 8 5" xfId="2818"/>
    <cellStyle name="40% - Accent6 2 9" xfId="1837"/>
    <cellStyle name="40% - Accent6 2 9 2" xfId="3796"/>
    <cellStyle name="40% - Accent6 2 9 3" xfId="4639"/>
    <cellStyle name="40% - Accent6 2 9 4" xfId="5329"/>
    <cellStyle name="40% - Accent6 3" xfId="207"/>
    <cellStyle name="40% - Accent6 3 10" xfId="2488"/>
    <cellStyle name="40% - Accent6 3 11" xfId="3807"/>
    <cellStyle name="40% - Accent6 3 12" xfId="4649"/>
    <cellStyle name="40% - Accent6 3 2" xfId="380"/>
    <cellStyle name="40% - Accent6 3 2 2" xfId="1257"/>
    <cellStyle name="40% - Accent6 3 2 2 2" xfId="2211"/>
    <cellStyle name="40% - Accent6 3 2 2 2 2" xfId="4103"/>
    <cellStyle name="40% - Accent6 3 2 2 2 3" xfId="4902"/>
    <cellStyle name="40% - Accent6 3 2 2 2 4" xfId="5532"/>
    <cellStyle name="40% - Accent6 3 2 2 3" xfId="3351"/>
    <cellStyle name="40% - Accent6 3 2 2 4" xfId="3758"/>
    <cellStyle name="40% - Accent6 3 2 2 5" xfId="4606"/>
    <cellStyle name="40% - Accent6 3 2 3" xfId="1196"/>
    <cellStyle name="40% - Accent6 3 2 3 2" xfId="2167"/>
    <cellStyle name="40% - Accent6 3 2 3 2 2" xfId="4059"/>
    <cellStyle name="40% - Accent6 3 2 3 2 3" xfId="4858"/>
    <cellStyle name="40% - Accent6 3 2 3 2 4" xfId="5488"/>
    <cellStyle name="40% - Accent6 3 2 3 3" xfId="3298"/>
    <cellStyle name="40% - Accent6 3 2 3 4" xfId="3770"/>
    <cellStyle name="40% - Accent6 3 2 3 5" xfId="4614"/>
    <cellStyle name="40% - Accent6 3 2 4" xfId="1882"/>
    <cellStyle name="40% - Accent6 3 2 4 2" xfId="3831"/>
    <cellStyle name="40% - Accent6 3 2 4 3" xfId="4673"/>
    <cellStyle name="40% - Accent6 3 2 4 4" xfId="5356"/>
    <cellStyle name="40% - Accent6 3 2 5" xfId="2678"/>
    <cellStyle name="40% - Accent6 3 2 6" xfId="2630"/>
    <cellStyle name="40% - Accent6 3 2 7" xfId="2941"/>
    <cellStyle name="40% - Accent6 3 3" xfId="406"/>
    <cellStyle name="40% - Accent6 3 3 2" xfId="1265"/>
    <cellStyle name="40% - Accent6 3 3 2 2" xfId="2219"/>
    <cellStyle name="40% - Accent6 3 3 2 2 2" xfId="4111"/>
    <cellStyle name="40% - Accent6 3 3 2 2 3" xfId="4910"/>
    <cellStyle name="40% - Accent6 3 3 2 2 4" xfId="5540"/>
    <cellStyle name="40% - Accent6 3 3 2 3" xfId="3359"/>
    <cellStyle name="40% - Accent6 3 3 2 4" xfId="2951"/>
    <cellStyle name="40% - Accent6 3 3 2 5" xfId="2746"/>
    <cellStyle name="40% - Accent6 3 3 3" xfId="1316"/>
    <cellStyle name="40% - Accent6 3 3 3 2" xfId="2265"/>
    <cellStyle name="40% - Accent6 3 3 3 2 2" xfId="4157"/>
    <cellStyle name="40% - Accent6 3 3 3 2 3" xfId="4956"/>
    <cellStyle name="40% - Accent6 3 3 3 2 4" xfId="5586"/>
    <cellStyle name="40% - Accent6 3 3 3 3" xfId="3408"/>
    <cellStyle name="40% - Accent6 3 3 3 4" xfId="2505"/>
    <cellStyle name="40% - Accent6 3 3 3 5" xfId="2824"/>
    <cellStyle name="40% - Accent6 3 3 4" xfId="1887"/>
    <cellStyle name="40% - Accent6 3 3 4 2" xfId="3836"/>
    <cellStyle name="40% - Accent6 3 3 4 3" xfId="4678"/>
    <cellStyle name="40% - Accent6 3 3 4 4" xfId="5361"/>
    <cellStyle name="40% - Accent6 3 3 5" xfId="2692"/>
    <cellStyle name="40% - Accent6 3 3 6" xfId="2621"/>
    <cellStyle name="40% - Accent6 3 3 7" xfId="2754"/>
    <cellStyle name="40% - Accent6 3 4" xfId="901"/>
    <cellStyle name="40% - Accent6 3 4 2" xfId="1367"/>
    <cellStyle name="40% - Accent6 3 4 2 2" xfId="2313"/>
    <cellStyle name="40% - Accent6 3 4 2 2 2" xfId="4205"/>
    <cellStyle name="40% - Accent6 3 4 2 2 3" xfId="5004"/>
    <cellStyle name="40% - Accent6 3 4 2 2 4" xfId="5634"/>
    <cellStyle name="40% - Accent6 3 4 2 3" xfId="3457"/>
    <cellStyle name="40% - Accent6 3 4 2 4" xfId="4367"/>
    <cellStyle name="40% - Accent6 3 4 2 5" xfId="5166"/>
    <cellStyle name="40% - Accent6 3 4 3" xfId="1607"/>
    <cellStyle name="40% - Accent6 3 4 3 2" xfId="2400"/>
    <cellStyle name="40% - Accent6 3 4 3 2 2" xfId="4292"/>
    <cellStyle name="40% - Accent6 3 4 3 2 3" xfId="5091"/>
    <cellStyle name="40% - Accent6 3 4 3 2 4" xfId="5721"/>
    <cellStyle name="40% - Accent6 3 4 3 3" xfId="3633"/>
    <cellStyle name="40% - Accent6 3 4 3 4" xfId="4511"/>
    <cellStyle name="40% - Accent6 3 4 3 5" xfId="5253"/>
    <cellStyle name="40% - Accent6 3 4 4" xfId="1935"/>
    <cellStyle name="40% - Accent6 3 4 4 2" xfId="3884"/>
    <cellStyle name="40% - Accent6 3 4 4 3" xfId="4726"/>
    <cellStyle name="40% - Accent6 3 4 4 4" xfId="5409"/>
    <cellStyle name="40% - Accent6 3 4 5" xfId="3029"/>
    <cellStyle name="40% - Accent6 3 4 6" xfId="2756"/>
    <cellStyle name="40% - Accent6 3 4 7" xfId="2582"/>
    <cellStyle name="40% - Accent6 3 5" xfId="999"/>
    <cellStyle name="40% - Accent6 3 5 2" xfId="1429"/>
    <cellStyle name="40% - Accent6 3 5 2 2" xfId="2337"/>
    <cellStyle name="40% - Accent6 3 5 2 2 2" xfId="4229"/>
    <cellStyle name="40% - Accent6 3 5 2 2 3" xfId="5028"/>
    <cellStyle name="40% - Accent6 3 5 2 2 4" xfId="5658"/>
    <cellStyle name="40% - Accent6 3 5 2 3" xfId="3507"/>
    <cellStyle name="40% - Accent6 3 5 2 4" xfId="4407"/>
    <cellStyle name="40% - Accent6 3 5 2 5" xfId="5190"/>
    <cellStyle name="40% - Accent6 3 5 3" xfId="1666"/>
    <cellStyle name="40% - Accent6 3 5 3 2" xfId="2421"/>
    <cellStyle name="40% - Accent6 3 5 3 2 2" xfId="4313"/>
    <cellStyle name="40% - Accent6 3 5 3 2 3" xfId="5112"/>
    <cellStyle name="40% - Accent6 3 5 3 2 4" xfId="5742"/>
    <cellStyle name="40% - Accent6 3 5 3 3" xfId="3673"/>
    <cellStyle name="40% - Accent6 3 5 3 4" xfId="4544"/>
    <cellStyle name="40% - Accent6 3 5 3 5" xfId="5274"/>
    <cellStyle name="40% - Accent6 3 5 4" xfId="1994"/>
    <cellStyle name="40% - Accent6 3 5 4 2" xfId="3928"/>
    <cellStyle name="40% - Accent6 3 5 4 3" xfId="4762"/>
    <cellStyle name="40% - Accent6 3 5 4 4" xfId="5430"/>
    <cellStyle name="40% - Accent6 3 5 5" xfId="3112"/>
    <cellStyle name="40% - Accent6 3 5 6" xfId="2829"/>
    <cellStyle name="40% - Accent6 3 5 7" xfId="2776"/>
    <cellStyle name="40% - Accent6 3 6" xfId="915"/>
    <cellStyle name="40% - Accent6 3 6 2" xfId="1376"/>
    <cellStyle name="40% - Accent6 3 6 2 2" xfId="2321"/>
    <cellStyle name="40% - Accent6 3 6 2 2 2" xfId="4213"/>
    <cellStyle name="40% - Accent6 3 6 2 2 3" xfId="5012"/>
    <cellStyle name="40% - Accent6 3 6 2 2 4" xfId="5642"/>
    <cellStyle name="40% - Accent6 3 6 2 3" xfId="3465"/>
    <cellStyle name="40% - Accent6 3 6 2 4" xfId="4375"/>
    <cellStyle name="40% - Accent6 3 6 2 5" xfId="5174"/>
    <cellStyle name="40% - Accent6 3 6 3" xfId="1615"/>
    <cellStyle name="40% - Accent6 3 6 3 2" xfId="2407"/>
    <cellStyle name="40% - Accent6 3 6 3 2 2" xfId="4299"/>
    <cellStyle name="40% - Accent6 3 6 3 2 3" xfId="5098"/>
    <cellStyle name="40% - Accent6 3 6 3 2 4" xfId="5728"/>
    <cellStyle name="40% - Accent6 3 6 3 3" xfId="3640"/>
    <cellStyle name="40% - Accent6 3 6 3 4" xfId="4518"/>
    <cellStyle name="40% - Accent6 3 6 3 5" xfId="5260"/>
    <cellStyle name="40% - Accent6 3 6 4" xfId="1943"/>
    <cellStyle name="40% - Accent6 3 6 4 2" xfId="3891"/>
    <cellStyle name="40% - Accent6 3 6 4 3" xfId="4733"/>
    <cellStyle name="40% - Accent6 3 6 4 4" xfId="5416"/>
    <cellStyle name="40% - Accent6 3 6 5" xfId="3041"/>
    <cellStyle name="40% - Accent6 3 6 6" xfId="3737"/>
    <cellStyle name="40% - Accent6 3 6 7" xfId="4593"/>
    <cellStyle name="40% - Accent6 3 7" xfId="1184"/>
    <cellStyle name="40% - Accent6 3 7 2" xfId="2166"/>
    <cellStyle name="40% - Accent6 3 7 2 2" xfId="4058"/>
    <cellStyle name="40% - Accent6 3 7 2 3" xfId="4857"/>
    <cellStyle name="40% - Accent6 3 7 2 4" xfId="5487"/>
    <cellStyle name="40% - Accent6 3 7 3" xfId="3293"/>
    <cellStyle name="40% - Accent6 3 7 4" xfId="2867"/>
    <cellStyle name="40% - Accent6 3 7 5" xfId="2826"/>
    <cellStyle name="40% - Accent6 3 8" xfId="1312"/>
    <cellStyle name="40% - Accent6 3 8 2" xfId="2262"/>
    <cellStyle name="40% - Accent6 3 8 2 2" xfId="4154"/>
    <cellStyle name="40% - Accent6 3 8 2 3" xfId="4953"/>
    <cellStyle name="40% - Accent6 3 8 2 4" xfId="5583"/>
    <cellStyle name="40% - Accent6 3 8 3" xfId="3405"/>
    <cellStyle name="40% - Accent6 3 8 4" xfId="2508"/>
    <cellStyle name="40% - Accent6 3 8 5" xfId="2802"/>
    <cellStyle name="40% - Accent6 3 9" xfId="1838"/>
    <cellStyle name="40% - Accent6 3 9 2" xfId="3797"/>
    <cellStyle name="40% - Accent6 3 9 3" xfId="4640"/>
    <cellStyle name="40% - Accent6 3 9 4" xfId="5330"/>
    <cellStyle name="40% - Accent6 4" xfId="443"/>
    <cellStyle name="40% - Accent6 5" xfId="6060"/>
    <cellStyle name="40% - Accent6 6" xfId="5849"/>
    <cellStyle name="40% - Accent6 7" xfId="6033"/>
    <cellStyle name="40% - Accent6 8" xfId="6232"/>
    <cellStyle name="40% - Accent6 9" xfId="6799"/>
    <cellStyle name="60% - Accent1 10" xfId="6342"/>
    <cellStyle name="60% - Accent1 11" xfId="6375"/>
    <cellStyle name="60% - Accent1 12" xfId="6491"/>
    <cellStyle name="60% - Accent1 13" xfId="6455"/>
    <cellStyle name="60% - Accent1 2" xfId="208"/>
    <cellStyle name="60% - Accent1 2 10" xfId="6270"/>
    <cellStyle name="60% - Accent1 2 11" xfId="7009"/>
    <cellStyle name="60% - Accent1 2 12" xfId="6192"/>
    <cellStyle name="60% - Accent1 2 2" xfId="209"/>
    <cellStyle name="60% - Accent1 2 3" xfId="285"/>
    <cellStyle name="60% - Accent1 2 4" xfId="6030"/>
    <cellStyle name="60% - Accent1 2 5" xfId="6585"/>
    <cellStyle name="60% - Accent1 2 6" xfId="6349"/>
    <cellStyle name="60% - Accent1 2 7" xfId="6141"/>
    <cellStyle name="60% - Accent1 2 8" xfId="6494"/>
    <cellStyle name="60% - Accent1 2 9" xfId="6430"/>
    <cellStyle name="60% - Accent1 3" xfId="210"/>
    <cellStyle name="60% - Accent1 4" xfId="972"/>
    <cellStyle name="60% - Accent1 5" xfId="6043"/>
    <cellStyle name="60% - Accent1 6" xfId="6259"/>
    <cellStyle name="60% - Accent1 7" xfId="6304"/>
    <cellStyle name="60% - Accent1 8" xfId="6817"/>
    <cellStyle name="60% - Accent1 9" xfId="6631"/>
    <cellStyle name="60% - Accent2 10" xfId="6726"/>
    <cellStyle name="60% - Accent2 11" xfId="6932"/>
    <cellStyle name="60% - Accent2 12" xfId="6080"/>
    <cellStyle name="60% - Accent2 13" xfId="6555"/>
    <cellStyle name="60% - Accent2 2" xfId="211"/>
    <cellStyle name="60% - Accent2 2 10" xfId="6363"/>
    <cellStyle name="60% - Accent2 2 11" xfId="6321"/>
    <cellStyle name="60% - Accent2 2 12" xfId="6964"/>
    <cellStyle name="60% - Accent2 2 2" xfId="212"/>
    <cellStyle name="60% - Accent2 2 3" xfId="461"/>
    <cellStyle name="60% - Accent2 2 4" xfId="6397"/>
    <cellStyle name="60% - Accent2 2 5" xfId="6442"/>
    <cellStyle name="60% - Accent2 2 6" xfId="5908"/>
    <cellStyle name="60% - Accent2 2 7" xfId="6900"/>
    <cellStyle name="60% - Accent2 2 8" xfId="6336"/>
    <cellStyle name="60% - Accent2 2 9" xfId="6297"/>
    <cellStyle name="60% - Accent2 3" xfId="213"/>
    <cellStyle name="60% - Accent2 4" xfId="275"/>
    <cellStyle name="60% - Accent2 5" xfId="6377"/>
    <cellStyle name="60% - Accent2 6" xfId="6678"/>
    <cellStyle name="60% - Accent2 7" xfId="6281"/>
    <cellStyle name="60% - Accent2 8" xfId="6015"/>
    <cellStyle name="60% - Accent2 9" xfId="5916"/>
    <cellStyle name="60% - Accent3 10" xfId="6113"/>
    <cellStyle name="60% - Accent3 11" xfId="6933"/>
    <cellStyle name="60% - Accent3 12" xfId="6664"/>
    <cellStyle name="60% - Accent3 13" xfId="6965"/>
    <cellStyle name="60% - Accent3 2" xfId="214"/>
    <cellStyle name="60% - Accent3 2 10" xfId="6652"/>
    <cellStyle name="60% - Accent3 2 11" xfId="6549"/>
    <cellStyle name="60% - Accent3 2 12" xfId="6476"/>
    <cellStyle name="60% - Accent3 2 2" xfId="215"/>
    <cellStyle name="60% - Accent3 2 3" xfId="274"/>
    <cellStyle name="60% - Accent3 2 4" xfId="6097"/>
    <cellStyle name="60% - Accent3 2 5" xfId="6414"/>
    <cellStyle name="60% - Accent3 2 6" xfId="6146"/>
    <cellStyle name="60% - Accent3 2 7" xfId="6554"/>
    <cellStyle name="60% - Accent3 2 8" xfId="6369"/>
    <cellStyle name="60% - Accent3 2 9" xfId="6553"/>
    <cellStyle name="60% - Accent3 3" xfId="216"/>
    <cellStyle name="60% - Accent3 4" xfId="441"/>
    <cellStyle name="60% - Accent3 5" xfId="6223"/>
    <cellStyle name="60% - Accent3 6" xfId="6056"/>
    <cellStyle name="60% - Accent3 7" xfId="6601"/>
    <cellStyle name="60% - Accent3 8" xfId="5874"/>
    <cellStyle name="60% - Accent3 9" xfId="6470"/>
    <cellStyle name="60% - Accent4 10" xfId="6123"/>
    <cellStyle name="60% - Accent4 11" xfId="6243"/>
    <cellStyle name="60% - Accent4 12" xfId="6926"/>
    <cellStyle name="60% - Accent4 13" xfId="6072"/>
    <cellStyle name="60% - Accent4 2" xfId="217"/>
    <cellStyle name="60% - Accent4 2 10" xfId="6871"/>
    <cellStyle name="60% - Accent4 2 11" xfId="6451"/>
    <cellStyle name="60% - Accent4 2 12" xfId="7005"/>
    <cellStyle name="60% - Accent4 2 2" xfId="218"/>
    <cellStyle name="60% - Accent4 2 3" xfId="440"/>
    <cellStyle name="60% - Accent4 2 4" xfId="6004"/>
    <cellStyle name="60% - Accent4 2 5" xfId="6528"/>
    <cellStyle name="60% - Accent4 2 6" xfId="5822"/>
    <cellStyle name="60% - Accent4 2 7" xfId="6408"/>
    <cellStyle name="60% - Accent4 2 8" xfId="6773"/>
    <cellStyle name="60% - Accent4 2 9" xfId="6319"/>
    <cellStyle name="60% - Accent4 3" xfId="219"/>
    <cellStyle name="60% - Accent4 4" xfId="455"/>
    <cellStyle name="60% - Accent4 5" xfId="5900"/>
    <cellStyle name="60% - Accent4 6" xfId="6639"/>
    <cellStyle name="60% - Accent4 7" xfId="6527"/>
    <cellStyle name="60% - Accent4 8" xfId="6655"/>
    <cellStyle name="60% - Accent4 9" xfId="6788"/>
    <cellStyle name="60% - Accent5 10" xfId="6624"/>
    <cellStyle name="60% - Accent5 11" xfId="6784"/>
    <cellStyle name="60% - Accent5 12" xfId="6261"/>
    <cellStyle name="60% - Accent5 13" xfId="6905"/>
    <cellStyle name="60% - Accent5 2" xfId="220"/>
    <cellStyle name="60% - Accent5 2 10" xfId="6867"/>
    <cellStyle name="60% - Accent5 2 11" xfId="6607"/>
    <cellStyle name="60% - Accent5 2 12" xfId="6783"/>
    <cellStyle name="60% - Accent5 2 2" xfId="221"/>
    <cellStyle name="60% - Accent5 2 3" xfId="268"/>
    <cellStyle name="60% - Accent5 2 4" xfId="5997"/>
    <cellStyle name="60% - Accent5 2 5" xfId="6290"/>
    <cellStyle name="60% - Accent5 2 6" xfId="6300"/>
    <cellStyle name="60% - Accent5 2 7" xfId="6449"/>
    <cellStyle name="60% - Accent5 2 8" xfId="5963"/>
    <cellStyle name="60% - Accent5 2 9" xfId="6291"/>
    <cellStyle name="60% - Accent5 3" xfId="222"/>
    <cellStyle name="60% - Accent5 4" xfId="269"/>
    <cellStyle name="60% - Accent5 5" xfId="6000"/>
    <cellStyle name="60% - Accent5 6" xfId="6227"/>
    <cellStyle name="60% - Accent5 7" xfId="6842"/>
    <cellStyle name="60% - Accent5 8" xfId="6729"/>
    <cellStyle name="60% - Accent5 9" xfId="6841"/>
    <cellStyle name="60% - Accent6 10" xfId="6843"/>
    <cellStyle name="60% - Accent6 11" xfId="5999"/>
    <cellStyle name="60% - Accent6 12" xfId="6277"/>
    <cellStyle name="60% - Accent6 13" xfId="6370"/>
    <cellStyle name="60% - Accent6 2" xfId="223"/>
    <cellStyle name="60% - Accent6 2 10" xfId="6306"/>
    <cellStyle name="60% - Accent6 2 11" xfId="6020"/>
    <cellStyle name="60% - Accent6 2 12" xfId="6680"/>
    <cellStyle name="60% - Accent6 2 2" xfId="224"/>
    <cellStyle name="60% - Accent6 2 3" xfId="439"/>
    <cellStyle name="60% - Accent6 2 4" xfId="5992"/>
    <cellStyle name="60% - Accent6 2 5" xfId="6853"/>
    <cellStyle name="60% - Accent6 2 6" xfId="6380"/>
    <cellStyle name="60% - Accent6 2 7" xfId="6637"/>
    <cellStyle name="60% - Accent6 2 8" xfId="6303"/>
    <cellStyle name="60% - Accent6 2 9" xfId="6225"/>
    <cellStyle name="60% - Accent6 3" xfId="225"/>
    <cellStyle name="60% - Accent6 4" xfId="471"/>
    <cellStyle name="60% - Accent6 5" xfId="5993"/>
    <cellStyle name="60% - Accent6 6" xfId="6805"/>
    <cellStyle name="60% - Accent6 7" xfId="6512"/>
    <cellStyle name="60% - Accent6 8" xfId="6393"/>
    <cellStyle name="60% - Accent6 9" xfId="6422"/>
    <cellStyle name="Accent1 10" xfId="6955"/>
    <cellStyle name="Accent1 11" xfId="6260"/>
    <cellStyle name="Accent1 12" xfId="6980"/>
    <cellStyle name="Accent1 13" xfId="6166"/>
    <cellStyle name="Accent1 2" xfId="226"/>
    <cellStyle name="Accent1 2 10" xfId="6348"/>
    <cellStyle name="Accent1 2 11" xfId="6009"/>
    <cellStyle name="Accent1 2 12" xfId="6071"/>
    <cellStyle name="Accent1 2 2" xfId="227"/>
    <cellStyle name="Accent1 2 3" xfId="261"/>
    <cellStyle name="Accent1 2 4" xfId="5986"/>
    <cellStyle name="Accent1 2 5" xfId="6775"/>
    <cellStyle name="Accent1 2 6" xfId="6177"/>
    <cellStyle name="Accent1 2 7" xfId="6492"/>
    <cellStyle name="Accent1 2 8" xfId="6111"/>
    <cellStyle name="Accent1 2 9" xfId="6256"/>
    <cellStyle name="Accent1 3" xfId="228"/>
    <cellStyle name="Accent1 4" xfId="262"/>
    <cellStyle name="Accent1 5" xfId="5989"/>
    <cellStyle name="Accent1 6" xfId="6353"/>
    <cellStyle name="Accent1 7" xfId="5824"/>
    <cellStyle name="Accent1 8" xfId="6462"/>
    <cellStyle name="Accent1 9" xfId="6929"/>
    <cellStyle name="Accent2 10" xfId="6904"/>
    <cellStyle name="Accent2 11" xfId="6598"/>
    <cellStyle name="Accent2 12" xfId="6477"/>
    <cellStyle name="Accent2 13" xfId="6170"/>
    <cellStyle name="Accent2 2" xfId="229"/>
    <cellStyle name="Accent2 2 10" xfId="6668"/>
    <cellStyle name="Accent2 2 11" xfId="6963"/>
    <cellStyle name="Accent2 2 12" xfId="6928"/>
    <cellStyle name="Accent2 2 2" xfId="230"/>
    <cellStyle name="Accent2 2 3" xfId="481"/>
    <cellStyle name="Accent2 2 4" xfId="5981"/>
    <cellStyle name="Accent2 2 5" xfId="6314"/>
    <cellStyle name="Accent2 2 6" xfId="6145"/>
    <cellStyle name="Accent2 2 7" xfId="6728"/>
    <cellStyle name="Accent2 2 8" xfId="6948"/>
    <cellStyle name="Accent2 2 9" xfId="6294"/>
    <cellStyle name="Accent2 3" xfId="231"/>
    <cellStyle name="Accent2 4" xfId="260"/>
    <cellStyle name="Accent2 5" xfId="5983"/>
    <cellStyle name="Accent2 6" xfId="6246"/>
    <cellStyle name="Accent2 7" xfId="6659"/>
    <cellStyle name="Accent2 8" xfId="6560"/>
    <cellStyle name="Accent2 9" xfId="5835"/>
    <cellStyle name="Accent3 10" xfId="6916"/>
    <cellStyle name="Accent3 11" xfId="6077"/>
    <cellStyle name="Accent3 12" xfId="6406"/>
    <cellStyle name="Accent3 13" xfId="6510"/>
    <cellStyle name="Accent3 2" xfId="232"/>
    <cellStyle name="Accent3 2 10" xfId="6412"/>
    <cellStyle name="Accent3 2 11" xfId="6157"/>
    <cellStyle name="Accent3 2 12" xfId="6837"/>
    <cellStyle name="Accent3 2 2" xfId="233"/>
    <cellStyle name="Accent3 2 3" xfId="259"/>
    <cellStyle name="Accent3 2 4" xfId="5970"/>
    <cellStyle name="Accent3 2 5" xfId="6479"/>
    <cellStyle name="Accent3 2 6" xfId="6040"/>
    <cellStyle name="Accent3 2 7" xfId="6371"/>
    <cellStyle name="Accent3 2 8" xfId="6689"/>
    <cellStyle name="Accent3 2 9" xfId="6693"/>
    <cellStyle name="Accent3 3" xfId="234"/>
    <cellStyle name="Accent3 4" xfId="436"/>
    <cellStyle name="Accent3 5" xfId="5976"/>
    <cellStyle name="Accent3 6" xfId="6820"/>
    <cellStyle name="Accent3 7" xfId="6016"/>
    <cellStyle name="Accent3 8" xfId="6283"/>
    <cellStyle name="Accent3 9" xfId="6646"/>
    <cellStyle name="Accent4 10" xfId="6497"/>
    <cellStyle name="Accent4 11" xfId="6757"/>
    <cellStyle name="Accent4 12" xfId="6957"/>
    <cellStyle name="Accent4 13" xfId="6137"/>
    <cellStyle name="Accent4 2" xfId="235"/>
    <cellStyle name="Accent4 2 10" xfId="6681"/>
    <cellStyle name="Accent4 2 11" xfId="6719"/>
    <cellStyle name="Accent4 2 12" xfId="6367"/>
    <cellStyle name="Accent4 2 2" xfId="236"/>
    <cellStyle name="Accent4 2 3" xfId="257"/>
    <cellStyle name="Accent4 2 4" xfId="5962"/>
    <cellStyle name="Accent4 2 5" xfId="5861"/>
    <cellStyle name="Accent4 2 6" xfId="6919"/>
    <cellStyle name="Accent4 2 7" xfId="6635"/>
    <cellStyle name="Accent4 2 8" xfId="6707"/>
    <cellStyle name="Accent4 2 9" xfId="7003"/>
    <cellStyle name="Accent4 3" xfId="237"/>
    <cellStyle name="Accent4 4" xfId="258"/>
    <cellStyle name="Accent4 5" xfId="5965"/>
    <cellStyle name="Accent4 6" xfId="5858"/>
    <cellStyle name="Accent4 7" xfId="6463"/>
    <cellStyle name="Accent4 8" xfId="6708"/>
    <cellStyle name="Accent4 9" xfId="6796"/>
    <cellStyle name="Accent5 10" xfId="7007"/>
    <cellStyle name="Accent5 11" xfId="6450"/>
    <cellStyle name="Accent5 12" xfId="6541"/>
    <cellStyle name="Accent5 13" xfId="6433"/>
    <cellStyle name="Accent5 2" xfId="238"/>
    <cellStyle name="Accent5 2 10" xfId="6437"/>
    <cellStyle name="Accent5 2 11" xfId="7041"/>
    <cellStyle name="Accent5 2 12" xfId="7057"/>
    <cellStyle name="Accent5 2 2" xfId="239"/>
    <cellStyle name="Accent5 2 3" xfId="255"/>
    <cellStyle name="Accent5 2 4" xfId="5899"/>
    <cellStyle name="Accent5 2 5" xfId="6886"/>
    <cellStyle name="Accent5 2 6" xfId="6249"/>
    <cellStyle name="Accent5 2 7" xfId="6110"/>
    <cellStyle name="Accent5 2 8" xfId="6716"/>
    <cellStyle name="Accent5 2 9" xfId="6885"/>
    <cellStyle name="Accent5 3" xfId="240"/>
    <cellStyle name="Accent5 4" xfId="966"/>
    <cellStyle name="Accent5 5" xfId="5956"/>
    <cellStyle name="Accent5 6" xfId="5869"/>
    <cellStyle name="Accent5 7" xfId="6923"/>
    <cellStyle name="Accent5 8" xfId="6374"/>
    <cellStyle name="Accent5 9" xfId="5939"/>
    <cellStyle name="Accent6 10" xfId="6226"/>
    <cellStyle name="Accent6 11" xfId="6665"/>
    <cellStyle name="Accent6 12" xfId="7044"/>
    <cellStyle name="Accent6 13" xfId="7060"/>
    <cellStyle name="Accent6 2" xfId="241"/>
    <cellStyle name="Accent6 2 10" xfId="7023"/>
    <cellStyle name="Accent6 2 11" xfId="6936"/>
    <cellStyle name="Accent6 2 12" xfId="6617"/>
    <cellStyle name="Accent6 2 2" xfId="242"/>
    <cellStyle name="Accent6 2 3" xfId="377"/>
    <cellStyle name="Accent6 2 4" xfId="5897"/>
    <cellStyle name="Accent6 2 5" xfId="5887"/>
    <cellStyle name="Accent6 2 6" xfId="6551"/>
    <cellStyle name="Accent6 2 7" xfId="6954"/>
    <cellStyle name="Accent6 2 8" xfId="6983"/>
    <cellStyle name="Accent6 2 9" xfId="6532"/>
    <cellStyle name="Accent6 3" xfId="243"/>
    <cellStyle name="Accent6 4" xfId="379"/>
    <cellStyle name="Accent6 5" xfId="5898"/>
    <cellStyle name="Accent6 6" xfId="6889"/>
    <cellStyle name="Accent6 7" xfId="6684"/>
    <cellStyle name="Accent6 8" xfId="6952"/>
    <cellStyle name="Accent6 9" xfId="6981"/>
    <cellStyle name="Bad 10" xfId="5826"/>
    <cellStyle name="Bad 11" xfId="6808"/>
    <cellStyle name="Bad 12" xfId="6116"/>
    <cellStyle name="Bad 13" xfId="6149"/>
    <cellStyle name="Bad 14" xfId="8209"/>
    <cellStyle name="Bad 2" xfId="244"/>
    <cellStyle name="Bad 2 10" xfId="6263"/>
    <cellStyle name="Bad 2 11" xfId="6320"/>
    <cellStyle name="Bad 2 12" xfId="6899"/>
    <cellStyle name="Bad 2 2" xfId="245"/>
    <cellStyle name="Bad 2 3" xfId="372"/>
    <cellStyle name="Bad 2 4" xfId="6347"/>
    <cellStyle name="Bad 2 5" xfId="6474"/>
    <cellStyle name="Bad 2 6" xfId="6760"/>
    <cellStyle name="Bad 2 7" xfId="6196"/>
    <cellStyle name="Bad 2 8" xfId="5914"/>
    <cellStyle name="Bad 2 9" xfId="6108"/>
    <cellStyle name="Bad 3" xfId="246"/>
    <cellStyle name="Bad 4" xfId="374"/>
    <cellStyle name="Bad 5" xfId="6525"/>
    <cellStyle name="Bad 6" xfId="6777"/>
    <cellStyle name="Bad 7" xfId="6504"/>
    <cellStyle name="Bad 8" xfId="6326"/>
    <cellStyle name="Bad 9" xfId="6895"/>
    <cellStyle name="Calculation 10" xfId="6295"/>
    <cellStyle name="Calculation 10 2" xfId="7942"/>
    <cellStyle name="Calculation 11" xfId="6781"/>
    <cellStyle name="Calculation 11 2" xfId="7963"/>
    <cellStyle name="Calculation 12" xfId="6552"/>
    <cellStyle name="Calculation 12 2" xfId="7953"/>
    <cellStyle name="Calculation 13" xfId="6028"/>
    <cellStyle name="Calculation 13 2" xfId="7927"/>
    <cellStyle name="Calculation 2" xfId="247"/>
    <cellStyle name="Calculation 2 10" xfId="6815"/>
    <cellStyle name="Calculation 2 11" xfId="6044"/>
    <cellStyle name="Calculation 2 12" xfId="6378"/>
    <cellStyle name="Calculation 2 13" xfId="7715"/>
    <cellStyle name="Calculation 2 14" xfId="8210"/>
    <cellStyle name="Calculation 2 2" xfId="248"/>
    <cellStyle name="Calculation 2 3" xfId="367"/>
    <cellStyle name="Calculation 2 4" xfId="6211"/>
    <cellStyle name="Calculation 2 5" xfId="6383"/>
    <cellStyle name="Calculation 2 6" xfId="6484"/>
    <cellStyle name="Calculation 2 7" xfId="6151"/>
    <cellStyle name="Calculation 2 8" xfId="6210"/>
    <cellStyle name="Calculation 2 9" xfId="6734"/>
    <cellStyle name="Calculation 3" xfId="249"/>
    <cellStyle name="Calculation 4" xfId="369"/>
    <cellStyle name="Calculation 4 2" xfId="7727"/>
    <cellStyle name="Calculation 5" xfId="6272"/>
    <cellStyle name="Calculation 5 2" xfId="7940"/>
    <cellStyle name="Calculation 6" xfId="6439"/>
    <cellStyle name="Calculation 6 2" xfId="7950"/>
    <cellStyle name="Calculation 7" xfId="6329"/>
    <cellStyle name="Calculation 7 2" xfId="7944"/>
    <cellStyle name="Calculation 8" xfId="6429"/>
    <cellStyle name="Calculation 8 2" xfId="7948"/>
    <cellStyle name="Calculation 9" xfId="6241"/>
    <cellStyle name="Calculation 9 2" xfId="7938"/>
    <cellStyle name="Cancel" xfId="250"/>
    <cellStyle name="Check Cell 10" xfId="6670"/>
    <cellStyle name="Check Cell 11" xfId="6356"/>
    <cellStyle name="Check Cell 12" xfId="6791"/>
    <cellStyle name="Check Cell 13" xfId="6872"/>
    <cellStyle name="Check Cell 2" xfId="251"/>
    <cellStyle name="Check Cell 2 10" xfId="6390"/>
    <cellStyle name="Check Cell 2 11" xfId="6743"/>
    <cellStyle name="Check Cell 2 12" xfId="6566"/>
    <cellStyle name="Check Cell 2 2" xfId="252"/>
    <cellStyle name="Check Cell 2 3" xfId="360"/>
    <cellStyle name="Check Cell 2 4" xfId="6517"/>
    <cellStyle name="Check Cell 2 5" xfId="6242"/>
    <cellStyle name="Check Cell 2 6" xfId="6577"/>
    <cellStyle name="Check Cell 2 7" xfId="6835"/>
    <cellStyle name="Check Cell 2 8" xfId="6133"/>
    <cellStyle name="Check Cell 2 9" xfId="6216"/>
    <cellStyle name="Check Cell 3" xfId="253"/>
    <cellStyle name="Check Cell 4" xfId="362"/>
    <cellStyle name="Check Cell 5" xfId="6654"/>
    <cellStyle name="Check Cell 6" xfId="6779"/>
    <cellStyle name="Check Cell 7" xfId="6248"/>
    <cellStyle name="Check Cell 8" xfId="6712"/>
    <cellStyle name="Check Cell 9" xfId="6031"/>
    <cellStyle name="Column total in dollars" xfId="20"/>
    <cellStyle name="Column total in dollars 2" xfId="254"/>
    <cellStyle name="Column total in dollars 2 10" xfId="2532"/>
    <cellStyle name="Column total in dollars 2 11" xfId="3603"/>
    <cellStyle name="Column total in dollars 2 12" xfId="4481"/>
    <cellStyle name="Column total in dollars 2 2" xfId="383"/>
    <cellStyle name="Column total in dollars 2 3" xfId="403"/>
    <cellStyle name="Column total in dollars 2 4" xfId="910"/>
    <cellStyle name="Column total in dollars 2 5" xfId="1005"/>
    <cellStyle name="Column total in dollars 2 6" xfId="1021"/>
    <cellStyle name="Column total in dollars 2 7" xfId="1185"/>
    <cellStyle name="Column total in dollars 2 8" xfId="1322"/>
    <cellStyle name="Column total in dollars 2 9" xfId="1839"/>
    <cellStyle name="Comma" xfId="7696" builtinId="3"/>
    <cellStyle name="Comma  - Style1" xfId="8212"/>
    <cellStyle name="Comma  - Style2" xfId="8213"/>
    <cellStyle name="Comma  - Style3" xfId="8214"/>
    <cellStyle name="Comma  - Style4" xfId="8215"/>
    <cellStyle name="Comma  - Style5" xfId="8216"/>
    <cellStyle name="Comma  - Style6" xfId="8217"/>
    <cellStyle name="Comma  - Style7" xfId="8218"/>
    <cellStyle name="Comma  - Style8" xfId="8219"/>
    <cellStyle name="Comma (0)" xfId="21"/>
    <cellStyle name="Comma 10" xfId="8220"/>
    <cellStyle name="Comma 11" xfId="8221"/>
    <cellStyle name="Comma 12" xfId="8222"/>
    <cellStyle name="Comma 13" xfId="8223"/>
    <cellStyle name="Comma 14" xfId="7153"/>
    <cellStyle name="Comma 14 2" xfId="8224"/>
    <cellStyle name="Comma 15" xfId="8225"/>
    <cellStyle name="Comma 16" xfId="8226"/>
    <cellStyle name="Comma 16 2" xfId="8227"/>
    <cellStyle name="Comma 17" xfId="8228"/>
    <cellStyle name="Comma 18" xfId="8229"/>
    <cellStyle name="Comma 19" xfId="8230"/>
    <cellStyle name="Comma 2" xfId="8231"/>
    <cellStyle name="Comma 2 10" xfId="6992"/>
    <cellStyle name="Comma 2 11" xfId="7014"/>
    <cellStyle name="Comma 2 12" xfId="7031"/>
    <cellStyle name="Comma 2 13" xfId="7049"/>
    <cellStyle name="Comma 2 14" xfId="7065"/>
    <cellStyle name="Comma 2 15" xfId="7076"/>
    <cellStyle name="Comma 2 16" xfId="7087"/>
    <cellStyle name="Comma 2 17" xfId="7092"/>
    <cellStyle name="Comma 2 18" xfId="7098"/>
    <cellStyle name="Comma 2 19" xfId="7105"/>
    <cellStyle name="Comma 2 2" xfId="7085"/>
    <cellStyle name="Comma 2 2 10" xfId="6289"/>
    <cellStyle name="Comma 2 2 11" xfId="6081"/>
    <cellStyle name="Comma 2 2 12" xfId="6041"/>
    <cellStyle name="Comma 2 2 13" xfId="7011"/>
    <cellStyle name="Comma 2 2 14" xfId="6530"/>
    <cellStyle name="Comma 2 2 15" xfId="7150"/>
    <cellStyle name="Comma 2 2 2" xfId="5776"/>
    <cellStyle name="Comma 2 2 2 2" xfId="447"/>
    <cellStyle name="Comma 2 2 2 3" xfId="1637"/>
    <cellStyle name="Comma 2 2 2 4" xfId="1965"/>
    <cellStyle name="Comma 2 2 2 5" xfId="3080"/>
    <cellStyle name="Comma 2 2 2 6" xfId="3607"/>
    <cellStyle name="Comma 2 2 2 7" xfId="4485"/>
    <cellStyle name="Comma 2 2 2 8" xfId="7128"/>
    <cellStyle name="Comma 2 2 3" xfId="976"/>
    <cellStyle name="Comma 2 2 3 2" xfId="1410"/>
    <cellStyle name="Comma 2 2 3 3" xfId="1647"/>
    <cellStyle name="Comma 2 2 3 4" xfId="1975"/>
    <cellStyle name="Comma 2 2 3 5" xfId="3090"/>
    <cellStyle name="Comma 2 2 3 6" xfId="3596"/>
    <cellStyle name="Comma 2 2 3 7" xfId="4479"/>
    <cellStyle name="Comma 2 2 4" xfId="1026"/>
    <cellStyle name="Comma 2 2 4 2" xfId="1452"/>
    <cellStyle name="Comma 2 2 4 3" xfId="1688"/>
    <cellStyle name="Comma 2 2 4 4" xfId="2016"/>
    <cellStyle name="Comma 2 2 4 5" xfId="3137"/>
    <cellStyle name="Comma 2 2 4 6" xfId="3714"/>
    <cellStyle name="Comma 2 2 4 7" xfId="4578"/>
    <cellStyle name="Comma 2 2 5" xfId="5929"/>
    <cellStyle name="Comma 2 2 6" xfId="6002"/>
    <cellStyle name="Comma 2 2 7" xfId="6610"/>
    <cellStyle name="Comma 2 2 8" xfId="6193"/>
    <cellStyle name="Comma 2 2 9" xfId="6623"/>
    <cellStyle name="Comma 2 20" xfId="7110"/>
    <cellStyle name="Comma 2 21" xfId="7114"/>
    <cellStyle name="Comma 2 22" xfId="7170"/>
    <cellStyle name="Comma 2 23" xfId="7158"/>
    <cellStyle name="Comma 2 24" xfId="7132"/>
    <cellStyle name="Comma 2 25" xfId="7163"/>
    <cellStyle name="Comma 2 26" xfId="7148"/>
    <cellStyle name="Comma 2 27" xfId="7136"/>
    <cellStyle name="Comma 2 28" xfId="7147"/>
    <cellStyle name="Comma 2 29" xfId="7138"/>
    <cellStyle name="Comma 2 3" xfId="784"/>
    <cellStyle name="Comma 2 3 2" xfId="1052"/>
    <cellStyle name="Comma 2 3 2 2" xfId="1477"/>
    <cellStyle name="Comma 2 3 2 3" xfId="1710"/>
    <cellStyle name="Comma 2 3 2 4" xfId="2038"/>
    <cellStyle name="Comma 2 3 2 5" xfId="3162"/>
    <cellStyle name="Comma 2 3 2 6" xfId="3938"/>
    <cellStyle name="Comma 2 3 2 7" xfId="4770"/>
    <cellStyle name="Comma 2 3 3" xfId="1096"/>
    <cellStyle name="Comma 2 3 3 2" xfId="1519"/>
    <cellStyle name="Comma 2 3 3 3" xfId="1751"/>
    <cellStyle name="Comma 2 3 3 4" xfId="2079"/>
    <cellStyle name="Comma 2 3 3 5" xfId="3206"/>
    <cellStyle name="Comma 2 3 3 6" xfId="3545"/>
    <cellStyle name="Comma 2 3 3 7" xfId="4443"/>
    <cellStyle name="Comma 2 3 4" xfId="1135"/>
    <cellStyle name="Comma 2 3 4 2" xfId="1558"/>
    <cellStyle name="Comma 2 3 4 3" xfId="1789"/>
    <cellStyle name="Comma 2 3 4 4" xfId="2117"/>
    <cellStyle name="Comma 2 3 4 5" xfId="3244"/>
    <cellStyle name="Comma 2 3 4 6" xfId="4023"/>
    <cellStyle name="Comma 2 3 4 7" xfId="4827"/>
    <cellStyle name="Comma 2 3 5" xfId="8232"/>
    <cellStyle name="Comma 2 30" xfId="7125"/>
    <cellStyle name="Comma 2 4" xfId="828"/>
    <cellStyle name="Comma 2 4 2" xfId="1074"/>
    <cellStyle name="Comma 2 4 2 2" xfId="1498"/>
    <cellStyle name="Comma 2 4 2 3" xfId="1731"/>
    <cellStyle name="Comma 2 4 2 4" xfId="2059"/>
    <cellStyle name="Comma 2 4 2 5" xfId="3184"/>
    <cellStyle name="Comma 2 4 2 6" xfId="3061"/>
    <cellStyle name="Comma 2 4 2 7" xfId="2735"/>
    <cellStyle name="Comma 2 4 3" xfId="1117"/>
    <cellStyle name="Comma 2 4 3 2" xfId="1540"/>
    <cellStyle name="Comma 2 4 3 3" xfId="1772"/>
    <cellStyle name="Comma 2 4 3 4" xfId="2100"/>
    <cellStyle name="Comma 2 4 3 5" xfId="3227"/>
    <cellStyle name="Comma 2 4 3 6" xfId="2809"/>
    <cellStyle name="Comma 2 4 3 7" xfId="3483"/>
    <cellStyle name="Comma 2 4 4" xfId="1152"/>
    <cellStyle name="Comma 2 4 4 2" xfId="1575"/>
    <cellStyle name="Comma 2 4 4 3" xfId="1806"/>
    <cellStyle name="Comma 2 4 4 4" xfId="2134"/>
    <cellStyle name="Comma 2 4 4 5" xfId="3261"/>
    <cellStyle name="Comma 2 4 4 6" xfId="3654"/>
    <cellStyle name="Comma 2 4 4 7" xfId="4531"/>
    <cellStyle name="Comma 2 5" xfId="820"/>
    <cellStyle name="Comma 2 6" xfId="6874"/>
    <cellStyle name="Comma 2 7" xfId="6908"/>
    <cellStyle name="Comma 2 8" xfId="6938"/>
    <cellStyle name="Comma 2 9" xfId="6969"/>
    <cellStyle name="Comma 20" xfId="8233"/>
    <cellStyle name="Comma 21" xfId="8234"/>
    <cellStyle name="Comma 22" xfId="8235"/>
    <cellStyle name="Comma 23" xfId="8236"/>
    <cellStyle name="Comma 24" xfId="8237"/>
    <cellStyle name="Comma 25" xfId="8238"/>
    <cellStyle name="Comma 26" xfId="8239"/>
    <cellStyle name="Comma 27" xfId="8211"/>
    <cellStyle name="Comma 3" xfId="8240"/>
    <cellStyle name="Comma 3 2" xfId="8241"/>
    <cellStyle name="Comma 3 3" xfId="8242"/>
    <cellStyle name="Comma 4" xfId="7083"/>
    <cellStyle name="Comma 4 2" xfId="8244"/>
    <cellStyle name="Comma 4 3" xfId="8245"/>
    <cellStyle name="Comma 4 3 2" xfId="8246"/>
    <cellStyle name="Comma 4 4" xfId="8247"/>
    <cellStyle name="Comma 4 5" xfId="8243"/>
    <cellStyle name="Comma 5" xfId="8248"/>
    <cellStyle name="Comma 5 2" xfId="8249"/>
    <cellStyle name="Comma 6" xfId="7096"/>
    <cellStyle name="Comma 7" xfId="8250"/>
    <cellStyle name="Comma 8" xfId="7097"/>
    <cellStyle name="Comma 8 2" xfId="8251"/>
    <cellStyle name="Comma 9" xfId="8252"/>
    <cellStyle name="Comma0" xfId="22"/>
    <cellStyle name="Comma0 - Style1" xfId="23"/>
    <cellStyle name="Comma0 - Style2" xfId="24"/>
    <cellStyle name="Comma0 - Style3" xfId="25"/>
    <cellStyle name="Comma0 - Style4" xfId="26"/>
    <cellStyle name="Comma0 10" xfId="521"/>
    <cellStyle name="Comma0 11" xfId="530"/>
    <cellStyle name="Comma0 12" xfId="539"/>
    <cellStyle name="Comma0 13" xfId="548"/>
    <cellStyle name="Comma0 14" xfId="557"/>
    <cellStyle name="Comma0 15" xfId="566"/>
    <cellStyle name="Comma0 16" xfId="575"/>
    <cellStyle name="Comma0 17" xfId="584"/>
    <cellStyle name="Comma0 18" xfId="593"/>
    <cellStyle name="Comma0 19" xfId="602"/>
    <cellStyle name="Comma0 2" xfId="137"/>
    <cellStyle name="Comma0 2 10" xfId="1186"/>
    <cellStyle name="Comma0 2 11" xfId="1314"/>
    <cellStyle name="Comma0 2 12" xfId="1840"/>
    <cellStyle name="Comma0 2 13" xfId="2541"/>
    <cellStyle name="Comma0 2 14" xfId="3757"/>
    <cellStyle name="Comma0 2 15" xfId="4605"/>
    <cellStyle name="Comma0 2 2" xfId="386"/>
    <cellStyle name="Comma0 2 2 2" xfId="448"/>
    <cellStyle name="Comma0 2 2 3" xfId="872"/>
    <cellStyle name="Comma0 2 2 4" xfId="967"/>
    <cellStyle name="Comma0 2 2 4 2" xfId="1401"/>
    <cellStyle name="Comma0 2 2 4 3" xfId="1638"/>
    <cellStyle name="Comma0 2 2 4 4" xfId="1966"/>
    <cellStyle name="Comma0 2 2 4 5" xfId="3081"/>
    <cellStyle name="Comma0 2 2 4 6" xfId="4008"/>
    <cellStyle name="Comma0 2 2 4 7" xfId="4820"/>
    <cellStyle name="Comma0 2 2 5" xfId="995"/>
    <cellStyle name="Comma0 2 2 5 2" xfId="1426"/>
    <cellStyle name="Comma0 2 2 5 3" xfId="1663"/>
    <cellStyle name="Comma0 2 2 5 4" xfId="1991"/>
    <cellStyle name="Comma0 2 2 5 5" xfId="3108"/>
    <cellStyle name="Comma0 2 2 5 6" xfId="2683"/>
    <cellStyle name="Comma0 2 2 5 7" xfId="3056"/>
    <cellStyle name="Comma0 2 2 6" xfId="1019"/>
    <cellStyle name="Comma0 2 2 6 2" xfId="1446"/>
    <cellStyle name="Comma0 2 2 6 3" xfId="1682"/>
    <cellStyle name="Comma0 2 2 6 4" xfId="2010"/>
    <cellStyle name="Comma0 2 2 6 5" xfId="3130"/>
    <cellStyle name="Comma0 2 2 6 6" xfId="4024"/>
    <cellStyle name="Comma0 2 2 6 7" xfId="4828"/>
    <cellStyle name="Comma0 2 3" xfId="785"/>
    <cellStyle name="Comma0 2 3 2" xfId="1053"/>
    <cellStyle name="Comma0 2 3 2 2" xfId="1478"/>
    <cellStyle name="Comma0 2 3 2 3" xfId="1711"/>
    <cellStyle name="Comma0 2 3 2 4" xfId="2039"/>
    <cellStyle name="Comma0 2 3 2 5" xfId="3163"/>
    <cellStyle name="Comma0 2 3 2 6" xfId="3682"/>
    <cellStyle name="Comma0 2 3 2 7" xfId="4552"/>
    <cellStyle name="Comma0 2 3 3" xfId="1097"/>
    <cellStyle name="Comma0 2 3 3 2" xfId="1520"/>
    <cellStyle name="Comma0 2 3 3 3" xfId="1752"/>
    <cellStyle name="Comma0 2 3 3 4" xfId="2080"/>
    <cellStyle name="Comma0 2 3 3 5" xfId="3207"/>
    <cellStyle name="Comma0 2 3 3 6" xfId="2952"/>
    <cellStyle name="Comma0 2 3 3 7" xfId="2733"/>
    <cellStyle name="Comma0 2 3 4" xfId="1136"/>
    <cellStyle name="Comma0 2 3 4 2" xfId="1559"/>
    <cellStyle name="Comma0 2 3 4 3" xfId="1790"/>
    <cellStyle name="Comma0 2 3 4 4" xfId="2118"/>
    <cellStyle name="Comma0 2 3 4 5" xfId="3245"/>
    <cellStyle name="Comma0 2 3 4 6" xfId="3764"/>
    <cellStyle name="Comma0 2 3 4 7" xfId="4610"/>
    <cellStyle name="Comma0 2 4" xfId="829"/>
    <cellStyle name="Comma0 2 4 2" xfId="1075"/>
    <cellStyle name="Comma0 2 4 2 2" xfId="1499"/>
    <cellStyle name="Comma0 2 4 2 3" xfId="1732"/>
    <cellStyle name="Comma0 2 4 2 4" xfId="2060"/>
    <cellStyle name="Comma0 2 4 2 5" xfId="3185"/>
    <cellStyle name="Comma0 2 4 2 6" xfId="3040"/>
    <cellStyle name="Comma0 2 4 2 7" xfId="3996"/>
    <cellStyle name="Comma0 2 4 3" xfId="1118"/>
    <cellStyle name="Comma0 2 4 3 2" xfId="1541"/>
    <cellStyle name="Comma0 2 4 3 3" xfId="1773"/>
    <cellStyle name="Comma0 2 4 3 4" xfId="2101"/>
    <cellStyle name="Comma0 2 4 3 5" xfId="3228"/>
    <cellStyle name="Comma0 2 4 3 6" xfId="2803"/>
    <cellStyle name="Comma0 2 4 3 7" xfId="2882"/>
    <cellStyle name="Comma0 2 4 4" xfId="1153"/>
    <cellStyle name="Comma0 2 4 4 2" xfId="1576"/>
    <cellStyle name="Comma0 2 4 4 3" xfId="1807"/>
    <cellStyle name="Comma0 2 4 4 4" xfId="2135"/>
    <cellStyle name="Comma0 2 4 4 5" xfId="3262"/>
    <cellStyle name="Comma0 2 4 4 6" xfId="3481"/>
    <cellStyle name="Comma0 2 4 4 7" xfId="4390"/>
    <cellStyle name="Comma0 2 5" xfId="819"/>
    <cellStyle name="Comma0 2 6" xfId="402"/>
    <cellStyle name="Comma0 2 7" xfId="911"/>
    <cellStyle name="Comma0 2 8" xfId="991"/>
    <cellStyle name="Comma0 2 9" xfId="917"/>
    <cellStyle name="Comma0 20" xfId="611"/>
    <cellStyle name="Comma0 21" xfId="620"/>
    <cellStyle name="Comma0 22" xfId="629"/>
    <cellStyle name="Comma0 23" xfId="638"/>
    <cellStyle name="Comma0 24" xfId="647"/>
    <cellStyle name="Comma0 25" xfId="655"/>
    <cellStyle name="Comma0 26" xfId="664"/>
    <cellStyle name="Comma0 27" xfId="673"/>
    <cellStyle name="Comma0 28" xfId="682"/>
    <cellStyle name="Comma0 29" xfId="691"/>
    <cellStyle name="Comma0 3" xfId="149"/>
    <cellStyle name="Comma0 3 2" xfId="456"/>
    <cellStyle name="Comma0 3 3" xfId="792"/>
    <cellStyle name="Comma0 3 4" xfId="836"/>
    <cellStyle name="Comma0 3 5" xfId="812"/>
    <cellStyle name="Comma0 3 6" xfId="954"/>
    <cellStyle name="Comma0 3 6 2" xfId="1388"/>
    <cellStyle name="Comma0 3 6 3" xfId="1625"/>
    <cellStyle name="Comma0 3 6 4" xfId="1953"/>
    <cellStyle name="Comma0 3 6 5" xfId="3068"/>
    <cellStyle name="Comma0 3 6 6" xfId="2855"/>
    <cellStyle name="Comma0 3 6 7" xfId="3906"/>
    <cellStyle name="Comma0 3 7" xfId="1082"/>
    <cellStyle name="Comma0 3 7 2" xfId="1506"/>
    <cellStyle name="Comma0 3 7 3" xfId="1739"/>
    <cellStyle name="Comma0 3 7 4" xfId="2067"/>
    <cellStyle name="Comma0 3 7 5" xfId="3192"/>
    <cellStyle name="Comma0 3 7 6" xfId="3749"/>
    <cellStyle name="Comma0 3 7 7" xfId="4601"/>
    <cellStyle name="Comma0 3 8" xfId="1125"/>
    <cellStyle name="Comma0 3 8 2" xfId="1548"/>
    <cellStyle name="Comma0 3 8 3" xfId="1780"/>
    <cellStyle name="Comma0 3 8 4" xfId="2108"/>
    <cellStyle name="Comma0 3 8 5" xfId="3235"/>
    <cellStyle name="Comma0 3 8 6" xfId="2544"/>
    <cellStyle name="Comma0 3 8 7" xfId="3568"/>
    <cellStyle name="Comma0 30" xfId="700"/>
    <cellStyle name="Comma0 31" xfId="709"/>
    <cellStyle name="Comma0 32" xfId="718"/>
    <cellStyle name="Comma0 33" xfId="727"/>
    <cellStyle name="Comma0 34" xfId="736"/>
    <cellStyle name="Comma0 35" xfId="744"/>
    <cellStyle name="Comma0 36" xfId="751"/>
    <cellStyle name="Comma0 37" xfId="757"/>
    <cellStyle name="Comma0 38" xfId="763"/>
    <cellStyle name="Comma0 39" xfId="769"/>
    <cellStyle name="Comma0 4" xfId="164"/>
    <cellStyle name="Comma0 40" xfId="442"/>
    <cellStyle name="Comma0 40 2" xfId="960"/>
    <cellStyle name="Comma0 40 2 2" xfId="1394"/>
    <cellStyle name="Comma0 40 2 3" xfId="1631"/>
    <cellStyle name="Comma0 40 2 4" xfId="1959"/>
    <cellStyle name="Comma0 40 2 5" xfId="3074"/>
    <cellStyle name="Comma0 40 2 6" xfId="3060"/>
    <cellStyle name="Comma0 40 2 7" xfId="2958"/>
    <cellStyle name="Comma0 40 3" xfId="1006"/>
    <cellStyle name="Comma0 40 3 2" xfId="1434"/>
    <cellStyle name="Comma0 40 3 3" xfId="1671"/>
    <cellStyle name="Comma0 40 3 4" xfId="1999"/>
    <cellStyle name="Comma0 40 3 5" xfId="3119"/>
    <cellStyle name="Comma0 40 3 6" xfId="2787"/>
    <cellStyle name="Comma0 40 3 7" xfId="2971"/>
    <cellStyle name="Comma0 40 4" xfId="974"/>
    <cellStyle name="Comma0 40 4 2" xfId="1408"/>
    <cellStyle name="Comma0 40 4 3" xfId="1645"/>
    <cellStyle name="Comma0 40 4 4" xfId="1973"/>
    <cellStyle name="Comma0 40 4 5" xfId="3088"/>
    <cellStyle name="Comma0 40 4 6" xfId="4021"/>
    <cellStyle name="Comma0 40 4 7" xfId="4826"/>
    <cellStyle name="Comma0 41" xfId="806"/>
    <cellStyle name="Comma0 41 2" xfId="1063"/>
    <cellStyle name="Comma0 41 2 2" xfId="1488"/>
    <cellStyle name="Comma0 41 2 3" xfId="1721"/>
    <cellStyle name="Comma0 41 2 4" xfId="2049"/>
    <cellStyle name="Comma0 41 2 5" xfId="3173"/>
    <cellStyle name="Comma0 41 2 6" xfId="2887"/>
    <cellStyle name="Comma0 41 2 7" xfId="3322"/>
    <cellStyle name="Comma0 41 3" xfId="1107"/>
    <cellStyle name="Comma0 41 3 2" xfId="1530"/>
    <cellStyle name="Comma0 41 3 3" xfId="1762"/>
    <cellStyle name="Comma0 41 3 4" xfId="2090"/>
    <cellStyle name="Comma0 41 3 5" xfId="3217"/>
    <cellStyle name="Comma0 41 3 6" xfId="3001"/>
    <cellStyle name="Comma0 41 3 7" xfId="3668"/>
    <cellStyle name="Comma0 41 4" xfId="1143"/>
    <cellStyle name="Comma0 41 4 2" xfId="1566"/>
    <cellStyle name="Comma0 41 4 3" xfId="1797"/>
    <cellStyle name="Comma0 41 4 4" xfId="2125"/>
    <cellStyle name="Comma0 41 4 5" xfId="3252"/>
    <cellStyle name="Comma0 41 4 6" xfId="3551"/>
    <cellStyle name="Comma0 41 4 7" xfId="4447"/>
    <cellStyle name="Comma0 42" xfId="5784"/>
    <cellStyle name="Comma0 43" xfId="5806"/>
    <cellStyle name="Comma0 44" xfId="5813"/>
    <cellStyle name="Comma0 45" xfId="5823"/>
    <cellStyle name="Comma0 46" xfId="6593"/>
    <cellStyle name="Comma0 47" xfId="6388"/>
    <cellStyle name="Comma0 48" xfId="5834"/>
    <cellStyle name="Comma0 49" xfId="6313"/>
    <cellStyle name="Comma0 5" xfId="256"/>
    <cellStyle name="Comma0 50" xfId="6823"/>
    <cellStyle name="Comma0 51" xfId="6190"/>
    <cellStyle name="Comma0 52" xfId="6745"/>
    <cellStyle name="Comma0 53" xfId="6467"/>
    <cellStyle name="Comma0 54" xfId="6748"/>
    <cellStyle name="Comma0 55" xfId="8253"/>
    <cellStyle name="Comma0 6" xfId="488"/>
    <cellStyle name="Comma0 7" xfId="496"/>
    <cellStyle name="Comma0 8" xfId="504"/>
    <cellStyle name="Comma0 9" xfId="512"/>
    <cellStyle name="Comma0_5.1 - NPC Adjust March Semi" xfId="8254"/>
    <cellStyle name="Comma1 - Style1" xfId="27"/>
    <cellStyle name="Curren - Style2" xfId="28"/>
    <cellStyle name="Curren - Style3" xfId="29"/>
    <cellStyle name="Currency 2" xfId="8256"/>
    <cellStyle name="Currency 2 2" xfId="8257"/>
    <cellStyle name="Currency 3" xfId="8258"/>
    <cellStyle name="Currency 4" xfId="8259"/>
    <cellStyle name="Currency 5" xfId="8260"/>
    <cellStyle name="Currency 6" xfId="8255"/>
    <cellStyle name="Currency No Comma" xfId="8261"/>
    <cellStyle name="Currency(0)" xfId="30"/>
    <cellStyle name="Currency0" xfId="31"/>
    <cellStyle name="Currency0 10" xfId="517"/>
    <cellStyle name="Currency0 11" xfId="526"/>
    <cellStyle name="Currency0 12" xfId="535"/>
    <cellStyle name="Currency0 13" xfId="544"/>
    <cellStyle name="Currency0 14" xfId="553"/>
    <cellStyle name="Currency0 15" xfId="562"/>
    <cellStyle name="Currency0 16" xfId="571"/>
    <cellStyle name="Currency0 17" xfId="580"/>
    <cellStyle name="Currency0 18" xfId="589"/>
    <cellStyle name="Currency0 19" xfId="598"/>
    <cellStyle name="Currency0 2" xfId="138"/>
    <cellStyle name="Currency0 2 10" xfId="1187"/>
    <cellStyle name="Currency0 2 11" xfId="1306"/>
    <cellStyle name="Currency0 2 12" xfId="1841"/>
    <cellStyle name="Currency0 2 13" xfId="2547"/>
    <cellStyle name="Currency0 2 14" xfId="3541"/>
    <cellStyle name="Currency0 2 15" xfId="4439"/>
    <cellStyle name="Currency0 2 2" xfId="388"/>
    <cellStyle name="Currency0 2 2 2" xfId="449"/>
    <cellStyle name="Currency0 2 2 3" xfId="873"/>
    <cellStyle name="Currency0 2 2 4" xfId="968"/>
    <cellStyle name="Currency0 2 2 4 2" xfId="1402"/>
    <cellStyle name="Currency0 2 2 4 3" xfId="1639"/>
    <cellStyle name="Currency0 2 2 4 4" xfId="1967"/>
    <cellStyle name="Currency0 2 2 4 5" xfId="3082"/>
    <cellStyle name="Currency0 2 2 4 6" xfId="3750"/>
    <cellStyle name="Currency0 2 2 4 7" xfId="4602"/>
    <cellStyle name="Currency0 2 2 5" xfId="993"/>
    <cellStyle name="Currency0 2 2 5 2" xfId="1424"/>
    <cellStyle name="Currency0 2 2 5 3" xfId="1661"/>
    <cellStyle name="Currency0 2 2 5 4" xfId="1989"/>
    <cellStyle name="Currency0 2 2 5 5" xfId="3106"/>
    <cellStyle name="Currency0 2 2 5 6" xfId="3002"/>
    <cellStyle name="Currency0 2 2 5 7" xfId="3503"/>
    <cellStyle name="Currency0 2 2 6" xfId="1034"/>
    <cellStyle name="Currency0 2 2 6 2" xfId="1459"/>
    <cellStyle name="Currency0 2 2 6 3" xfId="1693"/>
    <cellStyle name="Currency0 2 2 6 4" xfId="2021"/>
    <cellStyle name="Currency0 2 2 6 5" xfId="3143"/>
    <cellStyle name="Currency0 2 2 6 6" xfId="3492"/>
    <cellStyle name="Currency0 2 2 6 7" xfId="4396"/>
    <cellStyle name="Currency0 2 3" xfId="786"/>
    <cellStyle name="Currency0 2 3 2" xfId="1054"/>
    <cellStyle name="Currency0 2 3 2 2" xfId="1479"/>
    <cellStyle name="Currency0 2 3 2 3" xfId="1712"/>
    <cellStyle name="Currency0 2 3 2 4" xfId="2040"/>
    <cellStyle name="Currency0 2 3 2 5" xfId="3164"/>
    <cellStyle name="Currency0 2 3 2 6" xfId="3517"/>
    <cellStyle name="Currency0 2 3 2 7" xfId="4415"/>
    <cellStyle name="Currency0 2 3 3" xfId="1098"/>
    <cellStyle name="Currency0 2 3 3 2" xfId="1521"/>
    <cellStyle name="Currency0 2 3 3 3" xfId="1753"/>
    <cellStyle name="Currency0 2 3 3 4" xfId="2081"/>
    <cellStyle name="Currency0 2 3 3 5" xfId="3208"/>
    <cellStyle name="Currency0 2 3 3 6" xfId="3950"/>
    <cellStyle name="Currency0 2 3 3 7" xfId="4781"/>
    <cellStyle name="Currency0 2 3 4" xfId="1137"/>
    <cellStyle name="Currency0 2 3 4 2" xfId="1560"/>
    <cellStyle name="Currency0 2 3 4 3" xfId="1791"/>
    <cellStyle name="Currency0 2 3 4 4" xfId="2119"/>
    <cellStyle name="Currency0 2 3 4 5" xfId="3246"/>
    <cellStyle name="Currency0 2 3 4 6" xfId="3597"/>
    <cellStyle name="Currency0 2 3 4 7" xfId="4480"/>
    <cellStyle name="Currency0 2 4" xfId="830"/>
    <cellStyle name="Currency0 2 4 2" xfId="1076"/>
    <cellStyle name="Currency0 2 4 2 2" xfId="1500"/>
    <cellStyle name="Currency0 2 4 2 3" xfId="1733"/>
    <cellStyle name="Currency0 2 4 2 4" xfId="2061"/>
    <cellStyle name="Currency0 2 4 2 5" xfId="3186"/>
    <cellStyle name="Currency0 2 4 2 6" xfId="2737"/>
    <cellStyle name="Currency0 2 4 2 7" xfId="4004"/>
    <cellStyle name="Currency0 2 4 3" xfId="1119"/>
    <cellStyle name="Currency0 2 4 3 2" xfId="1542"/>
    <cellStyle name="Currency0 2 4 3 3" xfId="1774"/>
    <cellStyle name="Currency0 2 4 3 4" xfId="2102"/>
    <cellStyle name="Currency0 2 4 3 5" xfId="3229"/>
    <cellStyle name="Currency0 2 4 3 6" xfId="2796"/>
    <cellStyle name="Currency0 2 4 3 7" xfId="2947"/>
    <cellStyle name="Currency0 2 4 4" xfId="1154"/>
    <cellStyle name="Currency0 2 4 4 2" xfId="1577"/>
    <cellStyle name="Currency0 2 4 4 3" xfId="1808"/>
    <cellStyle name="Currency0 2 4 4 4" xfId="2136"/>
    <cellStyle name="Currency0 2 4 4 5" xfId="3263"/>
    <cellStyle name="Currency0 2 4 4 6" xfId="2723"/>
    <cellStyle name="Currency0 2 4 4 7" xfId="2590"/>
    <cellStyle name="Currency0 2 5" xfId="818"/>
    <cellStyle name="Currency0 2 6" xfId="467"/>
    <cellStyle name="Currency0 2 7" xfId="914"/>
    <cellStyle name="Currency0 2 8" xfId="947"/>
    <cellStyle name="Currency0 2 9" xfId="925"/>
    <cellStyle name="Currency0 20" xfId="607"/>
    <cellStyle name="Currency0 21" xfId="616"/>
    <cellStyle name="Currency0 22" xfId="625"/>
    <cellStyle name="Currency0 23" xfId="634"/>
    <cellStyle name="Currency0 24" xfId="643"/>
    <cellStyle name="Currency0 25" xfId="651"/>
    <cellStyle name="Currency0 26" xfId="660"/>
    <cellStyle name="Currency0 27" xfId="669"/>
    <cellStyle name="Currency0 28" xfId="678"/>
    <cellStyle name="Currency0 29" xfId="687"/>
    <cellStyle name="Currency0 3" xfId="150"/>
    <cellStyle name="Currency0 3 2" xfId="460"/>
    <cellStyle name="Currency0 3 3" xfId="793"/>
    <cellStyle name="Currency0 3 4" xfId="838"/>
    <cellStyle name="Currency0 3 5" xfId="854"/>
    <cellStyle name="Currency0 3 6" xfId="957"/>
    <cellStyle name="Currency0 3 6 2" xfId="1391"/>
    <cellStyle name="Currency0 3 6 3" xfId="1628"/>
    <cellStyle name="Currency0 3 6 4" xfId="1956"/>
    <cellStyle name="Currency0 3 6 5" xfId="3071"/>
    <cellStyle name="Currency0 3 6 6" xfId="2840"/>
    <cellStyle name="Currency0 3 6 7" xfId="2970"/>
    <cellStyle name="Currency0 3 7" xfId="1015"/>
    <cellStyle name="Currency0 3 7 2" xfId="1443"/>
    <cellStyle name="Currency0 3 7 3" xfId="1680"/>
    <cellStyle name="Currency0 3 7 4" xfId="2008"/>
    <cellStyle name="Currency0 3 7 5" xfId="3128"/>
    <cellStyle name="Currency0 3 7 6" xfId="2762"/>
    <cellStyle name="Currency0 3 7 7" xfId="2578"/>
    <cellStyle name="Currency0 3 8" xfId="1042"/>
    <cellStyle name="Currency0 3 8 2" xfId="1466"/>
    <cellStyle name="Currency0 3 8 3" xfId="1699"/>
    <cellStyle name="Currency0 3 8 4" xfId="2027"/>
    <cellStyle name="Currency0 3 8 5" xfId="3151"/>
    <cellStyle name="Currency0 3 8 6" xfId="2929"/>
    <cellStyle name="Currency0 3 8 7" xfId="3547"/>
    <cellStyle name="Currency0 30" xfId="696"/>
    <cellStyle name="Currency0 31" xfId="705"/>
    <cellStyle name="Currency0 32" xfId="714"/>
    <cellStyle name="Currency0 33" xfId="723"/>
    <cellStyle name="Currency0 34" xfId="732"/>
    <cellStyle name="Currency0 35" xfId="741"/>
    <cellStyle name="Currency0 36" xfId="749"/>
    <cellStyle name="Currency0 37" xfId="756"/>
    <cellStyle name="Currency0 38" xfId="762"/>
    <cellStyle name="Currency0 39" xfId="768"/>
    <cellStyle name="Currency0 4" xfId="163"/>
    <cellStyle name="Currency0 40" xfId="438"/>
    <cellStyle name="Currency0 40 2" xfId="956"/>
    <cellStyle name="Currency0 40 2 2" xfId="1390"/>
    <cellStyle name="Currency0 40 2 3" xfId="1627"/>
    <cellStyle name="Currency0 40 2 4" xfId="1955"/>
    <cellStyle name="Currency0 40 2 5" xfId="3070"/>
    <cellStyle name="Currency0 40 2 6" xfId="2846"/>
    <cellStyle name="Currency0 40 2 7" xfId="3704"/>
    <cellStyle name="Currency0 40 3" xfId="975"/>
    <cellStyle name="Currency0 40 3 2" xfId="1409"/>
    <cellStyle name="Currency0 40 3 3" xfId="1646"/>
    <cellStyle name="Currency0 40 3 4" xfId="1974"/>
    <cellStyle name="Currency0 40 3 5" xfId="3089"/>
    <cellStyle name="Currency0 40 3 6" xfId="3761"/>
    <cellStyle name="Currency0 40 3 7" xfId="4609"/>
    <cellStyle name="Currency0 40 4" xfId="977"/>
    <cellStyle name="Currency0 40 4 2" xfId="1411"/>
    <cellStyle name="Currency0 40 4 3" xfId="1648"/>
    <cellStyle name="Currency0 40 4 4" xfId="1976"/>
    <cellStyle name="Currency0 40 4 5" xfId="3091"/>
    <cellStyle name="Currency0 40 4 6" xfId="3993"/>
    <cellStyle name="Currency0 40 4 7" xfId="4812"/>
    <cellStyle name="Currency0 41" xfId="807"/>
    <cellStyle name="Currency0 41 2" xfId="1064"/>
    <cellStyle name="Currency0 41 2 2" xfId="1489"/>
    <cellStyle name="Currency0 41 2 3" xfId="1722"/>
    <cellStyle name="Currency0 41 2 4" xfId="2050"/>
    <cellStyle name="Currency0 41 2 5" xfId="3174"/>
    <cellStyle name="Currency0 41 2 6" xfId="2881"/>
    <cellStyle name="Currency0 41 2 7" xfId="2751"/>
    <cellStyle name="Currency0 41 3" xfId="1108"/>
    <cellStyle name="Currency0 41 3 2" xfId="1531"/>
    <cellStyle name="Currency0 41 3 3" xfId="1763"/>
    <cellStyle name="Currency0 41 3 4" xfId="2091"/>
    <cellStyle name="Currency0 41 3 5" xfId="3218"/>
    <cellStyle name="Currency0 41 3 6" xfId="2728"/>
    <cellStyle name="Currency0 41 3 7" xfId="2588"/>
    <cellStyle name="Currency0 41 4" xfId="1144"/>
    <cellStyle name="Currency0 41 4 2" xfId="1567"/>
    <cellStyle name="Currency0 41 4 3" xfId="1798"/>
    <cellStyle name="Currency0 41 4 4" xfId="2126"/>
    <cellStyle name="Currency0 41 4 5" xfId="3253"/>
    <cellStyle name="Currency0 41 4 6" xfId="2967"/>
    <cellStyle name="Currency0 41 4 7" xfId="3703"/>
    <cellStyle name="Currency0 42" xfId="5790"/>
    <cellStyle name="Currency0 43" xfId="5803"/>
    <cellStyle name="Currency0 44" xfId="5810"/>
    <cellStyle name="Currency0 45" xfId="5825"/>
    <cellStyle name="Currency0 46" xfId="6888"/>
    <cellStyle name="Currency0 47" xfId="6922"/>
    <cellStyle name="Currency0 48" xfId="6217"/>
    <cellStyle name="Currency0 49" xfId="6979"/>
    <cellStyle name="Currency0 5" xfId="263"/>
    <cellStyle name="Currency0 50" xfId="7006"/>
    <cellStyle name="Currency0 51" xfId="6770"/>
    <cellStyle name="Currency0 52" xfId="7043"/>
    <cellStyle name="Currency0 53" xfId="7059"/>
    <cellStyle name="Currency0 54" xfId="7073"/>
    <cellStyle name="Currency0 55" xfId="8262"/>
    <cellStyle name="Currency0 6" xfId="484"/>
    <cellStyle name="Currency0 7" xfId="492"/>
    <cellStyle name="Currency0 8" xfId="500"/>
    <cellStyle name="Currency0 9" xfId="508"/>
    <cellStyle name="Custom - Style8" xfId="265"/>
    <cellStyle name="Data   - Style2" xfId="266"/>
    <cellStyle name="Data   - Style2 2" xfId="7717"/>
    <cellStyle name="Data   - Style2 3" xfId="7862"/>
    <cellStyle name="Date" xfId="32"/>
    <cellStyle name="Date - Style1" xfId="33"/>
    <cellStyle name="Date - Style3" xfId="34"/>
    <cellStyle name="Date 10" xfId="515"/>
    <cellStyle name="Date 11" xfId="524"/>
    <cellStyle name="Date 12" xfId="533"/>
    <cellStyle name="Date 13" xfId="542"/>
    <cellStyle name="Date 14" xfId="551"/>
    <cellStyle name="Date 15" xfId="560"/>
    <cellStyle name="Date 16" xfId="569"/>
    <cellStyle name="Date 17" xfId="578"/>
    <cellStyle name="Date 18" xfId="587"/>
    <cellStyle name="Date 19" xfId="596"/>
    <cellStyle name="Date 2" xfId="139"/>
    <cellStyle name="Date 2 10" xfId="1188"/>
    <cellStyle name="Date 2 11" xfId="1227"/>
    <cellStyle name="Date 2 12" xfId="1842"/>
    <cellStyle name="Date 2 13" xfId="2553"/>
    <cellStyle name="Date 2 14" xfId="2995"/>
    <cellStyle name="Date 2 15" xfId="3722"/>
    <cellStyle name="Date 2 2" xfId="390"/>
    <cellStyle name="Date 2 2 2" xfId="450"/>
    <cellStyle name="Date 2 2 3" xfId="874"/>
    <cellStyle name="Date 2 2 4" xfId="969"/>
    <cellStyle name="Date 2 2 4 2" xfId="1403"/>
    <cellStyle name="Date 2 2 4 3" xfId="1640"/>
    <cellStyle name="Date 2 2 4 4" xfId="1968"/>
    <cellStyle name="Date 2 2 4 5" xfId="3083"/>
    <cellStyle name="Date 2 2 4 6" xfId="3587"/>
    <cellStyle name="Date 2 2 4 7" xfId="4472"/>
    <cellStyle name="Date 2 2 5" xfId="992"/>
    <cellStyle name="Date 2 2 5 2" xfId="1423"/>
    <cellStyle name="Date 2 2 5 3" xfId="1660"/>
    <cellStyle name="Date 2 2 5 4" xfId="1988"/>
    <cellStyle name="Date 2 2 5 5" xfId="3105"/>
    <cellStyle name="Date 2 2 5 6" xfId="3489"/>
    <cellStyle name="Date 2 2 5 7" xfId="4393"/>
    <cellStyle name="Date 2 2 6" xfId="980"/>
    <cellStyle name="Date 2 2 6 2" xfId="1413"/>
    <cellStyle name="Date 2 2 6 3" xfId="1650"/>
    <cellStyle name="Date 2 2 6 4" xfId="1978"/>
    <cellStyle name="Date 2 2 6 5" xfId="3094"/>
    <cellStyle name="Date 2 2 6 6" xfId="3964"/>
    <cellStyle name="Date 2 2 6 7" xfId="4794"/>
    <cellStyle name="Date 2 3" xfId="787"/>
    <cellStyle name="Date 2 3 2" xfId="1055"/>
    <cellStyle name="Date 2 3 2 2" xfId="1480"/>
    <cellStyle name="Date 2 3 2 3" xfId="1713"/>
    <cellStyle name="Date 2 3 2 4" xfId="2041"/>
    <cellStyle name="Date 2 3 2 5" xfId="3165"/>
    <cellStyle name="Date 2 3 2 6" xfId="3903"/>
    <cellStyle name="Date 2 3 2 7" xfId="4745"/>
    <cellStyle name="Date 2 3 3" xfId="1099"/>
    <cellStyle name="Date 2 3 3 2" xfId="1522"/>
    <cellStyle name="Date 2 3 3 3" xfId="1754"/>
    <cellStyle name="Date 2 3 3 4" xfId="2082"/>
    <cellStyle name="Date 2 3 3 5" xfId="3209"/>
    <cellStyle name="Date 2 3 3 6" xfId="3694"/>
    <cellStyle name="Date 2 3 3 7" xfId="4563"/>
    <cellStyle name="Date 2 3 4" xfId="1138"/>
    <cellStyle name="Date 2 3 4 2" xfId="1561"/>
    <cellStyle name="Date 2 3 4 3" xfId="1792"/>
    <cellStyle name="Date 2 3 4 4" xfId="2120"/>
    <cellStyle name="Date 2 3 4 5" xfId="3247"/>
    <cellStyle name="Date 2 3 4 6" xfId="3998"/>
    <cellStyle name="Date 2 3 4 7" xfId="4814"/>
    <cellStyle name="Date 2 4" xfId="831"/>
    <cellStyle name="Date 2 4 2" xfId="1077"/>
    <cellStyle name="Date 2 4 2 2" xfId="1501"/>
    <cellStyle name="Date 2 4 2 3" xfId="1734"/>
    <cellStyle name="Date 2 4 2 4" xfId="2062"/>
    <cellStyle name="Date 2 4 2 5" xfId="3187"/>
    <cellStyle name="Date 2 4 2 6" xfId="2974"/>
    <cellStyle name="Date 2 4 2 7" xfId="2877"/>
    <cellStyle name="Date 2 4 3" xfId="1120"/>
    <cellStyle name="Date 2 4 3 2" xfId="1543"/>
    <cellStyle name="Date 2 4 3 3" xfId="1775"/>
    <cellStyle name="Date 2 4 3 4" xfId="2103"/>
    <cellStyle name="Date 2 4 3 5" xfId="3230"/>
    <cellStyle name="Date 2 4 3 6" xfId="2789"/>
    <cellStyle name="Date 2 4 3 7" xfId="4015"/>
    <cellStyle name="Date 2 4 4" xfId="1155"/>
    <cellStyle name="Date 2 4 4 2" xfId="1578"/>
    <cellStyle name="Date 2 4 4 3" xfId="1809"/>
    <cellStyle name="Date 2 4 4 4" xfId="2137"/>
    <cellStyle name="Date 2 4 4 5" xfId="3264"/>
    <cellStyle name="Date 2 4 4 6" xfId="2741"/>
    <cellStyle name="Date 2 4 4 7" xfId="3989"/>
    <cellStyle name="Date 2 5" xfId="817"/>
    <cellStyle name="Date 2 6" xfId="398"/>
    <cellStyle name="Date 2 7" xfId="916"/>
    <cellStyle name="Date 2 8" xfId="946"/>
    <cellStyle name="Date 2 9" xfId="927"/>
    <cellStyle name="Date 20" xfId="605"/>
    <cellStyle name="Date 21" xfId="614"/>
    <cellStyle name="Date 22" xfId="623"/>
    <cellStyle name="Date 23" xfId="632"/>
    <cellStyle name="Date 24" xfId="641"/>
    <cellStyle name="Date 25" xfId="649"/>
    <cellStyle name="Date 26" xfId="658"/>
    <cellStyle name="Date 27" xfId="667"/>
    <cellStyle name="Date 28" xfId="676"/>
    <cellStyle name="Date 29" xfId="685"/>
    <cellStyle name="Date 3" xfId="151"/>
    <cellStyle name="Date 3 2" xfId="462"/>
    <cellStyle name="Date 3 3" xfId="794"/>
    <cellStyle name="Date 3 4" xfId="839"/>
    <cellStyle name="Date 3 5" xfId="849"/>
    <cellStyle name="Date 3 6" xfId="958"/>
    <cellStyle name="Date 3 6 2" xfId="1392"/>
    <cellStyle name="Date 3 6 3" xfId="1629"/>
    <cellStyle name="Date 3 6 4" xfId="1957"/>
    <cellStyle name="Date 3 6 5" xfId="3072"/>
    <cellStyle name="Date 3 6 6" xfId="2834"/>
    <cellStyle name="Date 3 6 7" xfId="4026"/>
    <cellStyle name="Date 3 7" xfId="1011"/>
    <cellStyle name="Date 3 7 2" xfId="1439"/>
    <cellStyle name="Date 3 7 3" xfId="1676"/>
    <cellStyle name="Date 3 7 4" xfId="2004"/>
    <cellStyle name="Date 3 7 5" xfId="3124"/>
    <cellStyle name="Date 3 7 6" xfId="2550"/>
    <cellStyle name="Date 3 7 7" xfId="3092"/>
    <cellStyle name="Date 3 8" xfId="912"/>
    <cellStyle name="Date 3 8 2" xfId="1374"/>
    <cellStyle name="Date 3 8 3" xfId="1613"/>
    <cellStyle name="Date 3 8 4" xfId="1941"/>
    <cellStyle name="Date 3 8 5" xfId="3038"/>
    <cellStyle name="Date 3 8 6" xfId="3553"/>
    <cellStyle name="Date 3 8 7" xfId="4449"/>
    <cellStyle name="Date 30" xfId="694"/>
    <cellStyle name="Date 31" xfId="703"/>
    <cellStyle name="Date 32" xfId="712"/>
    <cellStyle name="Date 33" xfId="721"/>
    <cellStyle name="Date 34" xfId="730"/>
    <cellStyle name="Date 35" xfId="739"/>
    <cellStyle name="Date 36" xfId="747"/>
    <cellStyle name="Date 37" xfId="754"/>
    <cellStyle name="Date 38" xfId="760"/>
    <cellStyle name="Date 39" xfId="766"/>
    <cellStyle name="Date 4" xfId="162"/>
    <cellStyle name="Date 40" xfId="437"/>
    <cellStyle name="Date 40 2" xfId="955"/>
    <cellStyle name="Date 40 2 2" xfId="1389"/>
    <cellStyle name="Date 40 2 3" xfId="1626"/>
    <cellStyle name="Date 40 2 4" xfId="1954"/>
    <cellStyle name="Date 40 2 5" xfId="3069"/>
    <cellStyle name="Date 40 2 6" xfId="2852"/>
    <cellStyle name="Date 40 2 7" xfId="2883"/>
    <cellStyle name="Date 40 3" xfId="1060"/>
    <cellStyle name="Date 40 3 2" xfId="1485"/>
    <cellStyle name="Date 40 3 3" xfId="1718"/>
    <cellStyle name="Date 40 3 4" xfId="2046"/>
    <cellStyle name="Date 40 3 5" xfId="3170"/>
    <cellStyle name="Date 40 3 6" xfId="2957"/>
    <cellStyle name="Date 40 3 7" xfId="3743"/>
    <cellStyle name="Date 40 4" xfId="1104"/>
    <cellStyle name="Date 40 4 2" xfId="1527"/>
    <cellStyle name="Date 40 4 3" xfId="1759"/>
    <cellStyle name="Date 40 4 4" xfId="2087"/>
    <cellStyle name="Date 40 4 5" xfId="3214"/>
    <cellStyle name="Date 40 4 6" xfId="3910"/>
    <cellStyle name="Date 40 4 7" xfId="4749"/>
    <cellStyle name="Date 41" xfId="808"/>
    <cellStyle name="Date 41 2" xfId="1065"/>
    <cellStyle name="Date 41 2 2" xfId="1490"/>
    <cellStyle name="Date 41 2 3" xfId="1723"/>
    <cellStyle name="Date 41 2 4" xfId="2051"/>
    <cellStyle name="Date 41 2 5" xfId="3175"/>
    <cellStyle name="Date 41 2 6" xfId="2876"/>
    <cellStyle name="Date 41 2 7" xfId="2810"/>
    <cellStyle name="Date 41 3" xfId="1109"/>
    <cellStyle name="Date 41 3 2" xfId="1532"/>
    <cellStyle name="Date 41 3 3" xfId="1764"/>
    <cellStyle name="Date 41 3 4" xfId="2092"/>
    <cellStyle name="Date 41 3 5" xfId="3219"/>
    <cellStyle name="Date 41 3 6" xfId="2682"/>
    <cellStyle name="Date 41 3 7" xfId="3320"/>
    <cellStyle name="Date 41 4" xfId="1145"/>
    <cellStyle name="Date 41 4 2" xfId="1568"/>
    <cellStyle name="Date 41 4 3" xfId="1799"/>
    <cellStyle name="Date 41 4 4" xfId="2127"/>
    <cellStyle name="Date 41 4 5" xfId="3254"/>
    <cellStyle name="Date 41 4 6" xfId="3914"/>
    <cellStyle name="Date 41 4 7" xfId="4751"/>
    <cellStyle name="Date 42" xfId="5791"/>
    <cellStyle name="Date 43" xfId="5802"/>
    <cellStyle name="Date 44" xfId="5783"/>
    <cellStyle name="Date 45" xfId="5828"/>
    <cellStyle name="Date 46" xfId="6469"/>
    <cellStyle name="Date 47" xfId="6415"/>
    <cellStyle name="Date 48" xfId="6918"/>
    <cellStyle name="Date 49" xfId="6488"/>
    <cellStyle name="Date 5" xfId="267"/>
    <cellStyle name="Date 50" xfId="5975"/>
    <cellStyle name="Date 51" xfId="7002"/>
    <cellStyle name="Date 52" xfId="6091"/>
    <cellStyle name="Date 53" xfId="6187"/>
    <cellStyle name="Date 54" xfId="6518"/>
    <cellStyle name="Date 55" xfId="8263"/>
    <cellStyle name="Date 6" xfId="483"/>
    <cellStyle name="Date 7" xfId="491"/>
    <cellStyle name="Date 8" xfId="499"/>
    <cellStyle name="Date 9" xfId="507"/>
    <cellStyle name="Date_5.1 - NPC Adjust March Semi" xfId="8264"/>
    <cellStyle name="Explanatory Text 10" xfId="6338"/>
    <cellStyle name="Explanatory Text 11" xfId="6826"/>
    <cellStyle name="Explanatory Text 12" xfId="6586"/>
    <cellStyle name="Explanatory Text 13" xfId="6747"/>
    <cellStyle name="Explanatory Text 2" xfId="270"/>
    <cellStyle name="Explanatory Text 2 10" xfId="6057"/>
    <cellStyle name="Explanatory Text 2 11" xfId="5919"/>
    <cellStyle name="Explanatory Text 2 12" xfId="6358"/>
    <cellStyle name="Explanatory Text 2 2" xfId="271"/>
    <cellStyle name="Explanatory Text 2 3" xfId="5830"/>
    <cellStyle name="Explanatory Text 2 4" xfId="6427"/>
    <cellStyle name="Explanatory Text 2 5" xfId="6848"/>
    <cellStyle name="Explanatory Text 2 6" xfId="5912"/>
    <cellStyle name="Explanatory Text 2 7" xfId="6696"/>
    <cellStyle name="Explanatory Text 2 8" xfId="6498"/>
    <cellStyle name="Explanatory Text 2 9" xfId="6150"/>
    <cellStyle name="Explanatory Text 3" xfId="272"/>
    <cellStyle name="Explanatory Text 4" xfId="5829"/>
    <cellStyle name="Explanatory Text 5" xfId="6089"/>
    <cellStyle name="Explanatory Text 6" xfId="6142"/>
    <cellStyle name="Explanatory Text 7" xfId="6550"/>
    <cellStyle name="Explanatory Text 8" xfId="6008"/>
    <cellStyle name="Explanatory Text 9" xfId="6898"/>
    <cellStyle name="Fixed" xfId="35"/>
    <cellStyle name="Fixed 10" xfId="487"/>
    <cellStyle name="Fixed 11" xfId="495"/>
    <cellStyle name="Fixed 12" xfId="503"/>
    <cellStyle name="Fixed 13" xfId="511"/>
    <cellStyle name="Fixed 14" xfId="520"/>
    <cellStyle name="Fixed 15" xfId="529"/>
    <cellStyle name="Fixed 16" xfId="538"/>
    <cellStyle name="Fixed 17" xfId="547"/>
    <cellStyle name="Fixed 18" xfId="556"/>
    <cellStyle name="Fixed 19" xfId="565"/>
    <cellStyle name="Fixed 2" xfId="140"/>
    <cellStyle name="Fixed 2 10" xfId="1189"/>
    <cellStyle name="Fixed 2 11" xfId="1300"/>
    <cellStyle name="Fixed 2 12" xfId="1843"/>
    <cellStyle name="Fixed 2 13" xfId="2557"/>
    <cellStyle name="Fixed 2 14" xfId="3317"/>
    <cellStyle name="Fixed 2 15" xfId="3684"/>
    <cellStyle name="Fixed 2 2" xfId="392"/>
    <cellStyle name="Fixed 2 2 2" xfId="451"/>
    <cellStyle name="Fixed 2 2 3" xfId="875"/>
    <cellStyle name="Fixed 2 2 4" xfId="970"/>
    <cellStyle name="Fixed 2 2 4 2" xfId="1404"/>
    <cellStyle name="Fixed 2 2 4 3" xfId="1641"/>
    <cellStyle name="Fixed 2 2 4 4" xfId="1969"/>
    <cellStyle name="Fixed 2 2 4 5" xfId="3084"/>
    <cellStyle name="Fixed 2 2 4 6" xfId="3978"/>
    <cellStyle name="Fixed 2 2 4 7" xfId="4802"/>
    <cellStyle name="Fixed 2 2 5" xfId="990"/>
    <cellStyle name="Fixed 2 2 5 2" xfId="1422"/>
    <cellStyle name="Fixed 2 2 5 3" xfId="1659"/>
    <cellStyle name="Fixed 2 2 5 4" xfId="1987"/>
    <cellStyle name="Fixed 2 2 5 5" xfId="3104"/>
    <cellStyle name="Fixed 2 2 5 6" xfId="3911"/>
    <cellStyle name="Fixed 2 2 5 7" xfId="4750"/>
    <cellStyle name="Fixed 2 2 6" xfId="983"/>
    <cellStyle name="Fixed 2 2 6 2" xfId="1415"/>
    <cellStyle name="Fixed 2 2 6 3" xfId="1652"/>
    <cellStyle name="Fixed 2 2 6 4" xfId="1980"/>
    <cellStyle name="Fixed 2 2 6 5" xfId="3097"/>
    <cellStyle name="Fixed 2 2 6 6" xfId="2953"/>
    <cellStyle name="Fixed 2 2 6 7" xfId="2740"/>
    <cellStyle name="Fixed 2 3" xfId="788"/>
    <cellStyle name="Fixed 2 3 2" xfId="1056"/>
    <cellStyle name="Fixed 2 3 2 2" xfId="1481"/>
    <cellStyle name="Fixed 2 3 2 3" xfId="1714"/>
    <cellStyle name="Fixed 2 3 2 4" xfId="2042"/>
    <cellStyle name="Fixed 2 3 2 5" xfId="3166"/>
    <cellStyle name="Fixed 2 3 2 6" xfId="3652"/>
    <cellStyle name="Fixed 2 3 2 7" xfId="4529"/>
    <cellStyle name="Fixed 2 3 3" xfId="1100"/>
    <cellStyle name="Fixed 2 3 3 2" xfId="1523"/>
    <cellStyle name="Fixed 2 3 3 3" xfId="1755"/>
    <cellStyle name="Fixed 2 3 3 4" xfId="2083"/>
    <cellStyle name="Fixed 2 3 3 5" xfId="3210"/>
    <cellStyle name="Fixed 2 3 3 6" xfId="3531"/>
    <cellStyle name="Fixed 2 3 3 7" xfId="4429"/>
    <cellStyle name="Fixed 2 3 4" xfId="1139"/>
    <cellStyle name="Fixed 2 3 4 2" xfId="1562"/>
    <cellStyle name="Fixed 2 3 4 3" xfId="1793"/>
    <cellStyle name="Fixed 2 3 4 4" xfId="2121"/>
    <cellStyle name="Fixed 2 3 4 5" xfId="3248"/>
    <cellStyle name="Fixed 2 3 4 6" xfId="3740"/>
    <cellStyle name="Fixed 2 3 4 7" xfId="4595"/>
    <cellStyle name="Fixed 2 4" xfId="832"/>
    <cellStyle name="Fixed 2 4 2" xfId="1078"/>
    <cellStyle name="Fixed 2 4 2 2" xfId="1502"/>
    <cellStyle name="Fixed 2 4 2 3" xfId="1735"/>
    <cellStyle name="Fixed 2 4 2 4" xfId="2063"/>
    <cellStyle name="Fixed 2 4 2 5" xfId="3188"/>
    <cellStyle name="Fixed 2 4 2 6" xfId="4031"/>
    <cellStyle name="Fixed 2 4 2 7" xfId="4831"/>
    <cellStyle name="Fixed 2 4 3" xfId="1121"/>
    <cellStyle name="Fixed 2 4 3 2" xfId="1544"/>
    <cellStyle name="Fixed 2 4 3 3" xfId="1776"/>
    <cellStyle name="Fixed 2 4 3 4" xfId="2104"/>
    <cellStyle name="Fixed 2 4 3 5" xfId="3231"/>
    <cellStyle name="Fixed 2 4 3 6" xfId="2782"/>
    <cellStyle name="Fixed 2 4 3 7" xfId="3601"/>
    <cellStyle name="Fixed 2 4 4" xfId="1156"/>
    <cellStyle name="Fixed 2 4 4 2" xfId="1579"/>
    <cellStyle name="Fixed 2 4 4 3" xfId="1810"/>
    <cellStyle name="Fixed 2 4 4 4" xfId="2138"/>
    <cellStyle name="Fixed 2 4 4 5" xfId="3265"/>
    <cellStyle name="Fixed 2 4 4 6" xfId="2940"/>
    <cellStyle name="Fixed 2 4 4 7" xfId="2560"/>
    <cellStyle name="Fixed 2 5" xfId="816"/>
    <cellStyle name="Fixed 2 6" xfId="395"/>
    <cellStyle name="Fixed 2 7" xfId="918"/>
    <cellStyle name="Fixed 2 8" xfId="944"/>
    <cellStyle name="Fixed 2 9" xfId="929"/>
    <cellStyle name="Fixed 20" xfId="574"/>
    <cellStyle name="Fixed 21" xfId="583"/>
    <cellStyle name="Fixed 22" xfId="592"/>
    <cellStyle name="Fixed 23" xfId="601"/>
    <cellStyle name="Fixed 24" xfId="610"/>
    <cellStyle name="Fixed 25" xfId="619"/>
    <cellStyle name="Fixed 26" xfId="628"/>
    <cellStyle name="Fixed 27" xfId="637"/>
    <cellStyle name="Fixed 28" xfId="646"/>
    <cellStyle name="Fixed 29" xfId="654"/>
    <cellStyle name="Fixed 3" xfId="153"/>
    <cellStyle name="Fixed 3 2" xfId="465"/>
    <cellStyle name="Fixed 3 3" xfId="796"/>
    <cellStyle name="Fixed 3 4" xfId="841"/>
    <cellStyle name="Fixed 3 5" xfId="845"/>
    <cellStyle name="Fixed 3 6" xfId="959"/>
    <cellStyle name="Fixed 3 6 2" xfId="1393"/>
    <cellStyle name="Fixed 3 6 3" xfId="1630"/>
    <cellStyle name="Fixed 3 6 4" xfId="1958"/>
    <cellStyle name="Fixed 3 6 5" xfId="3073"/>
    <cellStyle name="Fixed 3 6 6" xfId="3048"/>
    <cellStyle name="Fixed 3 6 7" xfId="2927"/>
    <cellStyle name="Fixed 3 7" xfId="1009"/>
    <cellStyle name="Fixed 3 7 2" xfId="1437"/>
    <cellStyle name="Fixed 3 7 3" xfId="1674"/>
    <cellStyle name="Fixed 3 7 4" xfId="2002"/>
    <cellStyle name="Fixed 3 7 5" xfId="3122"/>
    <cellStyle name="Fixed 3 7 6" xfId="2552"/>
    <cellStyle name="Fixed 3 7 7" xfId="2998"/>
    <cellStyle name="Fixed 3 8" xfId="1003"/>
    <cellStyle name="Fixed 3 8 2" xfId="1432"/>
    <cellStyle name="Fixed 3 8 3" xfId="1669"/>
    <cellStyle name="Fixed 3 8 4" xfId="1997"/>
    <cellStyle name="Fixed 3 8 5" xfId="3116"/>
    <cellStyle name="Fixed 3 8 6" xfId="2807"/>
    <cellStyle name="Fixed 3 8 7" xfId="3907"/>
    <cellStyle name="Fixed 30" xfId="663"/>
    <cellStyle name="Fixed 31" xfId="672"/>
    <cellStyle name="Fixed 32" xfId="681"/>
    <cellStyle name="Fixed 33" xfId="690"/>
    <cellStyle name="Fixed 34" xfId="699"/>
    <cellStyle name="Fixed 35" xfId="708"/>
    <cellStyle name="Fixed 36" xfId="717"/>
    <cellStyle name="Fixed 37" xfId="726"/>
    <cellStyle name="Fixed 38" xfId="735"/>
    <cellStyle name="Fixed 39" xfId="743"/>
    <cellStyle name="Fixed 4" xfId="161"/>
    <cellStyle name="Fixed 40" xfId="776"/>
    <cellStyle name="Fixed 40 2" xfId="1046"/>
    <cellStyle name="Fixed 40 2 2" xfId="1470"/>
    <cellStyle name="Fixed 40 2 3" xfId="1703"/>
    <cellStyle name="Fixed 40 2 4" xfId="2031"/>
    <cellStyle name="Fixed 40 2 5" xfId="3155"/>
    <cellStyle name="Fixed 40 2 6" xfId="2909"/>
    <cellStyle name="Fixed 40 2 7" xfId="3660"/>
    <cellStyle name="Fixed 40 3" xfId="1089"/>
    <cellStyle name="Fixed 40 3 2" xfId="1512"/>
    <cellStyle name="Fixed 40 3 3" xfId="1744"/>
    <cellStyle name="Fixed 40 3 4" xfId="2072"/>
    <cellStyle name="Fixed 40 3 5" xfId="3199"/>
    <cellStyle name="Fixed 40 3 6" xfId="3760"/>
    <cellStyle name="Fixed 40 3 7" xfId="4608"/>
    <cellStyle name="Fixed 40 4" xfId="1129"/>
    <cellStyle name="Fixed 40 4 2" xfId="1552"/>
    <cellStyle name="Fixed 40 4 3" xfId="1783"/>
    <cellStyle name="Fixed 40 4 4" xfId="2111"/>
    <cellStyle name="Fixed 40 4 5" xfId="3238"/>
    <cellStyle name="Fixed 40 4 6" xfId="2720"/>
    <cellStyle name="Fixed 40 4 7" xfId="2593"/>
    <cellStyle name="Fixed 41" xfId="809"/>
    <cellStyle name="Fixed 41 2" xfId="1066"/>
    <cellStyle name="Fixed 41 2 2" xfId="1491"/>
    <cellStyle name="Fixed 41 2 3" xfId="1724"/>
    <cellStyle name="Fixed 41 2 4" xfId="2052"/>
    <cellStyle name="Fixed 41 2 5" xfId="3176"/>
    <cellStyle name="Fixed 41 2 6" xfId="2870"/>
    <cellStyle name="Fixed 41 2 7" xfId="3044"/>
    <cellStyle name="Fixed 41 3" xfId="1110"/>
    <cellStyle name="Fixed 41 3 2" xfId="1533"/>
    <cellStyle name="Fixed 41 3 3" xfId="1765"/>
    <cellStyle name="Fixed 41 3 4" xfId="2093"/>
    <cellStyle name="Fixed 41 3 5" xfId="3220"/>
    <cellStyle name="Fixed 41 3 6" xfId="3799"/>
    <cellStyle name="Fixed 41 3 7" xfId="4642"/>
    <cellStyle name="Fixed 41 4" xfId="1146"/>
    <cellStyle name="Fixed 41 4 2" xfId="1569"/>
    <cellStyle name="Fixed 41 4 3" xfId="1800"/>
    <cellStyle name="Fixed 41 4 4" xfId="2128"/>
    <cellStyle name="Fixed 41 4 5" xfId="3255"/>
    <cellStyle name="Fixed 41 4 6" xfId="3661"/>
    <cellStyle name="Fixed 41 4 7" xfId="4535"/>
    <cellStyle name="Fixed 42" xfId="5794"/>
    <cellStyle name="Fixed 43" xfId="5795"/>
    <cellStyle name="Fixed 44" xfId="5785"/>
    <cellStyle name="Fixed 45" xfId="5831"/>
    <cellStyle name="Fixed 46" xfId="6459"/>
    <cellStyle name="Fixed 47" xfId="6683"/>
    <cellStyle name="Fixed 48" xfId="6558"/>
    <cellStyle name="Fixed 49" xfId="6656"/>
    <cellStyle name="Fixed 5" xfId="273"/>
    <cellStyle name="Fixed 50" xfId="6644"/>
    <cellStyle name="Fixed 51" xfId="6752"/>
    <cellStyle name="Fixed 52" xfId="5954"/>
    <cellStyle name="Fixed 53" xfId="6801"/>
    <cellStyle name="Fixed 54" xfId="5947"/>
    <cellStyle name="Fixed 55" xfId="8265"/>
    <cellStyle name="Fixed 6" xfId="470"/>
    <cellStyle name="Fixed 7" xfId="457"/>
    <cellStyle name="Fixed 8" xfId="474"/>
    <cellStyle name="Fixed 9" xfId="480"/>
    <cellStyle name="Fixed2 - Style2" xfId="36"/>
    <cellStyle name="General" xfId="8266"/>
    <cellStyle name="Good 10" xfId="6505"/>
    <cellStyle name="Good 11" xfId="6308"/>
    <cellStyle name="Good 12" xfId="6854"/>
    <cellStyle name="Good 13" xfId="6960"/>
    <cellStyle name="Good 2" xfId="276"/>
    <cellStyle name="Good 2 10" xfId="6264"/>
    <cellStyle name="Good 2 11" xfId="6239"/>
    <cellStyle name="Good 2 12" xfId="6685"/>
    <cellStyle name="Good 2 2" xfId="277"/>
    <cellStyle name="Good 2 3" xfId="5833"/>
    <cellStyle name="Good 2 4" xfId="6083"/>
    <cellStyle name="Good 2 5" xfId="6526"/>
    <cellStyle name="Good 2 6" xfId="6633"/>
    <cellStyle name="Good 2 7" xfId="6522"/>
    <cellStyle name="Good 2 8" xfId="6357"/>
    <cellStyle name="Good 2 9" xfId="6629"/>
    <cellStyle name="Good 3" xfId="278"/>
    <cellStyle name="Good 4" xfId="5832"/>
    <cellStyle name="Good 5" xfId="6165"/>
    <cellStyle name="Good 6" xfId="6723"/>
    <cellStyle name="Good 7" xfId="6307"/>
    <cellStyle name="Good 8" xfId="6169"/>
    <cellStyle name="Good 9" xfId="6373"/>
    <cellStyle name="Grey" xfId="279"/>
    <cellStyle name="Grey 10" xfId="1298"/>
    <cellStyle name="Grey 11" xfId="1844"/>
    <cellStyle name="Grey 12" xfId="2559"/>
    <cellStyle name="Grey 13" xfId="2932"/>
    <cellStyle name="Grey 14" xfId="3671"/>
    <cellStyle name="Grey 15" xfId="5796"/>
    <cellStyle name="Grey 16" xfId="5792"/>
    <cellStyle name="Grey 17" xfId="5786"/>
    <cellStyle name="Grey 2" xfId="280"/>
    <cellStyle name="Grey 3" xfId="281"/>
    <cellStyle name="Grey 4" xfId="394"/>
    <cellStyle name="Grey 5" xfId="393"/>
    <cellStyle name="Grey 6" xfId="919"/>
    <cellStyle name="Grey 7" xfId="981"/>
    <cellStyle name="Grey 8" xfId="922"/>
    <cellStyle name="Grey 9" xfId="1190"/>
    <cellStyle name="header" xfId="8267"/>
    <cellStyle name="Header1" xfId="8268"/>
    <cellStyle name="Header2" xfId="8269"/>
    <cellStyle name="Heading 1 10" xfId="80"/>
    <cellStyle name="Heading 1 11" xfId="91"/>
    <cellStyle name="Heading 1 12" xfId="78"/>
    <cellStyle name="Heading 1 13" xfId="107"/>
    <cellStyle name="Heading 1 14" xfId="110"/>
    <cellStyle name="Heading 1 15" xfId="105"/>
    <cellStyle name="Heading 1 16" xfId="112"/>
    <cellStyle name="Heading 1 17" xfId="117"/>
    <cellStyle name="Heading 1 18" xfId="121"/>
    <cellStyle name="Heading 1 19" xfId="126"/>
    <cellStyle name="Heading 1 2" xfId="37"/>
    <cellStyle name="Heading 1 2 10" xfId="6093"/>
    <cellStyle name="Heading 1 2 11" xfId="6703"/>
    <cellStyle name="Heading 1 2 12" xfId="6641"/>
    <cellStyle name="Heading 1 2 13" xfId="5936"/>
    <cellStyle name="Heading 1 2 14" xfId="6006"/>
    <cellStyle name="Heading 1 2 15" xfId="5943"/>
    <cellStyle name="Heading 1 2 16" xfId="8270"/>
    <cellStyle name="Heading 1 2 2" xfId="283"/>
    <cellStyle name="Heading 1 2 2 10" xfId="6434"/>
    <cellStyle name="Heading 1 2 2 11" xfId="6546"/>
    <cellStyle name="Heading 1 2 2 12" xfId="6095"/>
    <cellStyle name="Heading 1 2 2 13" xfId="6587"/>
    <cellStyle name="Heading 1 2 2 14" xfId="6267"/>
    <cellStyle name="Heading 1 2 2 2" xfId="452"/>
    <cellStyle name="Heading 1 2 2 2 2" xfId="1405"/>
    <cellStyle name="Heading 1 2 2 2 3" xfId="1642"/>
    <cellStyle name="Heading 1 2 2 2 4" xfId="1970"/>
    <cellStyle name="Heading 1 2 2 2 5" xfId="3085"/>
    <cellStyle name="Heading 1 2 2 2 6" xfId="3721"/>
    <cellStyle name="Heading 1 2 2 2 7" xfId="4582"/>
    <cellStyle name="Heading 1 2 2 3" xfId="989"/>
    <cellStyle name="Heading 1 2 2 3 2" xfId="1421"/>
    <cellStyle name="Heading 1 2 2 3 3" xfId="1658"/>
    <cellStyle name="Heading 1 2 2 3 4" xfId="1986"/>
    <cellStyle name="Heading 1 2 2 3 5" xfId="3103"/>
    <cellStyle name="Heading 1 2 2 3 6" xfId="3504"/>
    <cellStyle name="Heading 1 2 2 3 7" xfId="4404"/>
    <cellStyle name="Heading 1 2 2 4" xfId="994"/>
    <cellStyle name="Heading 1 2 2 4 2" xfId="1425"/>
    <cellStyle name="Heading 1 2 2 4 3" xfId="1662"/>
    <cellStyle name="Heading 1 2 2 4 4" xfId="1990"/>
    <cellStyle name="Heading 1 2 2 4 5" xfId="3107"/>
    <cellStyle name="Heading 1 2 2 4 6" xfId="2729"/>
    <cellStyle name="Heading 1 2 2 4 7" xfId="2587"/>
    <cellStyle name="Heading 1 2 2 5" xfId="5931"/>
    <cellStyle name="Heading 1 2 2 6" xfId="5991"/>
    <cellStyle name="Heading 1 2 2 7" xfId="6774"/>
    <cellStyle name="Heading 1 2 2 8" xfId="6869"/>
    <cellStyle name="Heading 1 2 2 9" xfId="6810"/>
    <cellStyle name="Heading 1 2 3" xfId="789"/>
    <cellStyle name="Heading 1 2 3 2" xfId="1057"/>
    <cellStyle name="Heading 1 2 3 2 2" xfId="1482"/>
    <cellStyle name="Heading 1 2 3 2 3" xfId="1715"/>
    <cellStyle name="Heading 1 2 3 2 4" xfId="2043"/>
    <cellStyle name="Heading 1 2 3 2 5" xfId="3167"/>
    <cellStyle name="Heading 1 2 3 2 6" xfId="3479"/>
    <cellStyle name="Heading 1 2 3 2 7" xfId="4389"/>
    <cellStyle name="Heading 1 2 3 3" xfId="1101"/>
    <cellStyle name="Heading 1 2 3 3 2" xfId="1524"/>
    <cellStyle name="Heading 1 2 3 3 3" xfId="1756"/>
    <cellStyle name="Heading 1 2 3 3 4" xfId="2084"/>
    <cellStyle name="Heading 1 2 3 3 5" xfId="3211"/>
    <cellStyle name="Heading 1 2 3 3 6" xfId="3925"/>
    <cellStyle name="Heading 1 2 3 3 7" xfId="4760"/>
    <cellStyle name="Heading 1 2 3 4" xfId="1140"/>
    <cellStyle name="Heading 1 2 3 4 2" xfId="1563"/>
    <cellStyle name="Heading 1 2 3 4 3" xfId="1794"/>
    <cellStyle name="Heading 1 2 3 4 4" xfId="2122"/>
    <cellStyle name="Heading 1 2 3 4 5" xfId="3249"/>
    <cellStyle name="Heading 1 2 3 4 6" xfId="3578"/>
    <cellStyle name="Heading 1 2 3 4 7" xfId="4466"/>
    <cellStyle name="Heading 1 2 4" xfId="833"/>
    <cellStyle name="Heading 1 2 4 2" xfId="1079"/>
    <cellStyle name="Heading 1 2 4 2 2" xfId="1503"/>
    <cellStyle name="Heading 1 2 4 2 3" xfId="1736"/>
    <cellStyle name="Heading 1 2 4 2 4" xfId="2064"/>
    <cellStyle name="Heading 1 2 4 2 5" xfId="3189"/>
    <cellStyle name="Heading 1 2 4 2 6" xfId="3771"/>
    <cellStyle name="Heading 1 2 4 2 7" xfId="4615"/>
    <cellStyle name="Heading 1 2 4 3" xfId="1122"/>
    <cellStyle name="Heading 1 2 4 3 2" xfId="1545"/>
    <cellStyle name="Heading 1 2 4 3 3" xfId="1777"/>
    <cellStyle name="Heading 1 2 4 3 4" xfId="2105"/>
    <cellStyle name="Heading 1 2 4 3 5" xfId="3232"/>
    <cellStyle name="Heading 1 2 4 3 6" xfId="2775"/>
    <cellStyle name="Heading 1 2 4 3 7" xfId="2570"/>
    <cellStyle name="Heading 1 2 4 4" xfId="1157"/>
    <cellStyle name="Heading 1 2 4 4 2" xfId="1580"/>
    <cellStyle name="Heading 1 2 4 4 3" xfId="1811"/>
    <cellStyle name="Heading 1 2 4 4 4" xfId="2139"/>
    <cellStyle name="Heading 1 2 4 4 5" xfId="3266"/>
    <cellStyle name="Heading 1 2 4 4 6" xfId="2935"/>
    <cellStyle name="Heading 1 2 4 4 7" xfId="3502"/>
    <cellStyle name="Heading 1 2 5" xfId="815"/>
    <cellStyle name="Heading 1 2 6" xfId="5837"/>
    <cellStyle name="Heading 1 2 7" xfId="6154"/>
    <cellStyle name="Heading 1 2 8" xfId="6452"/>
    <cellStyle name="Heading 1 2 9" xfId="6339"/>
    <cellStyle name="Heading 1 20" xfId="129"/>
    <cellStyle name="Heading 1 21" xfId="124"/>
    <cellStyle name="Heading 1 22" xfId="131"/>
    <cellStyle name="Heading 1 23" xfId="141"/>
    <cellStyle name="Heading 1 24" xfId="155"/>
    <cellStyle name="Heading 1 25" xfId="160"/>
    <cellStyle name="Heading 1 26" xfId="282"/>
    <cellStyle name="Heading 1 27" xfId="5836"/>
    <cellStyle name="Heading 1 28" xfId="6202"/>
    <cellStyle name="Heading 1 29" xfId="6662"/>
    <cellStyle name="Heading 1 3" xfId="67"/>
    <cellStyle name="Heading 1 3 10" xfId="6761"/>
    <cellStyle name="Heading 1 3 11" xfId="6930"/>
    <cellStyle name="Heading 1 3 12" xfId="6279"/>
    <cellStyle name="Heading 1 3 2" xfId="284"/>
    <cellStyle name="Heading 1 3 3" xfId="5838"/>
    <cellStyle name="Heading 1 3 4" xfId="6078"/>
    <cellStyle name="Heading 1 3 5" xfId="5950"/>
    <cellStyle name="Heading 1 3 6" xfId="6117"/>
    <cellStyle name="Heading 1 3 7" xfId="6767"/>
    <cellStyle name="Heading 1 3 8" xfId="6104"/>
    <cellStyle name="Heading 1 3 9" xfId="6050"/>
    <cellStyle name="Heading 1 30" xfId="6582"/>
    <cellStyle name="Heading 1 31" xfId="6195"/>
    <cellStyle name="Heading 1 32" xfId="6332"/>
    <cellStyle name="Heading 1 33" xfId="6611"/>
    <cellStyle name="Heading 1 34" xfId="6054"/>
    <cellStyle name="Heading 1 35" xfId="6309"/>
    <cellStyle name="Heading 1 36" xfId="7028"/>
    <cellStyle name="Heading 1 4" xfId="72"/>
    <cellStyle name="Heading 1 4 10" xfId="2563"/>
    <cellStyle name="Heading 1 4 11" xfId="2900"/>
    <cellStyle name="Heading 1 4 12" xfId="3575"/>
    <cellStyle name="Heading 1 4 2" xfId="396"/>
    <cellStyle name="Heading 1 4 3" xfId="391"/>
    <cellStyle name="Heading 1 4 4" xfId="920"/>
    <cellStyle name="Heading 1 4 5" xfId="1039"/>
    <cellStyle name="Heading 1 4 6" xfId="895"/>
    <cellStyle name="Heading 1 4 7" xfId="1191"/>
    <cellStyle name="Heading 1 4 8" xfId="1340"/>
    <cellStyle name="Heading 1 4 9" xfId="1845"/>
    <cellStyle name="Heading 1 5" xfId="69"/>
    <cellStyle name="Heading 1 6" xfId="84"/>
    <cellStyle name="Heading 1 7" xfId="87"/>
    <cellStyle name="Heading 1 8" xfId="82"/>
    <cellStyle name="Heading 1 9" xfId="89"/>
    <cellStyle name="Heading 2 10" xfId="81"/>
    <cellStyle name="Heading 2 11" xfId="90"/>
    <cellStyle name="Heading 2 12" xfId="79"/>
    <cellStyle name="Heading 2 13" xfId="108"/>
    <cellStyle name="Heading 2 14" xfId="109"/>
    <cellStyle name="Heading 2 15" xfId="106"/>
    <cellStyle name="Heading 2 16" xfId="113"/>
    <cellStyle name="Heading 2 17" xfId="116"/>
    <cellStyle name="Heading 2 18" xfId="122"/>
    <cellStyle name="Heading 2 19" xfId="127"/>
    <cellStyle name="Heading 2 2" xfId="38"/>
    <cellStyle name="Heading 2 2 10" xfId="6776"/>
    <cellStyle name="Heading 2 2 11" xfId="6181"/>
    <cellStyle name="Heading 2 2 12" xfId="6200"/>
    <cellStyle name="Heading 2 2 13" xfId="6447"/>
    <cellStyle name="Heading 2 2 14" xfId="6966"/>
    <cellStyle name="Heading 2 2 15" xfId="6921"/>
    <cellStyle name="Heading 2 2 16" xfId="8271"/>
    <cellStyle name="Heading 2 2 2" xfId="287"/>
    <cellStyle name="Heading 2 2 2 10" xfId="6642"/>
    <cellStyle name="Heading 2 2 2 11" xfId="6064"/>
    <cellStyle name="Heading 2 2 2 12" xfId="6829"/>
    <cellStyle name="Heading 2 2 2 13" xfId="5973"/>
    <cellStyle name="Heading 2 2 2 14" xfId="6535"/>
    <cellStyle name="Heading 2 2 2 2" xfId="453"/>
    <cellStyle name="Heading 2 2 2 2 2" xfId="1406"/>
    <cellStyle name="Heading 2 2 2 2 3" xfId="1643"/>
    <cellStyle name="Heading 2 2 2 2 4" xfId="1971"/>
    <cellStyle name="Heading 2 2 2 2 5" xfId="3086"/>
    <cellStyle name="Heading 2 2 2 2 6" xfId="3560"/>
    <cellStyle name="Heading 2 2 2 2 7" xfId="4454"/>
    <cellStyle name="Heading 2 2 2 3" xfId="988"/>
    <cellStyle name="Heading 2 2 2 3 2" xfId="1420"/>
    <cellStyle name="Heading 2 2 2 3 3" xfId="1657"/>
    <cellStyle name="Heading 2 2 2 3 4" xfId="1985"/>
    <cellStyle name="Heading 2 2 2 3 5" xfId="3102"/>
    <cellStyle name="Heading 2 2 2 3 6" xfId="3669"/>
    <cellStyle name="Heading 2 2 2 3 7" xfId="4541"/>
    <cellStyle name="Heading 2 2 2 4" xfId="1012"/>
    <cellStyle name="Heading 2 2 2 4 2" xfId="1440"/>
    <cellStyle name="Heading 2 2 2 4 3" xfId="1677"/>
    <cellStyle name="Heading 2 2 2 4 4" xfId="2005"/>
    <cellStyle name="Heading 2 2 2 4 5" xfId="3125"/>
    <cellStyle name="Heading 2 2 2 4 6" xfId="2549"/>
    <cellStyle name="Heading 2 2 2 4 7" xfId="3193"/>
    <cellStyle name="Heading 2 2 2 5" xfId="5932"/>
    <cellStyle name="Heading 2 2 2 6" xfId="5990"/>
    <cellStyle name="Heading 2 2 2 7" xfId="6245"/>
    <cellStyle name="Heading 2 2 2 8" xfId="6162"/>
    <cellStyle name="Heading 2 2 2 9" xfId="6588"/>
    <cellStyle name="Heading 2 2 3" xfId="790"/>
    <cellStyle name="Heading 2 2 3 2" xfId="1058"/>
    <cellStyle name="Heading 2 2 3 2 2" xfId="1483"/>
    <cellStyle name="Heading 2 2 3 2 3" xfId="1716"/>
    <cellStyle name="Heading 2 2 3 2 4" xfId="2044"/>
    <cellStyle name="Heading 2 2 3 2 5" xfId="3168"/>
    <cellStyle name="Heading 2 2 3 2 6" xfId="2993"/>
    <cellStyle name="Heading 2 2 3 2 7" xfId="3588"/>
    <cellStyle name="Heading 2 2 3 3" xfId="1102"/>
    <cellStyle name="Heading 2 2 3 3 2" xfId="1525"/>
    <cellStyle name="Heading 2 2 3 3 3" xfId="1757"/>
    <cellStyle name="Heading 2 2 3 3 4" xfId="2085"/>
    <cellStyle name="Heading 2 2 3 3 5" xfId="3212"/>
    <cellStyle name="Heading 2 2 3 3 6" xfId="3670"/>
    <cellStyle name="Heading 2 2 3 3 7" xfId="4542"/>
    <cellStyle name="Heading 2 2 3 4" xfId="1141"/>
    <cellStyle name="Heading 2 2 3 4 2" xfId="1564"/>
    <cellStyle name="Heading 2 2 3 4 3" xfId="1795"/>
    <cellStyle name="Heading 2 2 3 4 4" xfId="2123"/>
    <cellStyle name="Heading 2 2 3 4 5" xfId="3250"/>
    <cellStyle name="Heading 2 2 3 4 6" xfId="3968"/>
    <cellStyle name="Heading 2 2 3 4 7" xfId="4796"/>
    <cellStyle name="Heading 2 2 4" xfId="834"/>
    <cellStyle name="Heading 2 2 4 2" xfId="1080"/>
    <cellStyle name="Heading 2 2 4 2 2" xfId="1504"/>
    <cellStyle name="Heading 2 2 4 2 3" xfId="1737"/>
    <cellStyle name="Heading 2 2 4 2 4" xfId="2065"/>
    <cellStyle name="Heading 2 2 4 2 5" xfId="3190"/>
    <cellStyle name="Heading 2 2 4 2 6" xfId="3606"/>
    <cellStyle name="Heading 2 2 4 2 7" xfId="4484"/>
    <cellStyle name="Heading 2 2 4 3" xfId="1123"/>
    <cellStyle name="Heading 2 2 4 3 2" xfId="1546"/>
    <cellStyle name="Heading 2 2 4 3 3" xfId="1778"/>
    <cellStyle name="Heading 2 2 4 3 4" xfId="2106"/>
    <cellStyle name="Heading 2 2 4 3 5" xfId="3233"/>
    <cellStyle name="Heading 2 2 4 3 6" xfId="2546"/>
    <cellStyle name="Heading 2 2 4 3 7" xfId="3705"/>
    <cellStyle name="Heading 2 2 4 4" xfId="1158"/>
    <cellStyle name="Heading 2 2 4 4 2" xfId="1581"/>
    <cellStyle name="Heading 2 2 4 4 3" xfId="1812"/>
    <cellStyle name="Heading 2 2 4 4 4" xfId="2140"/>
    <cellStyle name="Heading 2 2 4 4 5" xfId="3267"/>
    <cellStyle name="Heading 2 2 4 4 6" xfId="2930"/>
    <cellStyle name="Heading 2 2 4 4 7" xfId="2954"/>
    <cellStyle name="Heading 2 2 5" xfId="814"/>
    <cellStyle name="Heading 2 2 6" xfId="5840"/>
    <cellStyle name="Heading 2 2 7" xfId="6384"/>
    <cellStyle name="Heading 2 2 8" xfId="6325"/>
    <cellStyle name="Heading 2 2 9" xfId="6461"/>
    <cellStyle name="Heading 2 20" xfId="128"/>
    <cellStyle name="Heading 2 21" xfId="125"/>
    <cellStyle name="Heading 2 22" xfId="130"/>
    <cellStyle name="Heading 2 23" xfId="142"/>
    <cellStyle name="Heading 2 24" xfId="156"/>
    <cellStyle name="Heading 2 25" xfId="159"/>
    <cellStyle name="Heading 2 26" xfId="286"/>
    <cellStyle name="Heading 2 27" xfId="5839"/>
    <cellStyle name="Heading 2 28" xfId="6506"/>
    <cellStyle name="Heading 2 29" xfId="6701"/>
    <cellStyle name="Heading 2 3" xfId="68"/>
    <cellStyle name="Heading 2 3 10" xfId="6493"/>
    <cellStyle name="Heading 2 3 11" xfId="6132"/>
    <cellStyle name="Heading 2 3 12" xfId="6785"/>
    <cellStyle name="Heading 2 3 2" xfId="288"/>
    <cellStyle name="Heading 2 3 3" xfId="5841"/>
    <cellStyle name="Heading 2 3 4" xfId="6465"/>
    <cellStyle name="Heading 2 3 5" xfId="6572"/>
    <cellStyle name="Heading 2 3 6" xfId="5864"/>
    <cellStyle name="Heading 2 3 7" xfId="5925"/>
    <cellStyle name="Heading 2 3 8" xfId="6845"/>
    <cellStyle name="Heading 2 3 9" xfId="6608"/>
    <cellStyle name="Heading 2 30" xfId="5905"/>
    <cellStyle name="Heading 2 31" xfId="6218"/>
    <cellStyle name="Heading 2 32" xfId="6473"/>
    <cellStyle name="Heading 2 33" xfId="5885"/>
    <cellStyle name="Heading 2 34" xfId="6700"/>
    <cellStyle name="Heading 2 35" xfId="6870"/>
    <cellStyle name="Heading 2 36" xfId="6423"/>
    <cellStyle name="Heading 2 4" xfId="71"/>
    <cellStyle name="Heading 2 4 10" xfId="2566"/>
    <cellStyle name="Heading 2 4 11" xfId="2743"/>
    <cellStyle name="Heading 2 4 12" xfId="3570"/>
    <cellStyle name="Heading 2 4 2" xfId="397"/>
    <cellStyle name="Heading 2 4 3" xfId="389"/>
    <cellStyle name="Heading 2 4 4" xfId="921"/>
    <cellStyle name="Heading 2 4 5" xfId="1030"/>
    <cellStyle name="Heading 2 4 6" xfId="906"/>
    <cellStyle name="Heading 2 4 7" xfId="1192"/>
    <cellStyle name="Heading 2 4 8" xfId="1226"/>
    <cellStyle name="Heading 2 4 9" xfId="1846"/>
    <cellStyle name="Heading 2 5" xfId="70"/>
    <cellStyle name="Heading 2 6" xfId="85"/>
    <cellStyle name="Heading 2 7" xfId="86"/>
    <cellStyle name="Heading 2 8" xfId="83"/>
    <cellStyle name="Heading 2 9" xfId="88"/>
    <cellStyle name="Heading 3 10" xfId="6740"/>
    <cellStyle name="Heading 3 11" xfId="6396"/>
    <cellStyle name="Heading 3 12" xfId="6746"/>
    <cellStyle name="Heading 3 13" xfId="971"/>
    <cellStyle name="Heading 3 2" xfId="289"/>
    <cellStyle name="Heading 3 2 10" xfId="6334"/>
    <cellStyle name="Heading 3 2 11" xfId="6539"/>
    <cellStyle name="Heading 3 2 12" xfId="5851"/>
    <cellStyle name="Heading 3 2 2" xfId="290"/>
    <cellStyle name="Heading 3 2 3" xfId="5843"/>
    <cellStyle name="Heading 3 2 4" xfId="6167"/>
    <cellStyle name="Heading 3 2 5" xfId="5960"/>
    <cellStyle name="Heading 3 2 6" xfId="6737"/>
    <cellStyle name="Heading 3 2 7" xfId="6079"/>
    <cellStyle name="Heading 3 2 8" xfId="6440"/>
    <cellStyle name="Heading 3 2 9" xfId="6795"/>
    <cellStyle name="Heading 3 3" xfId="291"/>
    <cellStyle name="Heading 3 4" xfId="5842"/>
    <cellStyle name="Heading 3 5" xfId="6212"/>
    <cellStyle name="Heading 3 6" xfId="6153"/>
    <cellStyle name="Heading 3 7" xfId="5909"/>
    <cellStyle name="Heading 3 8" xfId="6682"/>
    <cellStyle name="Heading 3 9" xfId="6018"/>
    <cellStyle name="Heading 4 10" xfId="6947"/>
    <cellStyle name="Heading 4 11" xfId="6340"/>
    <cellStyle name="Heading 4 12" xfId="6136"/>
    <cellStyle name="Heading 4 13" xfId="5867"/>
    <cellStyle name="Heading 4 2" xfId="292"/>
    <cellStyle name="Heading 4 2 10" xfId="6692"/>
    <cellStyle name="Heading 4 2 11" xfId="6500"/>
    <cellStyle name="Heading 4 2 12" xfId="6203"/>
    <cellStyle name="Heading 4 2 2" xfId="293"/>
    <cellStyle name="Heading 4 2 3" xfId="5845"/>
    <cellStyle name="Heading 4 2 4" xfId="6519"/>
    <cellStyle name="Heading 4 2 5" xfId="6618"/>
    <cellStyle name="Heading 4 2 6" xfId="6394"/>
    <cellStyle name="Heading 4 2 7" xfId="6730"/>
    <cellStyle name="Heading 4 2 8" xfId="6426"/>
    <cellStyle name="Heading 4 2 9" xfId="6763"/>
    <cellStyle name="Heading 4 3" xfId="294"/>
    <cellStyle name="Heading 4 4" xfId="5844"/>
    <cellStyle name="Heading 4 5" xfId="6658"/>
    <cellStyle name="Heading 4 6" xfId="6389"/>
    <cellStyle name="Heading 4 7" xfId="6158"/>
    <cellStyle name="Heading 4 8" xfId="6475"/>
    <cellStyle name="Heading 4 9" xfId="6516"/>
    <cellStyle name="Heading1" xfId="39"/>
    <cellStyle name="Heading1 10" xfId="486"/>
    <cellStyle name="Heading1 11" xfId="494"/>
    <cellStyle name="Heading1 12" xfId="502"/>
    <cellStyle name="Heading1 13" xfId="510"/>
    <cellStyle name="Heading1 14" xfId="519"/>
    <cellStyle name="Heading1 15" xfId="528"/>
    <cellStyle name="Heading1 16" xfId="537"/>
    <cellStyle name="Heading1 17" xfId="546"/>
    <cellStyle name="Heading1 18" xfId="555"/>
    <cellStyle name="Heading1 19" xfId="564"/>
    <cellStyle name="Heading1 2" xfId="143"/>
    <cellStyle name="Heading1 2 10" xfId="1193"/>
    <cellStyle name="Heading1 2 11" xfId="1224"/>
    <cellStyle name="Heading1 2 12" xfId="1847"/>
    <cellStyle name="Heading1 2 13" xfId="2568"/>
    <cellStyle name="Heading1 2 14" xfId="2862"/>
    <cellStyle name="Heading1 2 15" xfId="2866"/>
    <cellStyle name="Heading1 2 2" xfId="399"/>
    <cellStyle name="Heading1 2 3" xfId="798"/>
    <cellStyle name="Heading1 2 4" xfId="843"/>
    <cellStyle name="Heading1 2 5" xfId="862"/>
    <cellStyle name="Heading1 2 6" xfId="387"/>
    <cellStyle name="Heading1 2 7" xfId="923"/>
    <cellStyle name="Heading1 2 8" xfId="1018"/>
    <cellStyle name="Heading1 2 9" xfId="1069"/>
    <cellStyle name="Heading1 20" xfId="573"/>
    <cellStyle name="Heading1 21" xfId="582"/>
    <cellStyle name="Heading1 22" xfId="591"/>
    <cellStyle name="Heading1 23" xfId="600"/>
    <cellStyle name="Heading1 24" xfId="609"/>
    <cellStyle name="Heading1 25" xfId="618"/>
    <cellStyle name="Heading1 26" xfId="627"/>
    <cellStyle name="Heading1 27" xfId="636"/>
    <cellStyle name="Heading1 28" xfId="645"/>
    <cellStyle name="Heading1 29" xfId="653"/>
    <cellStyle name="Heading1 3" xfId="157"/>
    <cellStyle name="Heading1 3 2" xfId="466"/>
    <cellStyle name="Heading1 3 3" xfId="797"/>
    <cellStyle name="Heading1 3 4" xfId="842"/>
    <cellStyle name="Heading1 3 5" xfId="863"/>
    <cellStyle name="Heading1 3 6" xfId="961"/>
    <cellStyle name="Heading1 3 6 2" xfId="1395"/>
    <cellStyle name="Heading1 3 6 3" xfId="1632"/>
    <cellStyle name="Heading1 3 6 4" xfId="1960"/>
    <cellStyle name="Heading1 3 6 5" xfId="3075"/>
    <cellStyle name="Heading1 3 6 6" xfId="3042"/>
    <cellStyle name="Heading1 3 6 7" xfId="3576"/>
    <cellStyle name="Heading1 3 7" xfId="1004"/>
    <cellStyle name="Heading1 3 7 2" xfId="1433"/>
    <cellStyle name="Heading1 3 7 3" xfId="1670"/>
    <cellStyle name="Heading1 3 7 4" xfId="1998"/>
    <cellStyle name="Heading1 3 7 5" xfId="3117"/>
    <cellStyle name="Heading1 3 7 6" xfId="2801"/>
    <cellStyle name="Heading1 3 7 7" xfId="2893"/>
    <cellStyle name="Heading1 3 8" xfId="1037"/>
    <cellStyle name="Heading1 3 8 2" xfId="1462"/>
    <cellStyle name="Heading1 3 8 3" xfId="1695"/>
    <cellStyle name="Heading1 3 8 4" xfId="2023"/>
    <cellStyle name="Heading1 3 8 5" xfId="3146"/>
    <cellStyle name="Heading1 3 8 6" xfId="3478"/>
    <cellStyle name="Heading1 3 8 7" xfId="4388"/>
    <cellStyle name="Heading1 30" xfId="662"/>
    <cellStyle name="Heading1 31" xfId="671"/>
    <cellStyle name="Heading1 32" xfId="680"/>
    <cellStyle name="Heading1 33" xfId="689"/>
    <cellStyle name="Heading1 34" xfId="698"/>
    <cellStyle name="Heading1 35" xfId="707"/>
    <cellStyle name="Heading1 36" xfId="716"/>
    <cellStyle name="Heading1 37" xfId="725"/>
    <cellStyle name="Heading1 38" xfId="734"/>
    <cellStyle name="Heading1 39" xfId="777"/>
    <cellStyle name="Heading1 39 2" xfId="1047"/>
    <cellStyle name="Heading1 39 2 2" xfId="1471"/>
    <cellStyle name="Heading1 39 2 3" xfId="1704"/>
    <cellStyle name="Heading1 39 2 4" xfId="2032"/>
    <cellStyle name="Heading1 39 2 5" xfId="3156"/>
    <cellStyle name="Heading1 39 2 6" xfId="2903"/>
    <cellStyle name="Heading1 39 2 7" xfId="3548"/>
    <cellStyle name="Heading1 39 3" xfId="1090"/>
    <cellStyle name="Heading1 39 3 2" xfId="1513"/>
    <cellStyle name="Heading1 39 3 3" xfId="1745"/>
    <cellStyle name="Heading1 39 3 4" xfId="2073"/>
    <cellStyle name="Heading1 39 3 5" xfId="3200"/>
    <cellStyle name="Heading1 39 3 6" xfId="3595"/>
    <cellStyle name="Heading1 39 3 7" xfId="4478"/>
    <cellStyle name="Heading1 39 4" xfId="1130"/>
    <cellStyle name="Heading1 39 4 2" xfId="1553"/>
    <cellStyle name="Heading1 39 4 3" xfId="1784"/>
    <cellStyle name="Heading1 39 4 4" xfId="2112"/>
    <cellStyle name="Heading1 39 4 5" xfId="3239"/>
    <cellStyle name="Heading1 39 4 6" xfId="2771"/>
    <cellStyle name="Heading1 39 4 7" xfId="2574"/>
    <cellStyle name="Heading1 4" xfId="154"/>
    <cellStyle name="Heading1 40" xfId="810"/>
    <cellStyle name="Heading1 40 2" xfId="1067"/>
    <cellStyle name="Heading1 40 2 2" xfId="1492"/>
    <cellStyle name="Heading1 40 2 3" xfId="1725"/>
    <cellStyle name="Heading1 40 2 4" xfId="2053"/>
    <cellStyle name="Heading1 40 2 5" xfId="3177"/>
    <cellStyle name="Heading1 40 2 6" xfId="2865"/>
    <cellStyle name="Heading1 40 2 7" xfId="2849"/>
    <cellStyle name="Heading1 40 3" xfId="1111"/>
    <cellStyle name="Heading1 40 3 2" xfId="1534"/>
    <cellStyle name="Heading1 40 3 3" xfId="1766"/>
    <cellStyle name="Heading1 40 3 4" xfId="2094"/>
    <cellStyle name="Heading1 40 3 5" xfId="3221"/>
    <cellStyle name="Heading1 40 3 6" xfId="3399"/>
    <cellStyle name="Heading1 40 3 7" xfId="2514"/>
    <cellStyle name="Heading1 40 4" xfId="1147"/>
    <cellStyle name="Heading1 40 4 2" xfId="1570"/>
    <cellStyle name="Heading1 40 4 3" xfId="1801"/>
    <cellStyle name="Heading1 40 4 4" xfId="2129"/>
    <cellStyle name="Heading1 40 4 5" xfId="3256"/>
    <cellStyle name="Heading1 40 4 6" xfId="3491"/>
    <cellStyle name="Heading1 40 4 7" xfId="4395"/>
    <cellStyle name="Heading1 41" xfId="5799"/>
    <cellStyle name="Heading1 42" xfId="5789"/>
    <cellStyle name="Heading1 43" xfId="5793"/>
    <cellStyle name="Heading1 44" xfId="5846"/>
    <cellStyle name="Heading1 45" xfId="6269"/>
    <cellStyle name="Heading1 46" xfId="6155"/>
    <cellStyle name="Heading1 47" xfId="6802"/>
    <cellStyle name="Heading1 48" xfId="6407"/>
    <cellStyle name="Heading1 49" xfId="6883"/>
    <cellStyle name="Heading1 5" xfId="295"/>
    <cellStyle name="Heading1 50" xfId="6621"/>
    <cellStyle name="Heading1 51" xfId="6731"/>
    <cellStyle name="Heading1 52" xfId="6803"/>
    <cellStyle name="Heading1 53" xfId="5972"/>
    <cellStyle name="Heading1 6" xfId="469"/>
    <cellStyle name="Heading1 7" xfId="458"/>
    <cellStyle name="Heading1 8" xfId="473"/>
    <cellStyle name="Heading1 9" xfId="479"/>
    <cellStyle name="Heading2" xfId="40"/>
    <cellStyle name="Heading2 10" xfId="501"/>
    <cellStyle name="Heading2 11" xfId="509"/>
    <cellStyle name="Heading2 12" xfId="518"/>
    <cellStyle name="Heading2 13" xfId="527"/>
    <cellStyle name="Heading2 14" xfId="536"/>
    <cellStyle name="Heading2 15" xfId="545"/>
    <cellStyle name="Heading2 16" xfId="554"/>
    <cellStyle name="Heading2 17" xfId="563"/>
    <cellStyle name="Heading2 18" xfId="572"/>
    <cellStyle name="Heading2 19" xfId="581"/>
    <cellStyle name="Heading2 2" xfId="144"/>
    <cellStyle name="Heading2 2 10" xfId="1194"/>
    <cellStyle name="Heading2 2 11" xfId="1297"/>
    <cellStyle name="Heading2 2 12" xfId="1848"/>
    <cellStyle name="Heading2 2 13" xfId="2569"/>
    <cellStyle name="Heading2 2 14" xfId="2851"/>
    <cellStyle name="Heading2 2 15" xfId="2888"/>
    <cellStyle name="Heading2 2 2" xfId="400"/>
    <cellStyle name="Heading2 2 3" xfId="799"/>
    <cellStyle name="Heading2 2 4" xfId="844"/>
    <cellStyle name="Heading2 2 5" xfId="861"/>
    <cellStyle name="Heading2 2 6" xfId="385"/>
    <cellStyle name="Heading2 2 7" xfId="924"/>
    <cellStyle name="Heading2 2 8" xfId="1016"/>
    <cellStyle name="Heading2 2 9" xfId="1033"/>
    <cellStyle name="Heading2 20" xfId="590"/>
    <cellStyle name="Heading2 21" xfId="599"/>
    <cellStyle name="Heading2 22" xfId="608"/>
    <cellStyle name="Heading2 23" xfId="617"/>
    <cellStyle name="Heading2 24" xfId="626"/>
    <cellStyle name="Heading2 25" xfId="635"/>
    <cellStyle name="Heading2 26" xfId="644"/>
    <cellStyle name="Heading2 27" xfId="652"/>
    <cellStyle name="Heading2 28" xfId="661"/>
    <cellStyle name="Heading2 29" xfId="670"/>
    <cellStyle name="Heading2 3" xfId="158"/>
    <cellStyle name="Heading2 3 2" xfId="464"/>
    <cellStyle name="Heading2 3 3" xfId="795"/>
    <cellStyle name="Heading2 3 4" xfId="840"/>
    <cellStyle name="Heading2 3 5" xfId="837"/>
    <cellStyle name="Heading2 3 6" xfId="962"/>
    <cellStyle name="Heading2 3 6 2" xfId="1396"/>
    <cellStyle name="Heading2 3 6 3" xfId="1633"/>
    <cellStyle name="Heading2 3 6 4" xfId="1961"/>
    <cellStyle name="Heading2 3 6 5" xfId="3076"/>
    <cellStyle name="Heading2 3 6 6" xfId="2686"/>
    <cellStyle name="Heading2 3 6 7" xfId="3055"/>
    <cellStyle name="Heading2 3 7" xfId="1000"/>
    <cellStyle name="Heading2 3 7 2" xfId="1430"/>
    <cellStyle name="Heading2 3 7 3" xfId="1667"/>
    <cellStyle name="Heading2 3 7 4" xfId="1995"/>
    <cellStyle name="Heading2 3 7 5" xfId="3113"/>
    <cellStyle name="Heading2 3 7 6" xfId="2823"/>
    <cellStyle name="Heading2 3 7 7" xfId="3391"/>
    <cellStyle name="Heading2 3 8" xfId="982"/>
    <cellStyle name="Heading2 3 8 2" xfId="1414"/>
    <cellStyle name="Heading2 3 8 3" xfId="1651"/>
    <cellStyle name="Heading2 3 8 4" xfId="1979"/>
    <cellStyle name="Heading2 3 8 5" xfId="3096"/>
    <cellStyle name="Heading2 3 8 6" xfId="3546"/>
    <cellStyle name="Heading2 3 8 7" xfId="4444"/>
    <cellStyle name="Heading2 30" xfId="679"/>
    <cellStyle name="Heading2 31" xfId="688"/>
    <cellStyle name="Heading2 32" xfId="697"/>
    <cellStyle name="Heading2 33" xfId="706"/>
    <cellStyle name="Heading2 34" xfId="715"/>
    <cellStyle name="Heading2 35" xfId="724"/>
    <cellStyle name="Heading2 36" xfId="733"/>
    <cellStyle name="Heading2 37" xfId="742"/>
    <cellStyle name="Heading2 38" xfId="750"/>
    <cellStyle name="Heading2 39" xfId="778"/>
    <cellStyle name="Heading2 39 2" xfId="1048"/>
    <cellStyle name="Heading2 39 2 2" xfId="1472"/>
    <cellStyle name="Heading2 39 2 3" xfId="1705"/>
    <cellStyle name="Heading2 39 2 4" xfId="2033"/>
    <cellStyle name="Heading2 39 2 5" xfId="3157"/>
    <cellStyle name="Heading2 39 2 6" xfId="2897"/>
    <cellStyle name="Heading2 39 2 7" xfId="2983"/>
    <cellStyle name="Heading2 39 3" xfId="1091"/>
    <cellStyle name="Heading2 39 3 2" xfId="1514"/>
    <cellStyle name="Heading2 39 3 3" xfId="1746"/>
    <cellStyle name="Heading2 39 3 4" xfId="2074"/>
    <cellStyle name="Heading2 39 3 5" xfId="3201"/>
    <cellStyle name="Heading2 39 3 6" xfId="3992"/>
    <cellStyle name="Heading2 39 3 7" xfId="4811"/>
    <cellStyle name="Heading2 39 4" xfId="1131"/>
    <cellStyle name="Heading2 39 4 2" xfId="1554"/>
    <cellStyle name="Heading2 39 4 3" xfId="1785"/>
    <cellStyle name="Heading2 39 4 4" xfId="2113"/>
    <cellStyle name="Heading2 39 4 5" xfId="3240"/>
    <cellStyle name="Heading2 39 4 6" xfId="2766"/>
    <cellStyle name="Heading2 39 4 7" xfId="2576"/>
    <cellStyle name="Heading2 4" xfId="152"/>
    <cellStyle name="Heading2 40" xfId="811"/>
    <cellStyle name="Heading2 40 2" xfId="1068"/>
    <cellStyle name="Heading2 40 2 2" xfId="1493"/>
    <cellStyle name="Heading2 40 2 3" xfId="1726"/>
    <cellStyle name="Heading2 40 2 4" xfId="2054"/>
    <cellStyle name="Heading2 40 2 5" xfId="3178"/>
    <cellStyle name="Heading2 40 2 6" xfId="2857"/>
    <cellStyle name="Heading2 40 2 7" xfId="3482"/>
    <cellStyle name="Heading2 40 3" xfId="1112"/>
    <cellStyle name="Heading2 40 3 2" xfId="1535"/>
    <cellStyle name="Heading2 40 3 3" xfId="1767"/>
    <cellStyle name="Heading2 40 3 4" xfId="2095"/>
    <cellStyle name="Heading2 40 3 5" xfId="3222"/>
    <cellStyle name="Heading2 40 3 6" xfId="3295"/>
    <cellStyle name="Heading2 40 3 7" xfId="2850"/>
    <cellStyle name="Heading2 40 4" xfId="1148"/>
    <cellStyle name="Heading2 40 4 2" xfId="1571"/>
    <cellStyle name="Heading2 40 4 3" xfId="1802"/>
    <cellStyle name="Heading2 40 4 4" xfId="2130"/>
    <cellStyle name="Heading2 40 4 5" xfId="3257"/>
    <cellStyle name="Heading2 40 4 6" xfId="3932"/>
    <cellStyle name="Heading2 40 4 7" xfId="4764"/>
    <cellStyle name="Heading2 41" xfId="5800"/>
    <cellStyle name="Heading2 42" xfId="5788"/>
    <cellStyle name="Heading2 43" xfId="5797"/>
    <cellStyle name="Heading2 44" xfId="5847"/>
    <cellStyle name="Heading2 45" xfId="6161"/>
    <cellStyle name="Heading2 46" xfId="6675"/>
    <cellStyle name="Heading2 47" xfId="6075"/>
    <cellStyle name="Heading2 48" xfId="6186"/>
    <cellStyle name="Heading2 49" xfId="6589"/>
    <cellStyle name="Heading2 5" xfId="297"/>
    <cellStyle name="Heading2 50" xfId="6714"/>
    <cellStyle name="Heading2 51" xfId="6386"/>
    <cellStyle name="Heading2 52" xfId="5878"/>
    <cellStyle name="Heading2 53" xfId="6296"/>
    <cellStyle name="Heading2 6" xfId="472"/>
    <cellStyle name="Heading2 7" xfId="478"/>
    <cellStyle name="Heading2 8" xfId="485"/>
    <cellStyle name="Heading2 9" xfId="493"/>
    <cellStyle name="Hyperlink 2" xfId="8272"/>
    <cellStyle name="Hyperlink 2 2" xfId="299"/>
    <cellStyle name="Hyperlink 2 3" xfId="300"/>
    <cellStyle name="Input [yellow]" xfId="302"/>
    <cellStyle name="Input [yellow] 10" xfId="1333"/>
    <cellStyle name="Input [yellow] 10 10" xfId="7803"/>
    <cellStyle name="Input [yellow] 10 11" xfId="7906"/>
    <cellStyle name="Input [yellow] 10 2" xfId="7297"/>
    <cellStyle name="Input [yellow] 10 2 2" xfId="8017"/>
    <cellStyle name="Input [yellow] 10 2 3" xfId="7876"/>
    <cellStyle name="Input [yellow] 10 3" xfId="7468"/>
    <cellStyle name="Input [yellow] 10 3 2" xfId="8098"/>
    <cellStyle name="Input [yellow] 10 3 3" xfId="8183"/>
    <cellStyle name="Input [yellow] 10 4" xfId="7193"/>
    <cellStyle name="Input [yellow] 10 4 2" xfId="7986"/>
    <cellStyle name="Input [yellow] 10 4 3" xfId="7850"/>
    <cellStyle name="Input [yellow] 10 5" xfId="7319"/>
    <cellStyle name="Input [yellow] 10 5 2" xfId="8025"/>
    <cellStyle name="Input [yellow] 10 5 3" xfId="7890"/>
    <cellStyle name="Input [yellow] 10 6" xfId="7282"/>
    <cellStyle name="Input [yellow] 10 6 2" xfId="8009"/>
    <cellStyle name="Input [yellow] 10 6 3" xfId="7846"/>
    <cellStyle name="Input [yellow] 10 7" xfId="7476"/>
    <cellStyle name="Input [yellow] 10 7 2" xfId="8100"/>
    <cellStyle name="Input [yellow] 10 7 3" xfId="8185"/>
    <cellStyle name="Input [yellow] 10 8" xfId="7486"/>
    <cellStyle name="Input [yellow] 10 8 2" xfId="8103"/>
    <cellStyle name="Input [yellow] 10 8 3" xfId="8188"/>
    <cellStyle name="Input [yellow] 10 9" xfId="7433"/>
    <cellStyle name="Input [yellow] 10 9 2" xfId="8084"/>
    <cellStyle name="Input [yellow] 10 9 3" xfId="8169"/>
    <cellStyle name="Input [yellow] 11" xfId="1849"/>
    <cellStyle name="Input [yellow] 11 10" xfId="7824"/>
    <cellStyle name="Input [yellow] 11 11" xfId="7731"/>
    <cellStyle name="Input [yellow] 11 2" xfId="7310"/>
    <cellStyle name="Input [yellow] 11 2 2" xfId="8022"/>
    <cellStyle name="Input [yellow] 11 2 3" xfId="7909"/>
    <cellStyle name="Input [yellow] 11 3" xfId="7512"/>
    <cellStyle name="Input [yellow] 11 3 2" xfId="8110"/>
    <cellStyle name="Input [yellow] 11 3 3" xfId="8195"/>
    <cellStyle name="Input [yellow] 11 4" xfId="7401"/>
    <cellStyle name="Input [yellow] 11 4 2" xfId="8071"/>
    <cellStyle name="Input [yellow] 11 4 3" xfId="8157"/>
    <cellStyle name="Input [yellow] 11 5" xfId="7324"/>
    <cellStyle name="Input [yellow] 11 5 2" xfId="8028"/>
    <cellStyle name="Input [yellow] 11 5 3" xfId="7875"/>
    <cellStyle name="Input [yellow] 11 6" xfId="7333"/>
    <cellStyle name="Input [yellow] 11 6 2" xfId="8032"/>
    <cellStyle name="Input [yellow] 11 6 3" xfId="7961"/>
    <cellStyle name="Input [yellow] 11 7" xfId="7361"/>
    <cellStyle name="Input [yellow] 11 7 2" xfId="8042"/>
    <cellStyle name="Input [yellow] 11 7 3" xfId="8128"/>
    <cellStyle name="Input [yellow] 11 8" xfId="7505"/>
    <cellStyle name="Input [yellow] 11 8 2" xfId="8108"/>
    <cellStyle name="Input [yellow] 11 8 3" xfId="8193"/>
    <cellStyle name="Input [yellow] 11 9" xfId="7452"/>
    <cellStyle name="Input [yellow] 11 9 2" xfId="8092"/>
    <cellStyle name="Input [yellow] 11 9 3" xfId="8177"/>
    <cellStyle name="Input [yellow] 12" xfId="2573"/>
    <cellStyle name="Input [yellow] 12 10" xfId="7841"/>
    <cellStyle name="Input [yellow] 12 11" xfId="7928"/>
    <cellStyle name="Input [yellow] 12 2" xfId="7335"/>
    <cellStyle name="Input [yellow] 12 2 2" xfId="8034"/>
    <cellStyle name="Input [yellow] 12 2 3" xfId="7936"/>
    <cellStyle name="Input [yellow] 12 3" xfId="7240"/>
    <cellStyle name="Input [yellow] 12 3 2" xfId="7998"/>
    <cellStyle name="Input [yellow] 12 3 3" xfId="7897"/>
    <cellStyle name="Input [yellow] 12 4" xfId="7394"/>
    <cellStyle name="Input [yellow] 12 4 2" xfId="8066"/>
    <cellStyle name="Input [yellow] 12 4 3" xfId="8152"/>
    <cellStyle name="Input [yellow] 12 5" xfId="7322"/>
    <cellStyle name="Input [yellow] 12 5 2" xfId="8027"/>
    <cellStyle name="Input [yellow] 12 5 3" xfId="7847"/>
    <cellStyle name="Input [yellow] 12 6" xfId="7400"/>
    <cellStyle name="Input [yellow] 12 6 2" xfId="8070"/>
    <cellStyle name="Input [yellow] 12 6 3" xfId="8156"/>
    <cellStyle name="Input [yellow] 12 7" xfId="7229"/>
    <cellStyle name="Input [yellow] 12 7 2" xfId="7995"/>
    <cellStyle name="Input [yellow] 12 7 3" xfId="7839"/>
    <cellStyle name="Input [yellow] 12 8" xfId="7281"/>
    <cellStyle name="Input [yellow] 12 8 2" xfId="8008"/>
    <cellStyle name="Input [yellow] 12 8 3" xfId="7843"/>
    <cellStyle name="Input [yellow] 12 9" xfId="7368"/>
    <cellStyle name="Input [yellow] 12 9 2" xfId="8047"/>
    <cellStyle name="Input [yellow] 12 9 3" xfId="8133"/>
    <cellStyle name="Input [yellow] 13" xfId="3608"/>
    <cellStyle name="Input [yellow] 13 10" xfId="7880"/>
    <cellStyle name="Input [yellow] 13 11" xfId="7946"/>
    <cellStyle name="Input [yellow] 13 2" xfId="7381"/>
    <cellStyle name="Input [yellow] 13 2 2" xfId="8057"/>
    <cellStyle name="Input [yellow] 13 2 3" xfId="8143"/>
    <cellStyle name="Input [yellow] 13 3" xfId="7424"/>
    <cellStyle name="Input [yellow] 13 3 2" xfId="8078"/>
    <cellStyle name="Input [yellow] 13 3 3" xfId="8164"/>
    <cellStyle name="Input [yellow] 13 4" xfId="7326"/>
    <cellStyle name="Input [yellow] 13 4 2" xfId="8029"/>
    <cellStyle name="Input [yellow] 13 4 3" xfId="7905"/>
    <cellStyle name="Input [yellow] 13 5" xfId="7431"/>
    <cellStyle name="Input [yellow] 13 5 2" xfId="8082"/>
    <cellStyle name="Input [yellow] 13 5 3" xfId="8167"/>
    <cellStyle name="Input [yellow] 13 6" xfId="7382"/>
    <cellStyle name="Input [yellow] 13 6 2" xfId="8058"/>
    <cellStyle name="Input [yellow] 13 6 3" xfId="8144"/>
    <cellStyle name="Input [yellow] 13 7" xfId="7556"/>
    <cellStyle name="Input [yellow] 13 7 2" xfId="8118"/>
    <cellStyle name="Input [yellow] 13 7 3" xfId="8203"/>
    <cellStyle name="Input [yellow] 13 8" xfId="7501"/>
    <cellStyle name="Input [yellow] 13 8 2" xfId="8107"/>
    <cellStyle name="Input [yellow] 13 8 3" xfId="8192"/>
    <cellStyle name="Input [yellow] 13 9" xfId="7360"/>
    <cellStyle name="Input [yellow] 13 9 2" xfId="8041"/>
    <cellStyle name="Input [yellow] 13 9 3" xfId="8127"/>
    <cellStyle name="Input [yellow] 14" xfId="4486"/>
    <cellStyle name="Input [yellow] 14 10" xfId="7895"/>
    <cellStyle name="Input [yellow] 14 11" xfId="7861"/>
    <cellStyle name="Input [yellow] 14 2" xfId="7413"/>
    <cellStyle name="Input [yellow] 14 2 2" xfId="8074"/>
    <cellStyle name="Input [yellow] 14 2 3" xfId="8160"/>
    <cellStyle name="Input [yellow] 14 3" xfId="7379"/>
    <cellStyle name="Input [yellow] 14 3 2" xfId="8056"/>
    <cellStyle name="Input [yellow] 14 3 3" xfId="8142"/>
    <cellStyle name="Input [yellow] 14 4" xfId="7352"/>
    <cellStyle name="Input [yellow] 14 4 2" xfId="8038"/>
    <cellStyle name="Input [yellow] 14 4 3" xfId="8124"/>
    <cellStyle name="Input [yellow] 14 5" xfId="7266"/>
    <cellStyle name="Input [yellow] 14 5 2" xfId="8004"/>
    <cellStyle name="Input [yellow] 14 5 3" xfId="7913"/>
    <cellStyle name="Input [yellow] 14 6" xfId="7427"/>
    <cellStyle name="Input [yellow] 14 6 2" xfId="8080"/>
    <cellStyle name="Input [yellow] 14 6 3" xfId="8165"/>
    <cellStyle name="Input [yellow] 14 7" xfId="7227"/>
    <cellStyle name="Input [yellow] 14 7 2" xfId="7994"/>
    <cellStyle name="Input [yellow] 14 7 3" xfId="7907"/>
    <cellStyle name="Input [yellow] 14 8" xfId="7244"/>
    <cellStyle name="Input [yellow] 14 8 2" xfId="7999"/>
    <cellStyle name="Input [yellow] 14 8 3" xfId="7894"/>
    <cellStyle name="Input [yellow] 14 9" xfId="7231"/>
    <cellStyle name="Input [yellow] 14 9 2" xfId="7996"/>
    <cellStyle name="Input [yellow] 14 9 3" xfId="7787"/>
    <cellStyle name="Input [yellow] 15" xfId="5801"/>
    <cellStyle name="Input [yellow] 15 10" xfId="7916"/>
    <cellStyle name="Input [yellow] 15 11" xfId="7714"/>
    <cellStyle name="Input [yellow] 15 2" xfId="7461"/>
    <cellStyle name="Input [yellow] 15 2 2" xfId="8097"/>
    <cellStyle name="Input [yellow] 15 2 3" xfId="8182"/>
    <cellStyle name="Input [yellow] 15 3" xfId="7491"/>
    <cellStyle name="Input [yellow] 15 3 2" xfId="8104"/>
    <cellStyle name="Input [yellow] 15 3 3" xfId="8189"/>
    <cellStyle name="Input [yellow] 15 4" xfId="7356"/>
    <cellStyle name="Input [yellow] 15 4 2" xfId="8039"/>
    <cellStyle name="Input [yellow] 15 4 3" xfId="8125"/>
    <cellStyle name="Input [yellow] 15 5" xfId="7369"/>
    <cellStyle name="Input [yellow] 15 5 2" xfId="8048"/>
    <cellStyle name="Input [yellow] 15 5 3" xfId="8134"/>
    <cellStyle name="Input [yellow] 15 6" xfId="7385"/>
    <cellStyle name="Input [yellow] 15 6 2" xfId="8061"/>
    <cellStyle name="Input [yellow] 15 6 3" xfId="8147"/>
    <cellStyle name="Input [yellow] 15 7" xfId="7422"/>
    <cellStyle name="Input [yellow] 15 7 2" xfId="8077"/>
    <cellStyle name="Input [yellow] 15 7 3" xfId="8163"/>
    <cellStyle name="Input [yellow] 15 8" xfId="7334"/>
    <cellStyle name="Input [yellow] 15 8 2" xfId="8033"/>
    <cellStyle name="Input [yellow] 15 8 3" xfId="7968"/>
    <cellStyle name="Input [yellow] 15 9" xfId="7454"/>
    <cellStyle name="Input [yellow] 15 9 2" xfId="8093"/>
    <cellStyle name="Input [yellow] 15 9 3" xfId="8178"/>
    <cellStyle name="Input [yellow] 16" xfId="5787"/>
    <cellStyle name="Input [yellow] 16 10" xfId="7914"/>
    <cellStyle name="Input [yellow] 16 11" xfId="7892"/>
    <cellStyle name="Input [yellow] 16 2" xfId="7459"/>
    <cellStyle name="Input [yellow] 16 2 2" xfId="8095"/>
    <cellStyle name="Input [yellow] 16 2 3" xfId="8180"/>
    <cellStyle name="Input [yellow] 16 3" xfId="7435"/>
    <cellStyle name="Input [yellow] 16 3 2" xfId="8085"/>
    <cellStyle name="Input [yellow] 16 3 3" xfId="8170"/>
    <cellStyle name="Input [yellow] 16 4" xfId="7447"/>
    <cellStyle name="Input [yellow] 16 4 2" xfId="8089"/>
    <cellStyle name="Input [yellow] 16 4 3" xfId="8174"/>
    <cellStyle name="Input [yellow] 16 5" xfId="7388"/>
    <cellStyle name="Input [yellow] 16 5 2" xfId="8063"/>
    <cellStyle name="Input [yellow] 16 5 3" xfId="8149"/>
    <cellStyle name="Input [yellow] 16 6" xfId="7378"/>
    <cellStyle name="Input [yellow] 16 6 2" xfId="8055"/>
    <cellStyle name="Input [yellow] 16 6 3" xfId="8141"/>
    <cellStyle name="Input [yellow] 16 7" xfId="7276"/>
    <cellStyle name="Input [yellow] 16 7 2" xfId="8006"/>
    <cellStyle name="Input [yellow] 16 7 3" xfId="7893"/>
    <cellStyle name="Input [yellow] 16 8" xfId="7599"/>
    <cellStyle name="Input [yellow] 16 8 2" xfId="8121"/>
    <cellStyle name="Input [yellow] 16 8 3" xfId="8206"/>
    <cellStyle name="Input [yellow] 16 9" xfId="7392"/>
    <cellStyle name="Input [yellow] 16 9 2" xfId="8065"/>
    <cellStyle name="Input [yellow] 16 9 3" xfId="8151"/>
    <cellStyle name="Input [yellow] 17" xfId="5798"/>
    <cellStyle name="Input [yellow] 17 10" xfId="7915"/>
    <cellStyle name="Input [yellow] 17 11" xfId="7854"/>
    <cellStyle name="Input [yellow] 17 2" xfId="7460"/>
    <cellStyle name="Input [yellow] 17 2 2" xfId="8096"/>
    <cellStyle name="Input [yellow] 17 2 3" xfId="8181"/>
    <cellStyle name="Input [yellow] 17 3" xfId="7294"/>
    <cellStyle name="Input [yellow] 17 3 2" xfId="8014"/>
    <cellStyle name="Input [yellow] 17 3 3" xfId="7802"/>
    <cellStyle name="Input [yellow] 17 4" xfId="7443"/>
    <cellStyle name="Input [yellow] 17 4 2" xfId="8088"/>
    <cellStyle name="Input [yellow] 17 4 3" xfId="8173"/>
    <cellStyle name="Input [yellow] 17 5" xfId="7308"/>
    <cellStyle name="Input [yellow] 17 5 2" xfId="8021"/>
    <cellStyle name="Input [yellow] 17 5 3" xfId="7859"/>
    <cellStyle name="Input [yellow] 17 6" xfId="7419"/>
    <cellStyle name="Input [yellow] 17 6 2" xfId="8075"/>
    <cellStyle name="Input [yellow] 17 6 3" xfId="8161"/>
    <cellStyle name="Input [yellow] 17 7" xfId="7214"/>
    <cellStyle name="Input [yellow] 17 7 2" xfId="7993"/>
    <cellStyle name="Input [yellow] 17 7 3" xfId="7830"/>
    <cellStyle name="Input [yellow] 17 8" xfId="7209"/>
    <cellStyle name="Input [yellow] 17 8 2" xfId="7992"/>
    <cellStyle name="Input [yellow] 17 8 3" xfId="7885"/>
    <cellStyle name="Input [yellow] 17 9" xfId="7296"/>
    <cellStyle name="Input [yellow] 17 9 2" xfId="8016"/>
    <cellStyle name="Input [yellow] 17 9 3" xfId="7840"/>
    <cellStyle name="Input [yellow] 18" xfId="7194"/>
    <cellStyle name="Input [yellow] 18 2" xfId="7987"/>
    <cellStyle name="Input [yellow] 18 3" xfId="7874"/>
    <cellStyle name="Input [yellow] 19" xfId="7428"/>
    <cellStyle name="Input [yellow] 19 2" xfId="8081"/>
    <cellStyle name="Input [yellow] 19 3" xfId="8166"/>
    <cellStyle name="Input [yellow] 2" xfId="303"/>
    <cellStyle name="Input [yellow] 2 10" xfId="7720"/>
    <cellStyle name="Input [yellow] 2 11" xfId="7790"/>
    <cellStyle name="Input [yellow] 2 2" xfId="7195"/>
    <cellStyle name="Input [yellow] 2 2 2" xfId="7988"/>
    <cellStyle name="Input [yellow] 2 2 3" xfId="7912"/>
    <cellStyle name="Input [yellow] 2 3" xfId="7399"/>
    <cellStyle name="Input [yellow] 2 3 2" xfId="8069"/>
    <cellStyle name="Input [yellow] 2 3 3" xfId="8155"/>
    <cellStyle name="Input [yellow] 2 4" xfId="7397"/>
    <cellStyle name="Input [yellow] 2 4 2" xfId="8067"/>
    <cellStyle name="Input [yellow] 2 4 3" xfId="8153"/>
    <cellStyle name="Input [yellow] 2 5" xfId="7371"/>
    <cellStyle name="Input [yellow] 2 5 2" xfId="8050"/>
    <cellStyle name="Input [yellow] 2 5 3" xfId="8136"/>
    <cellStyle name="Input [yellow] 2 6" xfId="7305"/>
    <cellStyle name="Input [yellow] 2 6 2" xfId="8020"/>
    <cellStyle name="Input [yellow] 2 6 3" xfId="7943"/>
    <cellStyle name="Input [yellow] 2 7" xfId="7398"/>
    <cellStyle name="Input [yellow] 2 7 2" xfId="8068"/>
    <cellStyle name="Input [yellow] 2 7 3" xfId="8154"/>
    <cellStyle name="Input [yellow] 2 8" xfId="7387"/>
    <cellStyle name="Input [yellow] 2 8 2" xfId="8062"/>
    <cellStyle name="Input [yellow] 2 8 3" xfId="8148"/>
    <cellStyle name="Input [yellow] 2 9" xfId="7484"/>
    <cellStyle name="Input [yellow] 2 9 2" xfId="8102"/>
    <cellStyle name="Input [yellow] 2 9 3" xfId="8187"/>
    <cellStyle name="Input [yellow] 20" xfId="7455"/>
    <cellStyle name="Input [yellow] 20 2" xfId="8094"/>
    <cellStyle name="Input [yellow] 20 3" xfId="8179"/>
    <cellStyle name="Input [yellow] 21" xfId="7522"/>
    <cellStyle name="Input [yellow] 21 2" xfId="8113"/>
    <cellStyle name="Input [yellow] 21 3" xfId="8198"/>
    <cellStyle name="Input [yellow] 22" xfId="7480"/>
    <cellStyle name="Input [yellow] 22 2" xfId="8101"/>
    <cellStyle name="Input [yellow] 22 3" xfId="8186"/>
    <cellStyle name="Input [yellow] 23" xfId="7364"/>
    <cellStyle name="Input [yellow] 23 2" xfId="8044"/>
    <cellStyle name="Input [yellow] 23 3" xfId="8130"/>
    <cellStyle name="Input [yellow] 24" xfId="7436"/>
    <cellStyle name="Input [yellow] 24 2" xfId="8086"/>
    <cellStyle name="Input [yellow] 24 3" xfId="8171"/>
    <cellStyle name="Input [yellow] 25" xfId="7548"/>
    <cellStyle name="Input [yellow] 25 2" xfId="8117"/>
    <cellStyle name="Input [yellow] 25 3" xfId="8202"/>
    <cellStyle name="Input [yellow] 26" xfId="7719"/>
    <cellStyle name="Input [yellow] 27" xfId="7769"/>
    <cellStyle name="Input [yellow] 28" xfId="8273"/>
    <cellStyle name="Input [yellow] 3" xfId="304"/>
    <cellStyle name="Input [yellow] 3 10" xfId="7721"/>
    <cellStyle name="Input [yellow] 3 11" xfId="7783"/>
    <cellStyle name="Input [yellow] 3 2" xfId="7196"/>
    <cellStyle name="Input [yellow] 3 2 2" xfId="7989"/>
    <cellStyle name="Input [yellow] 3 2 3" xfId="7904"/>
    <cellStyle name="Input [yellow] 3 3" xfId="7362"/>
    <cellStyle name="Input [yellow] 3 3 2" xfId="8043"/>
    <cellStyle name="Input [yellow] 3 3 3" xfId="8129"/>
    <cellStyle name="Input [yellow] 3 4" xfId="7389"/>
    <cellStyle name="Input [yellow] 3 4 2" xfId="8064"/>
    <cellStyle name="Input [yellow] 3 4 3" xfId="8150"/>
    <cellStyle name="Input [yellow] 3 5" xfId="7327"/>
    <cellStyle name="Input [yellow] 3 5 2" xfId="8030"/>
    <cellStyle name="Input [yellow] 3 5 3" xfId="7891"/>
    <cellStyle name="Input [yellow] 3 6" xfId="7304"/>
    <cellStyle name="Input [yellow] 3 6 2" xfId="8019"/>
    <cellStyle name="Input [yellow] 3 6 3" xfId="7969"/>
    <cellStyle name="Input [yellow] 3 7" xfId="7448"/>
    <cellStyle name="Input [yellow] 3 7 2" xfId="8090"/>
    <cellStyle name="Input [yellow] 3 7 3" xfId="8175"/>
    <cellStyle name="Input [yellow] 3 8" xfId="7494"/>
    <cellStyle name="Input [yellow] 3 8 2" xfId="8105"/>
    <cellStyle name="Input [yellow] 3 8 3" xfId="8190"/>
    <cellStyle name="Input [yellow] 3 9" xfId="7518"/>
    <cellStyle name="Input [yellow] 3 9 2" xfId="8112"/>
    <cellStyle name="Input [yellow] 3 9 3" xfId="8197"/>
    <cellStyle name="Input [yellow] 4" xfId="401"/>
    <cellStyle name="Input [yellow] 4 10" xfId="7729"/>
    <cellStyle name="Input [yellow] 4 11" xfId="7748"/>
    <cellStyle name="Input [yellow] 4 2" xfId="7208"/>
    <cellStyle name="Input [yellow] 4 2 2" xfId="7991"/>
    <cellStyle name="Input [yellow] 4 2 3" xfId="7902"/>
    <cellStyle name="Input [yellow] 4 3" xfId="7471"/>
    <cellStyle name="Input [yellow] 4 3 2" xfId="8099"/>
    <cellStyle name="Input [yellow] 4 3 3" xfId="8184"/>
    <cellStyle name="Input [yellow] 4 4" xfId="7408"/>
    <cellStyle name="Input [yellow] 4 4 2" xfId="8073"/>
    <cellStyle name="Input [yellow] 4 4 3" xfId="8159"/>
    <cellStyle name="Input [yellow] 4 5" xfId="7336"/>
    <cellStyle name="Input [yellow] 4 5 2" xfId="8035"/>
    <cellStyle name="Input [yellow] 4 5 3" xfId="7925"/>
    <cellStyle name="Input [yellow] 4 6" xfId="7238"/>
    <cellStyle name="Input [yellow] 4 6 2" xfId="7997"/>
    <cellStyle name="Input [yellow] 4 6 3" xfId="7827"/>
    <cellStyle name="Input [yellow] 4 7" xfId="7526"/>
    <cellStyle name="Input [yellow] 4 7 2" xfId="8115"/>
    <cellStyle name="Input [yellow] 4 7 3" xfId="8200"/>
    <cellStyle name="Input [yellow] 4 8" xfId="7376"/>
    <cellStyle name="Input [yellow] 4 8 2" xfId="8054"/>
    <cellStyle name="Input [yellow] 4 8 3" xfId="8140"/>
    <cellStyle name="Input [yellow] 4 9" xfId="7557"/>
    <cellStyle name="Input [yellow] 4 9 2" xfId="8119"/>
    <cellStyle name="Input [yellow] 4 9 3" xfId="8204"/>
    <cellStyle name="Input [yellow] 5" xfId="384"/>
    <cellStyle name="Input [yellow] 5 10" xfId="7728"/>
    <cellStyle name="Input [yellow] 5 11" xfId="7967"/>
    <cellStyle name="Input [yellow] 5 2" xfId="7206"/>
    <cellStyle name="Input [yellow] 5 2 2" xfId="7990"/>
    <cellStyle name="Input [yellow] 5 2 3" xfId="7837"/>
    <cellStyle name="Input [yellow] 5 3" xfId="7525"/>
    <cellStyle name="Input [yellow] 5 3 2" xfId="8114"/>
    <cellStyle name="Input [yellow] 5 3 3" xfId="8199"/>
    <cellStyle name="Input [yellow] 5 4" xfId="7284"/>
    <cellStyle name="Input [yellow] 5 4 2" xfId="8011"/>
    <cellStyle name="Input [yellow] 5 4 3" xfId="7900"/>
    <cellStyle name="Input [yellow] 5 5" xfId="7315"/>
    <cellStyle name="Input [yellow] 5 5 2" xfId="8023"/>
    <cellStyle name="Input [yellow] 5 5 3" xfId="7879"/>
    <cellStyle name="Input [yellow] 5 6" xfId="7372"/>
    <cellStyle name="Input [yellow] 5 6 2" xfId="8051"/>
    <cellStyle name="Input [yellow] 5 6 3" xfId="8137"/>
    <cellStyle name="Input [yellow] 5 7" xfId="7283"/>
    <cellStyle name="Input [yellow] 5 7 2" xfId="8010"/>
    <cellStyle name="Input [yellow] 5 7 3" xfId="7910"/>
    <cellStyle name="Input [yellow] 5 8" xfId="7302"/>
    <cellStyle name="Input [yellow] 5 8 2" xfId="8018"/>
    <cellStyle name="Input [yellow] 5 8 3" xfId="7801"/>
    <cellStyle name="Input [yellow] 5 9" xfId="7595"/>
    <cellStyle name="Input [yellow] 5 9 2" xfId="8120"/>
    <cellStyle name="Input [yellow] 5 9 3" xfId="8205"/>
    <cellStyle name="Input [yellow] 6" xfId="926"/>
    <cellStyle name="Input [yellow] 6 10" xfId="7779"/>
    <cellStyle name="Input [yellow] 6 11" xfId="8079"/>
    <cellStyle name="Input [yellow] 6 2" xfId="7273"/>
    <cellStyle name="Input [yellow] 6 2 2" xfId="8005"/>
    <cellStyle name="Input [yellow] 6 2 3" xfId="7878"/>
    <cellStyle name="Input [yellow] 6 3" xfId="7384"/>
    <cellStyle name="Input [yellow] 6 3 2" xfId="8060"/>
    <cellStyle name="Input [yellow] 6 3 3" xfId="8146"/>
    <cellStyle name="Input [yellow] 6 4" xfId="7432"/>
    <cellStyle name="Input [yellow] 6 4 2" xfId="8083"/>
    <cellStyle name="Input [yellow] 6 4 3" xfId="8168"/>
    <cellStyle name="Input [yellow] 6 5" xfId="7383"/>
    <cellStyle name="Input [yellow] 6 5 2" xfId="8059"/>
    <cellStyle name="Input [yellow] 6 5 3" xfId="8145"/>
    <cellStyle name="Input [yellow] 6 6" xfId="7375"/>
    <cellStyle name="Input [yellow] 6 6 2" xfId="8053"/>
    <cellStyle name="Input [yellow] 6 6 3" xfId="8139"/>
    <cellStyle name="Input [yellow] 6 7" xfId="7407"/>
    <cellStyle name="Input [yellow] 6 7 2" xfId="8072"/>
    <cellStyle name="Input [yellow] 6 7 3" xfId="8158"/>
    <cellStyle name="Input [yellow] 6 8" xfId="7260"/>
    <cellStyle name="Input [yellow] 6 8 2" xfId="8003"/>
    <cellStyle name="Input [yellow] 6 8 3" xfId="7901"/>
    <cellStyle name="Input [yellow] 6 9" xfId="7365"/>
    <cellStyle name="Input [yellow] 6 9 2" xfId="8045"/>
    <cellStyle name="Input [yellow] 6 9 3" xfId="8131"/>
    <cellStyle name="Input [yellow] 7" xfId="1085"/>
    <cellStyle name="Input [yellow] 7 10" xfId="7791"/>
    <cellStyle name="Input [yellow] 7 11" xfId="7931"/>
    <cellStyle name="Input [yellow] 7 2" xfId="7280"/>
    <cellStyle name="Input [yellow] 7 2 2" xfId="8007"/>
    <cellStyle name="Input [yellow] 7 2 3" xfId="7845"/>
    <cellStyle name="Input [yellow] 7 3" xfId="7317"/>
    <cellStyle name="Input [yellow] 7 3 2" xfId="8024"/>
    <cellStyle name="Input [yellow] 7 3 3" xfId="7911"/>
    <cellStyle name="Input [yellow] 7 4" xfId="7347"/>
    <cellStyle name="Input [yellow] 7 4 2" xfId="8037"/>
    <cellStyle name="Input [yellow] 7 4 3" xfId="8123"/>
    <cellStyle name="Input [yellow] 7 5" xfId="7295"/>
    <cellStyle name="Input [yellow] 7 5 2" xfId="8015"/>
    <cellStyle name="Input [yellow] 7 5 3" xfId="7883"/>
    <cellStyle name="Input [yellow] 7 6" xfId="7357"/>
    <cellStyle name="Input [yellow] 7 6 2" xfId="8040"/>
    <cellStyle name="Input [yellow] 7 6 3" xfId="8126"/>
    <cellStyle name="Input [yellow] 7 7" xfId="7320"/>
    <cellStyle name="Input [yellow] 7 7 2" xfId="8026"/>
    <cellStyle name="Input [yellow] 7 7 3" xfId="7838"/>
    <cellStyle name="Input [yellow] 7 8" xfId="7367"/>
    <cellStyle name="Input [yellow] 7 8 2" xfId="8046"/>
    <cellStyle name="Input [yellow] 7 8 3" xfId="8132"/>
    <cellStyle name="Input [yellow] 7 9" xfId="7510"/>
    <cellStyle name="Input [yellow] 7 9 2" xfId="8109"/>
    <cellStyle name="Input [yellow] 7 9 3" xfId="8194"/>
    <cellStyle name="Input [yellow] 8" xfId="1127"/>
    <cellStyle name="Input [yellow] 8 10" xfId="7794"/>
    <cellStyle name="Input [yellow] 8 11" xfId="7965"/>
    <cellStyle name="Input [yellow] 8 2" xfId="7285"/>
    <cellStyle name="Input [yellow] 8 2 2" xfId="8012"/>
    <cellStyle name="Input [yellow] 8 2 3" xfId="7884"/>
    <cellStyle name="Input [yellow] 8 3" xfId="7258"/>
    <cellStyle name="Input [yellow] 8 3 2" xfId="8002"/>
    <cellStyle name="Input [yellow] 8 3 3" xfId="7860"/>
    <cellStyle name="Input [yellow] 8 4" xfId="7374"/>
    <cellStyle name="Input [yellow] 8 4 2" xfId="8052"/>
    <cellStyle name="Input [yellow] 8 4 3" xfId="8138"/>
    <cellStyle name="Input [yellow] 8 5" xfId="7254"/>
    <cellStyle name="Input [yellow] 8 5 2" xfId="8000"/>
    <cellStyle name="Input [yellow] 8 5 3" xfId="7806"/>
    <cellStyle name="Input [yellow] 8 6" xfId="7338"/>
    <cellStyle name="Input [yellow] 8 6 2" xfId="8036"/>
    <cellStyle name="Input [yellow] 8 6 3" xfId="7865"/>
    <cellStyle name="Input [yellow] 8 7" xfId="7449"/>
    <cellStyle name="Input [yellow] 8 7 2" xfId="8091"/>
    <cellStyle name="Input [yellow] 8 7 3" xfId="8176"/>
    <cellStyle name="Input [yellow] 8 8" xfId="7515"/>
    <cellStyle name="Input [yellow] 8 8 2" xfId="8111"/>
    <cellStyle name="Input [yellow] 8 8 3" xfId="8196"/>
    <cellStyle name="Input [yellow] 8 9" xfId="7256"/>
    <cellStyle name="Input [yellow] 8 9 2" xfId="8001"/>
    <cellStyle name="Input [yellow] 8 9 3" xfId="7896"/>
    <cellStyle name="Input [yellow] 9" xfId="1195"/>
    <cellStyle name="Input [yellow] 9 10" xfId="7797"/>
    <cellStyle name="Input [yellow] 9 11" xfId="7908"/>
    <cellStyle name="Input [yellow] 9 2" xfId="7289"/>
    <cellStyle name="Input [yellow] 9 2 2" xfId="8013"/>
    <cellStyle name="Input [yellow] 9 2 3" xfId="7877"/>
    <cellStyle name="Input [yellow] 9 3" xfId="7420"/>
    <cellStyle name="Input [yellow] 9 3 2" xfId="8076"/>
    <cellStyle name="Input [yellow] 9 3 3" xfId="8162"/>
    <cellStyle name="Input [yellow] 9 4" xfId="7528"/>
    <cellStyle name="Input [yellow] 9 4 2" xfId="8116"/>
    <cellStyle name="Input [yellow] 9 4 3" xfId="8201"/>
    <cellStyle name="Input [yellow] 9 5" xfId="7329"/>
    <cellStyle name="Input [yellow] 9 5 2" xfId="8031"/>
    <cellStyle name="Input [yellow] 9 5 3" xfId="7800"/>
    <cellStyle name="Input [yellow] 9 6" xfId="7438"/>
    <cellStyle name="Input [yellow] 9 6 2" xfId="8087"/>
    <cellStyle name="Input [yellow] 9 6 3" xfId="8172"/>
    <cellStyle name="Input [yellow] 9 7" xfId="7500"/>
    <cellStyle name="Input [yellow] 9 7 2" xfId="8106"/>
    <cellStyle name="Input [yellow] 9 7 3" xfId="8191"/>
    <cellStyle name="Input [yellow] 9 8" xfId="7660"/>
    <cellStyle name="Input [yellow] 9 8 2" xfId="8122"/>
    <cellStyle name="Input [yellow] 9 8 3" xfId="8207"/>
    <cellStyle name="Input [yellow] 9 9" xfId="7370"/>
    <cellStyle name="Input [yellow] 9 9 2" xfId="8049"/>
    <cellStyle name="Input [yellow] 9 9 3" xfId="8135"/>
    <cellStyle name="Input 10" xfId="6924"/>
    <cellStyle name="Input 10 2" xfId="7966"/>
    <cellStyle name="Input 11" xfId="6797"/>
    <cellStyle name="Input 11 2" xfId="7964"/>
    <cellStyle name="Input 12" xfId="6280"/>
    <cellStyle name="Input 12 2" xfId="7941"/>
    <cellStyle name="Input 13" xfId="6660"/>
    <cellStyle name="Input 13 2" xfId="7959"/>
    <cellStyle name="Input 2" xfId="301"/>
    <cellStyle name="Input 2 10" xfId="6778"/>
    <cellStyle name="Input 2 11" xfId="6413"/>
    <cellStyle name="Input 2 12" xfId="6438"/>
    <cellStyle name="Input 2 13" xfId="7718"/>
    <cellStyle name="Input 2 14" xfId="8274"/>
    <cellStyle name="Input 2 2" xfId="305"/>
    <cellStyle name="Input 2 2 2" xfId="8275"/>
    <cellStyle name="Input 2 3" xfId="5850"/>
    <cellStyle name="Input 2 4" xfId="6022"/>
    <cellStyle name="Input 2 5" xfId="6503"/>
    <cellStyle name="Input 2 6" xfId="6398"/>
    <cellStyle name="Input 2 7" xfId="6486"/>
    <cellStyle name="Input 2 8" xfId="6318"/>
    <cellStyle name="Input 2 9" xfId="6650"/>
    <cellStyle name="Input 3" xfId="306"/>
    <cellStyle name="Input 4" xfId="5848"/>
    <cellStyle name="Input 4 2" xfId="7920"/>
    <cellStyle name="Input 5" xfId="6258"/>
    <cellStyle name="Input 5 2" xfId="7939"/>
    <cellStyle name="Input 6" xfId="6131"/>
    <cellStyle name="Input 6 2" xfId="7932"/>
    <cellStyle name="Input 7" xfId="6570"/>
    <cellStyle name="Input 7 2" xfId="7955"/>
    <cellStyle name="Input 8" xfId="6069"/>
    <cellStyle name="Input 8 2" xfId="7930"/>
    <cellStyle name="Input 9" xfId="6581"/>
    <cellStyle name="Input 9 2" xfId="7957"/>
    <cellStyle name="Inst. Sections" xfId="41"/>
    <cellStyle name="Inst. Subheading" xfId="42"/>
    <cellStyle name="Labels - Style3" xfId="308"/>
    <cellStyle name="Labels - Style3 2" xfId="7722"/>
    <cellStyle name="Labels - Style3 3" xfId="7775"/>
    <cellStyle name="Linked Cell 10" xfId="5863"/>
    <cellStyle name="Linked Cell 11" xfId="6858"/>
    <cellStyle name="Linked Cell 12" xfId="6148"/>
    <cellStyle name="Linked Cell 13" xfId="6628"/>
    <cellStyle name="Linked Cell 2" xfId="309"/>
    <cellStyle name="Linked Cell 2 10" xfId="6978"/>
    <cellStyle name="Linked Cell 2 11" xfId="6284"/>
    <cellStyle name="Linked Cell 2 12" xfId="6562"/>
    <cellStyle name="Linked Cell 2 2" xfId="310"/>
    <cellStyle name="Linked Cell 2 3" xfId="5853"/>
    <cellStyle name="Linked Cell 2 4" xfId="6042"/>
    <cellStyle name="Linked Cell 2 5" xfId="6446"/>
    <cellStyle name="Linked Cell 2 6" xfId="6679"/>
    <cellStyle name="Linked Cell 2 7" xfId="6368"/>
    <cellStyle name="Linked Cell 2 8" xfId="6160"/>
    <cellStyle name="Linked Cell 2 9" xfId="6387"/>
    <cellStyle name="Linked Cell 3" xfId="311"/>
    <cellStyle name="Linked Cell 4" xfId="5852"/>
    <cellStyle name="Linked Cell 5" xfId="6045"/>
    <cellStyle name="Linked Cell 6" xfId="6024"/>
    <cellStyle name="Linked Cell 7" xfId="6252"/>
    <cellStyle name="Linked Cell 8" xfId="6881"/>
    <cellStyle name="Linked Cell 9" xfId="497"/>
    <cellStyle name="Marathon" xfId="8276"/>
    <cellStyle name="MCP" xfId="8277"/>
    <cellStyle name="Neutral 10" xfId="6827"/>
    <cellStyle name="Neutral 11" xfId="6288"/>
    <cellStyle name="Neutral 12" xfId="6615"/>
    <cellStyle name="Neutral 13" xfId="6793"/>
    <cellStyle name="Neutral 2" xfId="312"/>
    <cellStyle name="Neutral 2 10" xfId="6404"/>
    <cellStyle name="Neutral 2 11" xfId="5876"/>
    <cellStyle name="Neutral 2 12" xfId="6032"/>
    <cellStyle name="Neutral 2 2" xfId="313"/>
    <cellStyle name="Neutral 2 3" xfId="5855"/>
    <cellStyle name="Neutral 2 4" xfId="6547"/>
    <cellStyle name="Neutral 2 5" xfId="6651"/>
    <cellStyle name="Neutral 2 6" xfId="6128"/>
    <cellStyle name="Neutral 2 7" xfId="6235"/>
    <cellStyle name="Neutral 2 8" xfId="6120"/>
    <cellStyle name="Neutral 2 9" xfId="6359"/>
    <cellStyle name="Neutral 3" xfId="314"/>
    <cellStyle name="Neutral 4" xfId="5854"/>
    <cellStyle name="Neutral 5" xfId="5922"/>
    <cellStyle name="Neutral 6" xfId="6251"/>
    <cellStyle name="Neutral 7" xfId="6400"/>
    <cellStyle name="Neutral 8" xfId="6863"/>
    <cellStyle name="Neutral 9" xfId="6762"/>
    <cellStyle name="nONE" xfId="43"/>
    <cellStyle name="nONE 2" xfId="8278"/>
    <cellStyle name="noninput" xfId="8279"/>
    <cellStyle name="Normal" xfId="0" builtinId="0"/>
    <cellStyle name="Normal - Style1" xfId="44"/>
    <cellStyle name="Normal - Style1 2" xfId="8280"/>
    <cellStyle name="Normal 10" xfId="99"/>
    <cellStyle name="Normal 10 10" xfId="7052"/>
    <cellStyle name="Normal 10 11" xfId="7068"/>
    <cellStyle name="Normal 10 12" xfId="7079"/>
    <cellStyle name="Normal 10 13" xfId="8281"/>
    <cellStyle name="Normal 10 2" xfId="5779"/>
    <cellStyle name="Normal 10 3" xfId="6877"/>
    <cellStyle name="Normal 10 4" xfId="6911"/>
    <cellStyle name="Normal 10 5" xfId="6941"/>
    <cellStyle name="Normal 10 6" xfId="6972"/>
    <cellStyle name="Normal 10 7" xfId="6995"/>
    <cellStyle name="Normal 10 8" xfId="7017"/>
    <cellStyle name="Normal 10 8 2" xfId="8282"/>
    <cellStyle name="Normal 10 9" xfId="7034"/>
    <cellStyle name="Normal 11" xfId="101"/>
    <cellStyle name="Normal 11 10" xfId="7053"/>
    <cellStyle name="Normal 11 11" xfId="7069"/>
    <cellStyle name="Normal 11 12" xfId="7080"/>
    <cellStyle name="Normal 11 2" xfId="5780"/>
    <cellStyle name="Normal 11 3" xfId="6878"/>
    <cellStyle name="Normal 11 4" xfId="6912"/>
    <cellStyle name="Normal 11 5" xfId="6942"/>
    <cellStyle name="Normal 11 6" xfId="6973"/>
    <cellStyle name="Normal 11 7" xfId="6996"/>
    <cellStyle name="Normal 11 8" xfId="7018"/>
    <cellStyle name="Normal 11 9" xfId="7035"/>
    <cellStyle name="Normal 12" xfId="103"/>
    <cellStyle name="Normal 12 10" xfId="7054"/>
    <cellStyle name="Normal 12 11" xfId="7070"/>
    <cellStyle name="Normal 12 12" xfId="7081"/>
    <cellStyle name="Normal 12 2" xfId="5781"/>
    <cellStyle name="Normal 12 3" xfId="6879"/>
    <cellStyle name="Normal 12 4" xfId="6913"/>
    <cellStyle name="Normal 12 5" xfId="6943"/>
    <cellStyle name="Normal 12 6" xfId="6974"/>
    <cellStyle name="Normal 12 7" xfId="6997"/>
    <cellStyle name="Normal 12 8" xfId="7019"/>
    <cellStyle name="Normal 12 9" xfId="7036"/>
    <cellStyle name="Normal 13" xfId="10"/>
    <cellStyle name="Normal 13 10" xfId="7055"/>
    <cellStyle name="Normal 13 11" xfId="7071"/>
    <cellStyle name="Normal 13 12" xfId="7082"/>
    <cellStyle name="Normal 13 2" xfId="5782"/>
    <cellStyle name="Normal 13 3" xfId="6880"/>
    <cellStyle name="Normal 13 4" xfId="6914"/>
    <cellStyle name="Normal 13 5" xfId="6944"/>
    <cellStyle name="Normal 13 6" xfId="6975"/>
    <cellStyle name="Normal 13 7" xfId="6998"/>
    <cellStyle name="Normal 13 8" xfId="7020"/>
    <cellStyle name="Normal 13 9" xfId="7037"/>
    <cellStyle name="Normal 14" xfId="168"/>
    <cellStyle name="Normal 14 2" xfId="8284"/>
    <cellStyle name="Normal 14 3" xfId="8283"/>
    <cellStyle name="Normal 15" xfId="11"/>
    <cellStyle name="Normal 15 2" xfId="8285"/>
    <cellStyle name="Normal 16" xfId="9"/>
    <cellStyle name="Normal 16 2" xfId="8286"/>
    <cellStyle name="Normal 17" xfId="13"/>
    <cellStyle name="Normal 17 2" xfId="8287"/>
    <cellStyle name="Normal 18" xfId="15"/>
    <cellStyle name="Normal 18 2" xfId="8288"/>
    <cellStyle name="Normal 19" xfId="14"/>
    <cellStyle name="Normal 19 2" xfId="8289"/>
    <cellStyle name="Normal 2" xfId="18"/>
    <cellStyle name="Normal 2 10" xfId="1209"/>
    <cellStyle name="Normal 2 10 2" xfId="2180"/>
    <cellStyle name="Normal 2 10 2 2" xfId="4072"/>
    <cellStyle name="Normal 2 10 2 3" xfId="4871"/>
    <cellStyle name="Normal 2 10 2 4" xfId="5501"/>
    <cellStyle name="Normal 2 10 3" xfId="3311"/>
    <cellStyle name="Normal 2 10 4" xfId="3734"/>
    <cellStyle name="Normal 2 10 5" xfId="4591"/>
    <cellStyle name="Normal 2 11" xfId="1292"/>
    <cellStyle name="Normal 2 11 2" xfId="2246"/>
    <cellStyle name="Normal 2 11 2 2" xfId="4138"/>
    <cellStyle name="Normal 2 11 2 3" xfId="4937"/>
    <cellStyle name="Normal 2 11 2 4" xfId="5567"/>
    <cellStyle name="Normal 2 11 3" xfId="3386"/>
    <cellStyle name="Normal 2 11 4" xfId="2526"/>
    <cellStyle name="Normal 2 11 5" xfId="2992"/>
    <cellStyle name="Normal 2 12" xfId="1850"/>
    <cellStyle name="Normal 2 12 2" xfId="3802"/>
    <cellStyle name="Normal 2 12 3" xfId="4645"/>
    <cellStyle name="Normal 2 12 4" xfId="5331"/>
    <cellStyle name="Normal 2 13" xfId="2583"/>
    <cellStyle name="Normal 2 14" xfId="3549"/>
    <cellStyle name="Normal 2 15" xfId="4445"/>
    <cellStyle name="Normal 2 16" xfId="5856"/>
    <cellStyle name="Normal 2 17" xfId="6099"/>
    <cellStyle name="Normal 2 18" xfId="6471"/>
    <cellStyle name="Normal 2 19" xfId="6736"/>
    <cellStyle name="Normal 2 2" xfId="17"/>
    <cellStyle name="Normal 2 2 10" xfId="2690"/>
    <cellStyle name="Normal 2 2 11" xfId="2623"/>
    <cellStyle name="Normal 2 2 12" xfId="3756"/>
    <cellStyle name="Normal 2 2 13" xfId="7126"/>
    <cellStyle name="Normal 2 2 2" xfId="316"/>
    <cellStyle name="Normal 2 2 2 2" xfId="446"/>
    <cellStyle name="Normal 2 2 2 3" xfId="7127"/>
    <cellStyle name="Normal 2 2 2 4" xfId="8290"/>
    <cellStyle name="Normal 2 2 3" xfId="871"/>
    <cellStyle name="Normal 2 2 3 2" xfId="8291"/>
    <cellStyle name="Normal 2 2 4" xfId="965"/>
    <cellStyle name="Normal 2 2 4 2" xfId="1399"/>
    <cellStyle name="Normal 2 2 4 3" xfId="1636"/>
    <cellStyle name="Normal 2 2 4 4" xfId="1964"/>
    <cellStyle name="Normal 2 2 4 5" xfId="3079"/>
    <cellStyle name="Normal 2 2 4 6" xfId="3772"/>
    <cellStyle name="Normal 2 2 4 7" xfId="4616"/>
    <cellStyle name="Normal 2 2 4 8" xfId="8292"/>
    <cellStyle name="Normal 2 2 5" xfId="1061"/>
    <cellStyle name="Normal 2 2 5 2" xfId="1486"/>
    <cellStyle name="Normal 2 2 5 3" xfId="1719"/>
    <cellStyle name="Normal 2 2 5 4" xfId="2047"/>
    <cellStyle name="Normal 2 2 5 5" xfId="3171"/>
    <cellStyle name="Normal 2 2 5 6" xfId="2734"/>
    <cellStyle name="Normal 2 2 5 7" xfId="3773"/>
    <cellStyle name="Normal 2 2 6" xfId="1105"/>
    <cellStyle name="Normal 2 2 6 2" xfId="1528"/>
    <cellStyle name="Normal 2 2 6 3" xfId="1760"/>
    <cellStyle name="Normal 2 2 6 4" xfId="2088"/>
    <cellStyle name="Normal 2 2 6 5" xfId="3215"/>
    <cellStyle name="Normal 2 2 6 6" xfId="3658"/>
    <cellStyle name="Normal 2 2 6 7" xfId="4533"/>
    <cellStyle name="Normal 2 2 7" xfId="1263"/>
    <cellStyle name="Normal 2 2 7 2" xfId="2217"/>
    <cellStyle name="Normal 2 2 7 2 2" xfId="4109"/>
    <cellStyle name="Normal 2 2 7 2 3" xfId="4908"/>
    <cellStyle name="Normal 2 2 7 2 4" xfId="5538"/>
    <cellStyle name="Normal 2 2 7 3" xfId="3357"/>
    <cellStyle name="Normal 2 2 7 4" xfId="3707"/>
    <cellStyle name="Normal 2 2 7 5" xfId="4573"/>
    <cellStyle name="Normal 2 2 8" xfId="1320"/>
    <cellStyle name="Normal 2 2 8 2" xfId="2269"/>
    <cellStyle name="Normal 2 2 8 2 2" xfId="4161"/>
    <cellStyle name="Normal 2 2 8 2 3" xfId="4960"/>
    <cellStyle name="Normal 2 2 8 2 4" xfId="5590"/>
    <cellStyle name="Normal 2 2 8 3" xfId="3412"/>
    <cellStyle name="Normal 2 2 8 4" xfId="2501"/>
    <cellStyle name="Normal 2 2 8 5" xfId="2847"/>
    <cellStyle name="Normal 2 2 9" xfId="1885"/>
    <cellStyle name="Normal 2 2 9 2" xfId="3834"/>
    <cellStyle name="Normal 2 2 9 3" xfId="4676"/>
    <cellStyle name="Normal 2 2 9 4" xfId="5359"/>
    <cellStyle name="Normal 2 20" xfId="6653"/>
    <cellStyle name="Normal 2 21" xfId="6126"/>
    <cellStyle name="Normal 2 22" xfId="6600"/>
    <cellStyle name="Normal 2 23" xfId="6579"/>
    <cellStyle name="Normal 2 24" xfId="6894"/>
    <cellStyle name="Normal 2 25" xfId="6557"/>
    <cellStyle name="Normal 2 26" xfId="7090"/>
    <cellStyle name="Normal 2 27" xfId="7095"/>
    <cellStyle name="Normal 2 28" xfId="7101"/>
    <cellStyle name="Normal 2 29" xfId="7108"/>
    <cellStyle name="Normal 2 3" xfId="19"/>
    <cellStyle name="Normal 2 3 2" xfId="783"/>
    <cellStyle name="Normal 2 3 2 2" xfId="1476"/>
    <cellStyle name="Normal 2 3 2 3" xfId="1709"/>
    <cellStyle name="Normal 2 3 2 4" xfId="2037"/>
    <cellStyle name="Normal 2 3 2 5" xfId="3161"/>
    <cellStyle name="Normal 2 3 2 6" xfId="3537"/>
    <cellStyle name="Normal 2 3 2 7" xfId="4435"/>
    <cellStyle name="Normal 2 3 3" xfId="1095"/>
    <cellStyle name="Normal 2 3 3 2" xfId="1518"/>
    <cellStyle name="Normal 2 3 3 3" xfId="1750"/>
    <cellStyle name="Normal 2 3 3 4" xfId="2078"/>
    <cellStyle name="Normal 2 3 3 5" xfId="3205"/>
    <cellStyle name="Normal 2 3 3 6" xfId="3709"/>
    <cellStyle name="Normal 2 3 3 7" xfId="4575"/>
    <cellStyle name="Normal 2 3 4" xfId="1134"/>
    <cellStyle name="Normal 2 3 4 2" xfId="1557"/>
    <cellStyle name="Normal 2 3 4 3" xfId="1788"/>
    <cellStyle name="Normal 2 3 4 4" xfId="2116"/>
    <cellStyle name="Normal 2 3 4 5" xfId="3243"/>
    <cellStyle name="Normal 2 3 4 6" xfId="2747"/>
    <cellStyle name="Normal 2 3 4 7" xfId="3738"/>
    <cellStyle name="Normal 2 3 5" xfId="7131"/>
    <cellStyle name="Normal 2 3 6" xfId="8293"/>
    <cellStyle name="Normal 2 30" xfId="7113"/>
    <cellStyle name="Normal 2 31" xfId="7116"/>
    <cellStyle name="Normal 2 32" xfId="7117"/>
    <cellStyle name="Normal 2 33" xfId="7167"/>
    <cellStyle name="Normal 2 34" xfId="7154"/>
    <cellStyle name="Normal 2 35" xfId="7168"/>
    <cellStyle name="Normal 2 36" xfId="7139"/>
    <cellStyle name="Normal 2 37" xfId="7129"/>
    <cellStyle name="Normal 2 38" xfId="7140"/>
    <cellStyle name="Normal 2 39" xfId="7144"/>
    <cellStyle name="Normal 2 4" xfId="827"/>
    <cellStyle name="Normal 2 4 2" xfId="1073"/>
    <cellStyle name="Normal 2 4 2 2" xfId="1497"/>
    <cellStyle name="Normal 2 4 2 3" xfId="1730"/>
    <cellStyle name="Normal 2 4 2 4" xfId="2058"/>
    <cellStyle name="Normal 2 4 2 5" xfId="3183"/>
    <cellStyle name="Normal 2 4 2 6" xfId="3046"/>
    <cellStyle name="Normal 2 4 2 7" xfId="2937"/>
    <cellStyle name="Normal 2 4 3" xfId="1116"/>
    <cellStyle name="Normal 2 4 3 2" xfId="1539"/>
    <cellStyle name="Normal 2 4 3 3" xfId="1771"/>
    <cellStyle name="Normal 2 4 3 4" xfId="2099"/>
    <cellStyle name="Normal 2 4 3 5" xfId="3226"/>
    <cellStyle name="Normal 2 4 3 6" xfId="2815"/>
    <cellStyle name="Normal 2 4 3 7" xfId="2858"/>
    <cellStyle name="Normal 2 4 4" xfId="1151"/>
    <cellStyle name="Normal 2 4 4 2" xfId="1574"/>
    <cellStyle name="Normal 2 4 4 3" xfId="1805"/>
    <cellStyle name="Normal 2 4 4 4" xfId="2133"/>
    <cellStyle name="Normal 2 4 4 5" xfId="3260"/>
    <cellStyle name="Normal 2 4 4 6" xfId="3905"/>
    <cellStyle name="Normal 2 4 4 7" xfId="4747"/>
    <cellStyle name="Normal 2 4 5" xfId="8294"/>
    <cellStyle name="Normal 2 40" xfId="7166"/>
    <cellStyle name="Normal 2 5" xfId="821"/>
    <cellStyle name="Normal 2 5 2" xfId="8295"/>
    <cellStyle name="Normal 2 6" xfId="382"/>
    <cellStyle name="Normal 2 6 2" xfId="1259"/>
    <cellStyle name="Normal 2 6 2 2" xfId="2213"/>
    <cellStyle name="Normal 2 6 2 2 2" xfId="4105"/>
    <cellStyle name="Normal 2 6 2 2 3" xfId="4904"/>
    <cellStyle name="Normal 2 6 2 2 4" xfId="5534"/>
    <cellStyle name="Normal 2 6 2 3" xfId="3353"/>
    <cellStyle name="Normal 2 6 2 4" xfId="3990"/>
    <cellStyle name="Normal 2 6 2 5" xfId="4809"/>
    <cellStyle name="Normal 2 6 3" xfId="1508"/>
    <cellStyle name="Normal 2 6 3 2" xfId="2368"/>
    <cellStyle name="Normal 2 6 3 2 2" xfId="4260"/>
    <cellStyle name="Normal 2 6 3 2 3" xfId="5059"/>
    <cellStyle name="Normal 2 6 3 2 4" xfId="5689"/>
    <cellStyle name="Normal 2 6 3 3" xfId="3563"/>
    <cellStyle name="Normal 2 6 3 4" xfId="4457"/>
    <cellStyle name="Normal 2 6 3 5" xfId="5221"/>
    <cellStyle name="Normal 2 6 4" xfId="1884"/>
    <cellStyle name="Normal 2 6 4 2" xfId="3833"/>
    <cellStyle name="Normal 2 6 4 3" xfId="4675"/>
    <cellStyle name="Normal 2 6 4 4" xfId="5358"/>
    <cellStyle name="Normal 2 6 5" xfId="2680"/>
    <cellStyle name="Normal 2 6 6" xfId="2628"/>
    <cellStyle name="Normal 2 6 7" xfId="2948"/>
    <cellStyle name="Normal 2 7" xfId="933"/>
    <cellStyle name="Normal 2 7 2" xfId="1380"/>
    <cellStyle name="Normal 2 7 2 2" xfId="2325"/>
    <cellStyle name="Normal 2 7 2 2 2" xfId="4217"/>
    <cellStyle name="Normal 2 7 2 2 3" xfId="5016"/>
    <cellStyle name="Normal 2 7 2 2 4" xfId="5646"/>
    <cellStyle name="Normal 2 7 2 3" xfId="3469"/>
    <cellStyle name="Normal 2 7 2 4" xfId="4379"/>
    <cellStyle name="Normal 2 7 2 5" xfId="5178"/>
    <cellStyle name="Normal 2 7 3" xfId="1618"/>
    <cellStyle name="Normal 2 7 3 2" xfId="2410"/>
    <cellStyle name="Normal 2 7 3 2 2" xfId="4302"/>
    <cellStyle name="Normal 2 7 3 2 3" xfId="5101"/>
    <cellStyle name="Normal 2 7 3 2 4" xfId="5731"/>
    <cellStyle name="Normal 2 7 3 3" xfId="3643"/>
    <cellStyle name="Normal 2 7 3 4" xfId="4521"/>
    <cellStyle name="Normal 2 7 3 5" xfId="5263"/>
    <cellStyle name="Normal 2 7 4" xfId="1946"/>
    <cellStyle name="Normal 2 7 4 2" xfId="3894"/>
    <cellStyle name="Normal 2 7 4 3" xfId="4736"/>
    <cellStyle name="Normal 2 7 4 4" xfId="5419"/>
    <cellStyle name="Normal 2 7 5" xfId="3052"/>
    <cellStyle name="Normal 2 7 6" xfId="2895"/>
    <cellStyle name="Normal 2 7 7" xfId="3723"/>
    <cellStyle name="Normal 2 8" xfId="942"/>
    <cellStyle name="Normal 2 8 2" xfId="1383"/>
    <cellStyle name="Normal 2 8 2 2" xfId="2328"/>
    <cellStyle name="Normal 2 8 2 2 2" xfId="4220"/>
    <cellStyle name="Normal 2 8 2 2 3" xfId="5019"/>
    <cellStyle name="Normal 2 8 2 2 4" xfId="5649"/>
    <cellStyle name="Normal 2 8 2 3" xfId="3472"/>
    <cellStyle name="Normal 2 8 2 4" xfId="4382"/>
    <cellStyle name="Normal 2 8 2 5" xfId="5181"/>
    <cellStyle name="Normal 2 8 3" xfId="1621"/>
    <cellStyle name="Normal 2 8 3 2" xfId="2413"/>
    <cellStyle name="Normal 2 8 3 2 2" xfId="4305"/>
    <cellStyle name="Normal 2 8 3 2 3" xfId="5104"/>
    <cellStyle name="Normal 2 8 3 2 4" xfId="5734"/>
    <cellStyle name="Normal 2 8 3 3" xfId="3646"/>
    <cellStyle name="Normal 2 8 3 4" xfId="4524"/>
    <cellStyle name="Normal 2 8 3 5" xfId="5266"/>
    <cellStyle name="Normal 2 8 4" xfId="1949"/>
    <cellStyle name="Normal 2 8 4 2" xfId="3897"/>
    <cellStyle name="Normal 2 8 4 3" xfId="4739"/>
    <cellStyle name="Normal 2 8 4 4" xfId="5422"/>
    <cellStyle name="Normal 2 8 5" xfId="3058"/>
    <cellStyle name="Normal 2 8 6" xfId="3653"/>
    <cellStyle name="Normal 2 8 7" xfId="4530"/>
    <cellStyle name="Normal 2 9" xfId="931"/>
    <cellStyle name="Normal 2 9 2" xfId="1378"/>
    <cellStyle name="Normal 2 9 2 2" xfId="2323"/>
    <cellStyle name="Normal 2 9 2 2 2" xfId="4215"/>
    <cellStyle name="Normal 2 9 2 2 3" xfId="5014"/>
    <cellStyle name="Normal 2 9 2 2 4" xfId="5644"/>
    <cellStyle name="Normal 2 9 2 3" xfId="3467"/>
    <cellStyle name="Normal 2 9 2 4" xfId="4377"/>
    <cellStyle name="Normal 2 9 2 5" xfId="5176"/>
    <cellStyle name="Normal 2 9 3" xfId="1616"/>
    <cellStyle name="Normal 2 9 3 2" xfId="2408"/>
    <cellStyle name="Normal 2 9 3 2 2" xfId="4300"/>
    <cellStyle name="Normal 2 9 3 2 3" xfId="5099"/>
    <cellStyle name="Normal 2 9 3 2 4" xfId="5729"/>
    <cellStyle name="Normal 2 9 3 3" xfId="3641"/>
    <cellStyle name="Normal 2 9 3 4" xfId="4519"/>
    <cellStyle name="Normal 2 9 3 5" xfId="5261"/>
    <cellStyle name="Normal 2 9 4" xfId="1944"/>
    <cellStyle name="Normal 2 9 4 2" xfId="3892"/>
    <cellStyle name="Normal 2 9 4 3" xfId="4734"/>
    <cellStyle name="Normal 2 9 4 4" xfId="5417"/>
    <cellStyle name="Normal 2 9 5" xfId="3050"/>
    <cellStyle name="Normal 2 9 6" xfId="2907"/>
    <cellStyle name="Normal 2 9 7" xfId="3501"/>
    <cellStyle name="Normal 20" xfId="133"/>
    <cellStyle name="Normal 20 2" xfId="8297"/>
    <cellStyle name="Normal 20 3" xfId="8298"/>
    <cellStyle name="Normal 20 4" xfId="8296"/>
    <cellStyle name="Normal 21" xfId="350"/>
    <cellStyle name="Normal 21 2" xfId="8299"/>
    <cellStyle name="Normal 22" xfId="16"/>
    <cellStyle name="Normal 22 2" xfId="8301"/>
    <cellStyle name="Normal 22 3" xfId="8302"/>
    <cellStyle name="Normal 22 4" xfId="8300"/>
    <cellStyle name="Normal 23" xfId="7084"/>
    <cellStyle name="Normal 23 2" xfId="8303"/>
    <cellStyle name="Normal 23 3" xfId="8304"/>
    <cellStyle name="Normal 24" xfId="8305"/>
    <cellStyle name="Normal 25" xfId="8306"/>
    <cellStyle name="Normal 26" xfId="8307"/>
    <cellStyle name="Normal 26 2" xfId="8308"/>
    <cellStyle name="Normal 26 3" xfId="8309"/>
    <cellStyle name="Normal 27" xfId="8310"/>
    <cellStyle name="Normal 28" xfId="8311"/>
    <cellStyle name="Normal 29" xfId="8312"/>
    <cellStyle name="Normal 3" xfId="66"/>
    <cellStyle name="Normal 3 10" xfId="2584"/>
    <cellStyle name="Normal 3 11" xfId="2955"/>
    <cellStyle name="Normal 3 12" xfId="3599"/>
    <cellStyle name="Normal 3 13" xfId="5857"/>
    <cellStyle name="Normal 3 14" xfId="6102"/>
    <cellStyle name="Normal 3 15" xfId="6666"/>
    <cellStyle name="Normal 3 16" xfId="6627"/>
    <cellStyle name="Normal 3 17" xfId="6622"/>
    <cellStyle name="Normal 3 18" xfId="6569"/>
    <cellStyle name="Normal 3 19" xfId="6755"/>
    <cellStyle name="Normal 3 2" xfId="317"/>
    <cellStyle name="Normal 3 2 2" xfId="1264"/>
    <cellStyle name="Normal 3 2 2 2" xfId="2218"/>
    <cellStyle name="Normal 3 2 2 2 2" xfId="4110"/>
    <cellStyle name="Normal 3 2 2 2 3" xfId="4909"/>
    <cellStyle name="Normal 3 2 2 2 4" xfId="5539"/>
    <cellStyle name="Normal 3 2 2 3" xfId="3358"/>
    <cellStyle name="Normal 3 2 2 4" xfId="3543"/>
    <cellStyle name="Normal 3 2 2 5" xfId="4441"/>
    <cellStyle name="Normal 3 2 3" xfId="1317"/>
    <cellStyle name="Normal 3 2 3 2" xfId="2266"/>
    <cellStyle name="Normal 3 2 3 2 2" xfId="4158"/>
    <cellStyle name="Normal 3 2 3 2 3" xfId="4957"/>
    <cellStyle name="Normal 3 2 3 2 4" xfId="5587"/>
    <cellStyle name="Normal 3 2 3 3" xfId="3409"/>
    <cellStyle name="Normal 3 2 3 4" xfId="2504"/>
    <cellStyle name="Normal 3 2 3 5" xfId="2830"/>
    <cellStyle name="Normal 3 2 4" xfId="1886"/>
    <cellStyle name="Normal 3 2 4 2" xfId="3835"/>
    <cellStyle name="Normal 3 2 4 3" xfId="4677"/>
    <cellStyle name="Normal 3 2 4 4" xfId="5360"/>
    <cellStyle name="Normal 3 2 5" xfId="2691"/>
    <cellStyle name="Normal 3 2 6" xfId="2622"/>
    <cellStyle name="Normal 3 2 7" xfId="4016"/>
    <cellStyle name="Normal 3 2 8" xfId="8313"/>
    <cellStyle name="Normal 3 20" xfId="6343"/>
    <cellStyle name="Normal 3 21" xfId="6987"/>
    <cellStyle name="Normal 3 22" xfId="6580"/>
    <cellStyle name="Normal 3 3" xfId="381"/>
    <cellStyle name="Normal 3 3 2" xfId="1258"/>
    <cellStyle name="Normal 3 3 2 2" xfId="2212"/>
    <cellStyle name="Normal 3 3 2 2 2" xfId="4104"/>
    <cellStyle name="Normal 3 3 2 2 3" xfId="4903"/>
    <cellStyle name="Normal 3 3 2 2 4" xfId="5533"/>
    <cellStyle name="Normal 3 3 2 3" xfId="3352"/>
    <cellStyle name="Normal 3 3 2 4" xfId="3593"/>
    <cellStyle name="Normal 3 3 2 5" xfId="4476"/>
    <cellStyle name="Normal 3 3 3" xfId="1550"/>
    <cellStyle name="Normal 3 3 3 2" xfId="2375"/>
    <cellStyle name="Normal 3 3 3 2 2" xfId="4267"/>
    <cellStyle name="Normal 3 3 3 2 3" xfId="5066"/>
    <cellStyle name="Normal 3 3 3 2 4" xfId="5696"/>
    <cellStyle name="Normal 3 3 3 3" xfId="3591"/>
    <cellStyle name="Normal 3 3 3 4" xfId="4475"/>
    <cellStyle name="Normal 3 3 3 5" xfId="5228"/>
    <cellStyle name="Normal 3 3 4" xfId="1883"/>
    <cellStyle name="Normal 3 3 4 2" xfId="3832"/>
    <cellStyle name="Normal 3 3 4 3" xfId="4674"/>
    <cellStyle name="Normal 3 3 4 4" xfId="5357"/>
    <cellStyle name="Normal 3 3 5" xfId="2679"/>
    <cellStyle name="Normal 3 3 6" xfId="2629"/>
    <cellStyle name="Normal 3 3 7" xfId="2943"/>
    <cellStyle name="Normal 3 3 8" xfId="8314"/>
    <cellStyle name="Normal 3 4" xfId="934"/>
    <cellStyle name="Normal 3 4 2" xfId="1381"/>
    <cellStyle name="Normal 3 4 2 2" xfId="2326"/>
    <cellStyle name="Normal 3 4 2 2 2" xfId="4218"/>
    <cellStyle name="Normal 3 4 2 2 3" xfId="5017"/>
    <cellStyle name="Normal 3 4 2 2 4" xfId="5647"/>
    <cellStyle name="Normal 3 4 2 3" xfId="3470"/>
    <cellStyle name="Normal 3 4 2 4" xfId="4380"/>
    <cellStyle name="Normal 3 4 2 5" xfId="5179"/>
    <cellStyle name="Normal 3 4 3" xfId="1619"/>
    <cellStyle name="Normal 3 4 3 2" xfId="2411"/>
    <cellStyle name="Normal 3 4 3 2 2" xfId="4303"/>
    <cellStyle name="Normal 3 4 3 2 3" xfId="5102"/>
    <cellStyle name="Normal 3 4 3 2 4" xfId="5732"/>
    <cellStyle name="Normal 3 4 3 3" xfId="3644"/>
    <cellStyle name="Normal 3 4 3 4" xfId="4522"/>
    <cellStyle name="Normal 3 4 3 5" xfId="5264"/>
    <cellStyle name="Normal 3 4 4" xfId="1947"/>
    <cellStyle name="Normal 3 4 4 2" xfId="3895"/>
    <cellStyle name="Normal 3 4 4 3" xfId="4737"/>
    <cellStyle name="Normal 3 4 4 4" xfId="5420"/>
    <cellStyle name="Normal 3 4 5" xfId="3053"/>
    <cellStyle name="Normal 3 4 6" xfId="2890"/>
    <cellStyle name="Normal 3 4 7" xfId="2565"/>
    <cellStyle name="Normal 3 4 8" xfId="8315"/>
    <cellStyle name="Normal 3 5" xfId="941"/>
    <cellStyle name="Normal 3 5 2" xfId="1382"/>
    <cellStyle name="Normal 3 5 2 2" xfId="2327"/>
    <cellStyle name="Normal 3 5 2 2 2" xfId="4219"/>
    <cellStyle name="Normal 3 5 2 2 3" xfId="5018"/>
    <cellStyle name="Normal 3 5 2 2 4" xfId="5648"/>
    <cellStyle name="Normal 3 5 2 3" xfId="3471"/>
    <cellStyle name="Normal 3 5 2 4" xfId="4381"/>
    <cellStyle name="Normal 3 5 2 5" xfId="5180"/>
    <cellStyle name="Normal 3 5 3" xfId="1620"/>
    <cellStyle name="Normal 3 5 3 2" xfId="2412"/>
    <cellStyle name="Normal 3 5 3 2 2" xfId="4304"/>
    <cellStyle name="Normal 3 5 3 2 3" xfId="5103"/>
    <cellStyle name="Normal 3 5 3 2 4" xfId="5733"/>
    <cellStyle name="Normal 3 5 3 3" xfId="3645"/>
    <cellStyle name="Normal 3 5 3 4" xfId="4523"/>
    <cellStyle name="Normal 3 5 3 5" xfId="5265"/>
    <cellStyle name="Normal 3 5 4" xfId="1948"/>
    <cellStyle name="Normal 3 5 4 2" xfId="3896"/>
    <cellStyle name="Normal 3 5 4 3" xfId="4738"/>
    <cellStyle name="Normal 3 5 4 4" xfId="5421"/>
    <cellStyle name="Normal 3 5 5" xfId="3057"/>
    <cellStyle name="Normal 3 5 6" xfId="3904"/>
    <cellStyle name="Normal 3 5 7" xfId="4746"/>
    <cellStyle name="Normal 3 6" xfId="932"/>
    <cellStyle name="Normal 3 6 2" xfId="1379"/>
    <cellStyle name="Normal 3 6 2 2" xfId="2324"/>
    <cellStyle name="Normal 3 6 2 2 2" xfId="4216"/>
    <cellStyle name="Normal 3 6 2 2 3" xfId="5015"/>
    <cellStyle name="Normal 3 6 2 2 4" xfId="5645"/>
    <cellStyle name="Normal 3 6 2 3" xfId="3468"/>
    <cellStyle name="Normal 3 6 2 4" xfId="4378"/>
    <cellStyle name="Normal 3 6 2 5" xfId="5177"/>
    <cellStyle name="Normal 3 6 3" xfId="1617"/>
    <cellStyle name="Normal 3 6 3 2" xfId="2409"/>
    <cellStyle name="Normal 3 6 3 2 2" xfId="4301"/>
    <cellStyle name="Normal 3 6 3 2 3" xfId="5100"/>
    <cellStyle name="Normal 3 6 3 2 4" xfId="5730"/>
    <cellStyle name="Normal 3 6 3 3" xfId="3642"/>
    <cellStyle name="Normal 3 6 3 4" xfId="4520"/>
    <cellStyle name="Normal 3 6 3 5" xfId="5262"/>
    <cellStyle name="Normal 3 6 4" xfId="1945"/>
    <cellStyle name="Normal 3 6 4 2" xfId="3893"/>
    <cellStyle name="Normal 3 6 4 3" xfId="4735"/>
    <cellStyle name="Normal 3 6 4 4" xfId="5418"/>
    <cellStyle name="Normal 3 6 5" xfId="3051"/>
    <cellStyle name="Normal 3 6 6" xfId="2901"/>
    <cellStyle name="Normal 3 6 7" xfId="3965"/>
    <cellStyle name="Normal 3 6 8" xfId="8316"/>
    <cellStyle name="Normal 3 7" xfId="1210"/>
    <cellStyle name="Normal 3 7 2" xfId="2181"/>
    <cellStyle name="Normal 3 7 2 2" xfId="4073"/>
    <cellStyle name="Normal 3 7 2 3" xfId="4872"/>
    <cellStyle name="Normal 3 7 2 4" xfId="5502"/>
    <cellStyle name="Normal 3 7 3" xfId="3312"/>
    <cellStyle name="Normal 3 7 4" xfId="3572"/>
    <cellStyle name="Normal 3 7 5" xfId="4462"/>
    <cellStyle name="Normal 3 8" xfId="1318"/>
    <cellStyle name="Normal 3 8 2" xfId="2267"/>
    <cellStyle name="Normal 3 8 2 2" xfId="4159"/>
    <cellStyle name="Normal 3 8 2 3" xfId="4958"/>
    <cellStyle name="Normal 3 8 2 4" xfId="5588"/>
    <cellStyle name="Normal 3 8 3" xfId="3410"/>
    <cellStyle name="Normal 3 8 4" xfId="2503"/>
    <cellStyle name="Normal 3 8 5" xfId="2835"/>
    <cellStyle name="Normal 3 9" xfId="1851"/>
    <cellStyle name="Normal 3 9 2" xfId="3803"/>
    <cellStyle name="Normal 3 9 3" xfId="4646"/>
    <cellStyle name="Normal 3 9 4" xfId="5332"/>
    <cellStyle name="Normal 30" xfId="7109"/>
    <cellStyle name="Normal 30 2" xfId="8317"/>
    <cellStyle name="Normal 31" xfId="8318"/>
    <cellStyle name="Normal 32" xfId="8319"/>
    <cellStyle name="Normal 33" xfId="8320"/>
    <cellStyle name="Normal 34" xfId="8321"/>
    <cellStyle name="Normal 35" xfId="8322"/>
    <cellStyle name="Normal 36" xfId="8323"/>
    <cellStyle name="Normal 37" xfId="8324"/>
    <cellStyle name="Normal 38" xfId="8325"/>
    <cellStyle name="Normal 39" xfId="8326"/>
    <cellStyle name="Normal 4" xfId="73"/>
    <cellStyle name="Normal 4 10" xfId="6496"/>
    <cellStyle name="Normal 4 11" xfId="6052"/>
    <cellStyle name="Normal 4 12" xfId="6392"/>
    <cellStyle name="Normal 4 13" xfId="8327"/>
    <cellStyle name="Normal 4 2" xfId="359"/>
    <cellStyle name="Normal 4 2 2" xfId="8328"/>
    <cellStyle name="Normal 4 3" xfId="5904"/>
    <cellStyle name="Normal 4 3 2" xfId="8329"/>
    <cellStyle name="Normal 4 4" xfId="6070"/>
    <cellStyle name="Normal 4 4 2" xfId="8330"/>
    <cellStyle name="Normal 4 5" xfId="6445"/>
    <cellStyle name="Normal 4 5 2" xfId="8331"/>
    <cellStyle name="Normal 4 6" xfId="6789"/>
    <cellStyle name="Normal 4 6 2" xfId="8332"/>
    <cellStyle name="Normal 4 7" xfId="6118"/>
    <cellStyle name="Normal 4 8" xfId="6058"/>
    <cellStyle name="Normal 4 9" xfId="6411"/>
    <cellStyle name="Normal 40" xfId="8333"/>
    <cellStyle name="Normal 41" xfId="8334"/>
    <cellStyle name="Normal 42" xfId="8335"/>
    <cellStyle name="Normal 43" xfId="8336"/>
    <cellStyle name="Normal 44" xfId="8337"/>
    <cellStyle name="Normal 45" xfId="8338"/>
    <cellStyle name="Normal 46" xfId="8339"/>
    <cellStyle name="Normal 47" xfId="8340"/>
    <cellStyle name="Normal 48" xfId="8341"/>
    <cellStyle name="Normal 49" xfId="8342"/>
    <cellStyle name="Normal 5" xfId="75"/>
    <cellStyle name="Normal 5 10" xfId="6076"/>
    <cellStyle name="Normal 5 11" xfId="6379"/>
    <cellStyle name="Normal 5 12" xfId="6986"/>
    <cellStyle name="Normal 5 2" xfId="433"/>
    <cellStyle name="Normal 5 2 2" xfId="8343"/>
    <cellStyle name="Normal 5 3" xfId="5921"/>
    <cellStyle name="Normal 5 4" xfId="6441"/>
    <cellStyle name="Normal 5 5" xfId="6620"/>
    <cellStyle name="Normal 5 6" xfId="6101"/>
    <cellStyle name="Normal 5 7" xfId="6180"/>
    <cellStyle name="Normal 5 8" xfId="6807"/>
    <cellStyle name="Normal 5 9" xfId="6533"/>
    <cellStyle name="Normal 50" xfId="8344"/>
    <cellStyle name="Normal 51" xfId="8345"/>
    <cellStyle name="Normal 52" xfId="8346"/>
    <cellStyle name="Normal 53" xfId="8208"/>
    <cellStyle name="Normal 6" xfId="2"/>
    <cellStyle name="Normal 6 10" xfId="6556"/>
    <cellStyle name="Normal 6 11" xfId="6672"/>
    <cellStyle name="Normal 6 12" xfId="7039"/>
    <cellStyle name="Normal 6 13" xfId="8347"/>
    <cellStyle name="Normal 6 2" xfId="1814"/>
    <cellStyle name="Normal 6 2 2" xfId="8348"/>
    <cellStyle name="Normal 6 3" xfId="6215"/>
    <cellStyle name="Normal 6 4" xfId="6014"/>
    <cellStyle name="Normal 6 5" xfId="6130"/>
    <cellStyle name="Normal 6 6" xfId="6697"/>
    <cellStyle name="Normal 6 7" xfId="6403"/>
    <cellStyle name="Normal 6 8" xfId="6949"/>
    <cellStyle name="Normal 6 9" xfId="6744"/>
    <cellStyle name="Normal 7" xfId="93"/>
    <cellStyle name="Normal 7 10" xfId="7048"/>
    <cellStyle name="Normal 7 11" xfId="7064"/>
    <cellStyle name="Normal 7 12" xfId="7075"/>
    <cellStyle name="Normal 7 13" xfId="8349"/>
    <cellStyle name="Normal 7 2" xfId="5775"/>
    <cellStyle name="Normal 7 3" xfId="6873"/>
    <cellStyle name="Normal 7 4" xfId="6907"/>
    <cellStyle name="Normal 7 5" xfId="6937"/>
    <cellStyle name="Normal 7 6" xfId="6968"/>
    <cellStyle name="Normal 7 7" xfId="6991"/>
    <cellStyle name="Normal 7 8" xfId="7013"/>
    <cellStyle name="Normal 7 9" xfId="7030"/>
    <cellStyle name="Normal 8" xfId="95"/>
    <cellStyle name="Normal 8 10" xfId="7050"/>
    <cellStyle name="Normal 8 11" xfId="7066"/>
    <cellStyle name="Normal 8 12" xfId="7077"/>
    <cellStyle name="Normal 8 13" xfId="8350"/>
    <cellStyle name="Normal 8 2" xfId="5777"/>
    <cellStyle name="Normal 8 2 2" xfId="8351"/>
    <cellStyle name="Normal 8 3" xfId="6875"/>
    <cellStyle name="Normal 8 4" xfId="6909"/>
    <cellStyle name="Normal 8 5" xfId="6939"/>
    <cellStyle name="Normal 8 6" xfId="6970"/>
    <cellStyle name="Normal 8 7" xfId="6993"/>
    <cellStyle name="Normal 8 8" xfId="7015"/>
    <cellStyle name="Normal 8 9" xfId="7032"/>
    <cellStyle name="Normal 9" xfId="97"/>
    <cellStyle name="Normal 9 10" xfId="7051"/>
    <cellStyle name="Normal 9 11" xfId="7067"/>
    <cellStyle name="Normal 9 12" xfId="7078"/>
    <cellStyle name="Normal 9 13" xfId="8352"/>
    <cellStyle name="Normal 9 2" xfId="5778"/>
    <cellStyle name="Normal 9 3" xfId="6876"/>
    <cellStyle name="Normal 9 4" xfId="6910"/>
    <cellStyle name="Normal 9 5" xfId="6940"/>
    <cellStyle name="Normal 9 6" xfId="6971"/>
    <cellStyle name="Normal 9 7" xfId="6994"/>
    <cellStyle name="Normal 9 8" xfId="7016"/>
    <cellStyle name="Normal 9 9" xfId="7033"/>
    <cellStyle name="Normal(0)" xfId="45"/>
    <cellStyle name="Note 10" xfId="6548"/>
    <cellStyle name="Note 10 2" xfId="7952"/>
    <cellStyle name="Note 11" xfId="6354"/>
    <cellStyle name="Note 11 2" xfId="7945"/>
    <cellStyle name="Note 12" xfId="6647"/>
    <cellStyle name="Note 12 2" xfId="7958"/>
    <cellStyle name="Note 13" xfId="264"/>
    <cellStyle name="Note 13 2" xfId="7716"/>
    <cellStyle name="Note 2" xfId="319"/>
    <cellStyle name="Note 2 10" xfId="2625"/>
    <cellStyle name="Note 2 11" xfId="3987"/>
    <cellStyle name="Note 2 12" xfId="4807"/>
    <cellStyle name="Note 2 13" xfId="5880"/>
    <cellStyle name="Note 2 14" xfId="6152"/>
    <cellStyle name="Note 2 15" xfId="6214"/>
    <cellStyle name="Note 2 16" xfId="6732"/>
    <cellStyle name="Note 2 17" xfId="6247"/>
    <cellStyle name="Note 2 18" xfId="6049"/>
    <cellStyle name="Note 2 19" xfId="6574"/>
    <cellStyle name="Note 2 2" xfId="320"/>
    <cellStyle name="Note 2 2 2" xfId="8354"/>
    <cellStyle name="Note 2 20" xfId="6448"/>
    <cellStyle name="Note 2 21" xfId="6323"/>
    <cellStyle name="Note 2 22" xfId="7021"/>
    <cellStyle name="Note 2 23" xfId="7723"/>
    <cellStyle name="Note 2 24" xfId="8353"/>
    <cellStyle name="Note 2 3" xfId="864"/>
    <cellStyle name="Note 2 3 2" xfId="8355"/>
    <cellStyle name="Note 2 4" xfId="937"/>
    <cellStyle name="Note 2 5" xfId="936"/>
    <cellStyle name="Note 2 6" xfId="939"/>
    <cellStyle name="Note 2 7" xfId="1221"/>
    <cellStyle name="Note 2 8" xfId="1220"/>
    <cellStyle name="Note 2 9" xfId="1852"/>
    <cellStyle name="Note 3" xfId="321"/>
    <cellStyle name="Note 3 10" xfId="2626"/>
    <cellStyle name="Note 3 11" xfId="3729"/>
    <cellStyle name="Note 3 12" xfId="4587"/>
    <cellStyle name="Note 3 13" xfId="8356"/>
    <cellStyle name="Note 3 2" xfId="419"/>
    <cellStyle name="Note 3 2 2" xfId="8357"/>
    <cellStyle name="Note 3 3" xfId="865"/>
    <cellStyle name="Note 3 4" xfId="938"/>
    <cellStyle name="Note 3 5" xfId="935"/>
    <cellStyle name="Note 3 6" xfId="940"/>
    <cellStyle name="Note 3 7" xfId="1222"/>
    <cellStyle name="Note 3 8" xfId="1219"/>
    <cellStyle name="Note 3 9" xfId="1853"/>
    <cellStyle name="Note 4" xfId="5879"/>
    <cellStyle name="Note 4 2" xfId="7922"/>
    <cellStyle name="Note 4 2 2" xfId="8359"/>
    <cellStyle name="Note 4 3" xfId="8358"/>
    <cellStyle name="Note 5" xfId="6199"/>
    <cellStyle name="Note 5 2" xfId="7935"/>
    <cellStyle name="Note 6" xfId="6436"/>
    <cellStyle name="Note 6 2" xfId="7949"/>
    <cellStyle name="Note 7" xfId="6741"/>
    <cellStyle name="Note 7 2" xfId="7962"/>
    <cellStyle name="Note 8" xfId="6571"/>
    <cellStyle name="Note 8 2" xfId="7956"/>
    <cellStyle name="Note 9" xfId="6172"/>
    <cellStyle name="Note 9 2" xfId="7933"/>
    <cellStyle name="Number" xfId="8360"/>
    <cellStyle name="Output 10" xfId="6592"/>
    <cellStyle name="Output 11" xfId="5926"/>
    <cellStyle name="Output 12" xfId="6087"/>
    <cellStyle name="Output 13" xfId="6614"/>
    <cellStyle name="Output 2" xfId="322"/>
    <cellStyle name="Output 2 10" xfId="6184"/>
    <cellStyle name="Output 2 11" xfId="6124"/>
    <cellStyle name="Output 2 12" xfId="6322"/>
    <cellStyle name="Output 2 13" xfId="8361"/>
    <cellStyle name="Output 2 2" xfId="323"/>
    <cellStyle name="Output 2 3" xfId="5882"/>
    <cellStyle name="Output 2 4" xfId="6687"/>
    <cellStyle name="Output 2 5" xfId="6780"/>
    <cellStyle name="Output 2 6" xfId="6428"/>
    <cellStyle name="Output 2 7" xfId="6573"/>
    <cellStyle name="Output 2 8" xfId="6536"/>
    <cellStyle name="Output 2 9" xfId="6282"/>
    <cellStyle name="Output 3" xfId="324"/>
    <cellStyle name="Output 4" xfId="5881"/>
    <cellStyle name="Output 5" xfId="6026"/>
    <cellStyle name="Output 6" xfId="6806"/>
    <cellStyle name="Output 7" xfId="6508"/>
    <cellStyle name="Output 8" xfId="6750"/>
    <cellStyle name="Output 9" xfId="6001"/>
    <cellStyle name="Output Amounts" xfId="325"/>
    <cellStyle name="Output Line Items" xfId="326"/>
    <cellStyle name="Password" xfId="8362"/>
    <cellStyle name="Percen - Style1" xfId="46"/>
    <cellStyle name="Percen - Style2" xfId="47"/>
    <cellStyle name="Percent" xfId="1" builtinId="5"/>
    <cellStyle name="Percent [2]" xfId="328"/>
    <cellStyle name="Percent [2] 2" xfId="5804"/>
    <cellStyle name="Percent [2] 3" xfId="5811"/>
    <cellStyle name="Percent [2] 4" xfId="5817"/>
    <cellStyle name="Percent 2" xfId="12"/>
    <cellStyle name="Percent 2 2" xfId="8365"/>
    <cellStyle name="Percent 2 2 2" xfId="8366"/>
    <cellStyle name="Percent 2 3" xfId="8367"/>
    <cellStyle name="Percent 2 4" xfId="8364"/>
    <cellStyle name="Percent 3" xfId="8368"/>
    <cellStyle name="Percent 3 10" xfId="7164"/>
    <cellStyle name="Percent 3 11" xfId="7152"/>
    <cellStyle name="Percent 3 12" xfId="7155"/>
    <cellStyle name="Percent 3 13" xfId="7162"/>
    <cellStyle name="Percent 3 14" xfId="7141"/>
    <cellStyle name="Percent 3 15" xfId="7130"/>
    <cellStyle name="Percent 3 16" xfId="7146"/>
    <cellStyle name="Percent 3 17" xfId="7142"/>
    <cellStyle name="Percent 3 2" xfId="7086"/>
    <cellStyle name="Percent 3 3" xfId="148"/>
    <cellStyle name="Percent 3 4" xfId="7091"/>
    <cellStyle name="Percent 3 5" xfId="7094"/>
    <cellStyle name="Percent 3 6" xfId="7103"/>
    <cellStyle name="Percent 3 7" xfId="7107"/>
    <cellStyle name="Percent 3 8" xfId="7112"/>
    <cellStyle name="Percent 3 9" xfId="7171"/>
    <cellStyle name="Percent 4" xfId="8369"/>
    <cellStyle name="Percent 5" xfId="8370"/>
    <cellStyle name="Percent 6" xfId="8363"/>
    <cellStyle name="Percent(0)" xfId="48"/>
    <cellStyle name="Percent(0) 10" xfId="6176"/>
    <cellStyle name="Percent(0) 11" xfId="6594"/>
    <cellStyle name="Percent(0) 12" xfId="6765"/>
    <cellStyle name="Percent(0) 2" xfId="329"/>
    <cellStyle name="Percent(0) 3" xfId="5883"/>
    <cellStyle name="Percent(0) 4" xfId="6507"/>
    <cellStyle name="Percent(0) 5" xfId="6677"/>
    <cellStyle name="Percent(0) 6" xfId="6183"/>
    <cellStyle name="Percent(0) 7" xfId="6632"/>
    <cellStyle name="Percent(0) 8" xfId="6271"/>
    <cellStyle name="Percent(0) 9" xfId="5930"/>
    <cellStyle name="Reset  - Style7" xfId="330"/>
    <cellStyle name="SAPBEXaggData" xfId="8"/>
    <cellStyle name="SAPBEXaggData 10" xfId="7359"/>
    <cellStyle name="SAPBEXaggData 11" xfId="7416"/>
    <cellStyle name="SAPBEXaggData 12" xfId="7702"/>
    <cellStyle name="SAPBEXaggData 13" xfId="8371"/>
    <cellStyle name="SAPBEXaggData 2" xfId="49"/>
    <cellStyle name="SAPBEXaggData 2 10" xfId="7703"/>
    <cellStyle name="SAPBEXaggData 2 2" xfId="7179"/>
    <cellStyle name="SAPBEXaggData 2 3" xfId="7492"/>
    <cellStyle name="SAPBEXaggData 2 4" xfId="7485"/>
    <cellStyle name="SAPBEXaggData 2 5" xfId="7577"/>
    <cellStyle name="SAPBEXaggData 2 6" xfId="7597"/>
    <cellStyle name="SAPBEXaggData 2 7" xfId="7616"/>
    <cellStyle name="SAPBEXaggData 2 8" xfId="7406"/>
    <cellStyle name="SAPBEXaggData 2 9" xfId="7653"/>
    <cellStyle name="SAPBEXaggData 3" xfId="7118"/>
    <cellStyle name="SAPBEXaggData 3 10" xfId="7980"/>
    <cellStyle name="SAPBEXaggData 3 2" xfId="7539"/>
    <cellStyle name="SAPBEXaggData 3 3" xfId="7569"/>
    <cellStyle name="SAPBEXaggData 3 4" xfId="7588"/>
    <cellStyle name="SAPBEXaggData 3 5" xfId="7608"/>
    <cellStyle name="SAPBEXaggData 3 6" xfId="7626"/>
    <cellStyle name="SAPBEXaggData 3 7" xfId="7644"/>
    <cellStyle name="SAPBEXaggData 3 8" xfId="7663"/>
    <cellStyle name="SAPBEXaggData 3 9" xfId="7680"/>
    <cellStyle name="SAPBEXaggData 4" xfId="7177"/>
    <cellStyle name="SAPBEXaggData 5" xfId="7493"/>
    <cellStyle name="SAPBEXaggData 6" xfId="7395"/>
    <cellStyle name="SAPBEXaggData 7" xfId="7404"/>
    <cellStyle name="SAPBEXaggData 8" xfId="7474"/>
    <cellStyle name="SAPBEXaggData 9" xfId="7187"/>
    <cellStyle name="SAPBEXaggDataEmph" xfId="8372"/>
    <cellStyle name="SAPBEXaggItem" xfId="7"/>
    <cellStyle name="SAPBEXaggItem 10" xfId="7411"/>
    <cellStyle name="SAPBEXaggItem 11" xfId="7437"/>
    <cellStyle name="SAPBEXaggItem 12" xfId="7701"/>
    <cellStyle name="SAPBEXaggItem 13" xfId="8373"/>
    <cellStyle name="SAPBEXaggItem 2" xfId="50"/>
    <cellStyle name="SAPBEXaggItem 2 10" xfId="7704"/>
    <cellStyle name="SAPBEXaggItem 2 2" xfId="7180"/>
    <cellStyle name="SAPBEXaggItem 2 3" xfId="7188"/>
    <cellStyle name="SAPBEXaggItem 2 4" xfId="7483"/>
    <cellStyle name="SAPBEXaggItem 2 5" xfId="7506"/>
    <cellStyle name="SAPBEXaggItem 2 6" xfId="7477"/>
    <cellStyle name="SAPBEXaggItem 2 7" xfId="7409"/>
    <cellStyle name="SAPBEXaggItem 2 8" xfId="7377"/>
    <cellStyle name="SAPBEXaggItem 2 9" xfId="7301"/>
    <cellStyle name="SAPBEXaggItem 3" xfId="7119"/>
    <cellStyle name="SAPBEXaggItem 3 10" xfId="7981"/>
    <cellStyle name="SAPBEXaggItem 3 2" xfId="7540"/>
    <cellStyle name="SAPBEXaggItem 3 3" xfId="7570"/>
    <cellStyle name="SAPBEXaggItem 3 4" xfId="7589"/>
    <cellStyle name="SAPBEXaggItem 3 5" xfId="7609"/>
    <cellStyle name="SAPBEXaggItem 3 6" xfId="7627"/>
    <cellStyle name="SAPBEXaggItem 3 7" xfId="7645"/>
    <cellStyle name="SAPBEXaggItem 3 8" xfId="7664"/>
    <cellStyle name="SAPBEXaggItem 3 9" xfId="7681"/>
    <cellStyle name="SAPBEXaggItem 4" xfId="7176"/>
    <cellStyle name="SAPBEXaggItem 5" xfId="7513"/>
    <cellStyle name="SAPBEXaggItem 6" xfId="7328"/>
    <cellStyle name="SAPBEXaggItem 7" xfId="7481"/>
    <cellStyle name="SAPBEXaggItem 8" xfId="7355"/>
    <cellStyle name="SAPBEXaggItem 9" xfId="7351"/>
    <cellStyle name="SAPBEXaggItemX" xfId="8374"/>
    <cellStyle name="SAPBEXchaText" xfId="4"/>
    <cellStyle name="SAPBEXchaText 10" xfId="7288"/>
    <cellStyle name="SAPBEXchaText 11" xfId="7465"/>
    <cellStyle name="SAPBEXchaText 12" xfId="7697"/>
    <cellStyle name="SAPBEXchaText 13" xfId="8375"/>
    <cellStyle name="SAPBEXchaText 2" xfId="51"/>
    <cellStyle name="SAPBEXchaText 2 10" xfId="7705"/>
    <cellStyle name="SAPBEXchaText 2 11" xfId="8376"/>
    <cellStyle name="SAPBEXchaText 2 2" xfId="7181"/>
    <cellStyle name="SAPBEXchaText 2 3" xfId="7517"/>
    <cellStyle name="SAPBEXchaText 2 4" xfId="7503"/>
    <cellStyle name="SAPBEXchaText 2 5" xfId="7350"/>
    <cellStyle name="SAPBEXchaText 2 6" xfId="7192"/>
    <cellStyle name="SAPBEXchaText 2 7" xfId="7425"/>
    <cellStyle name="SAPBEXchaText 2 8" xfId="7286"/>
    <cellStyle name="SAPBEXchaText 2 9" xfId="7412"/>
    <cellStyle name="SAPBEXchaText 3" xfId="7120"/>
    <cellStyle name="SAPBEXchaText 3 10" xfId="7982"/>
    <cellStyle name="SAPBEXchaText 3 11" xfId="8377"/>
    <cellStyle name="SAPBEXchaText 3 2" xfId="7541"/>
    <cellStyle name="SAPBEXchaText 3 3" xfId="7571"/>
    <cellStyle name="SAPBEXchaText 3 4" xfId="7590"/>
    <cellStyle name="SAPBEXchaText 3 5" xfId="7610"/>
    <cellStyle name="SAPBEXchaText 3 6" xfId="7628"/>
    <cellStyle name="SAPBEXchaText 3 7" xfId="7646"/>
    <cellStyle name="SAPBEXchaText 3 8" xfId="7665"/>
    <cellStyle name="SAPBEXchaText 3 9" xfId="7682"/>
    <cellStyle name="SAPBEXchaText 4" xfId="7173"/>
    <cellStyle name="SAPBEXchaText 5" xfId="7488"/>
    <cellStyle name="SAPBEXchaText 6" xfId="7337"/>
    <cellStyle name="SAPBEXchaText 7" xfId="7450"/>
    <cellStyle name="SAPBEXchaText 8" xfId="7429"/>
    <cellStyle name="SAPBEXchaText 9" xfId="7309"/>
    <cellStyle name="SAPBEXexcBad7" xfId="8378"/>
    <cellStyle name="SAPBEXexcBad8" xfId="8379"/>
    <cellStyle name="SAPBEXexcBad9" xfId="8380"/>
    <cellStyle name="SAPBEXexcCritical4" xfId="8381"/>
    <cellStyle name="SAPBEXexcCritical5" xfId="8382"/>
    <cellStyle name="SAPBEXexcCritical6" xfId="8383"/>
    <cellStyle name="SAPBEXexcGood1" xfId="8384"/>
    <cellStyle name="SAPBEXexcGood2" xfId="8385"/>
    <cellStyle name="SAPBEXexcGood3" xfId="8386"/>
    <cellStyle name="SAPBEXfilterDrill" xfId="52"/>
    <cellStyle name="SAPBEXfilterItem" xfId="8387"/>
    <cellStyle name="SAPBEXfilterItem 2" xfId="8388"/>
    <cellStyle name="SAPBEXfilterItem_Dec 2010 UT GRC Tax Schedules W_10yrPlan _Edited 05.04.09" xfId="53"/>
    <cellStyle name="SAPBEXfilterText" xfId="8389"/>
    <cellStyle name="SAPBEXformats" xfId="8390"/>
    <cellStyle name="SAPBEXheaderItem" xfId="8391"/>
    <cellStyle name="SAPBEXheaderItem 2" xfId="8392"/>
    <cellStyle name="SAPBEXheaderItem_Dec 2010 UT GRC Tax Schedules W_10yrPlan _Edited 05.04.09" xfId="54"/>
    <cellStyle name="SAPBEXheaderText" xfId="8393"/>
    <cellStyle name="SAPBEXheaderText 2" xfId="8394"/>
    <cellStyle name="SAPBEXheaderText_Year-End DIT Balance 1208" xfId="55"/>
    <cellStyle name="SAPBEXHLevel0" xfId="8395"/>
    <cellStyle name="SAPBEXHLevel0X" xfId="8396"/>
    <cellStyle name="SAPBEXHLevel1" xfId="8397"/>
    <cellStyle name="SAPBEXHLevel1X" xfId="8398"/>
    <cellStyle name="SAPBEXHLevel2" xfId="8399"/>
    <cellStyle name="SAPBEXHLevel2X" xfId="8400"/>
    <cellStyle name="SAPBEXHLevel3" xfId="8401"/>
    <cellStyle name="SAPBEXHLevel3X" xfId="8402"/>
    <cellStyle name="SAPBEXresData" xfId="8403"/>
    <cellStyle name="SAPBEXresDataEmph" xfId="8404"/>
    <cellStyle name="SAPBEXresItem" xfId="8405"/>
    <cellStyle name="SAPBEXresItemX" xfId="8406"/>
    <cellStyle name="SAPBEXstdData" xfId="6"/>
    <cellStyle name="SAPBEXstdData 10" xfId="7386"/>
    <cellStyle name="SAPBEXstdData 11" xfId="7270"/>
    <cellStyle name="SAPBEXstdData 12" xfId="7700"/>
    <cellStyle name="SAPBEXstdData 13" xfId="8407"/>
    <cellStyle name="SAPBEXstdData 2" xfId="56"/>
    <cellStyle name="SAPBEXstdData 2 10" xfId="7706"/>
    <cellStyle name="SAPBEXstdData 2 11" xfId="8408"/>
    <cellStyle name="SAPBEXstdData 2 2" xfId="7183"/>
    <cellStyle name="SAPBEXstdData 2 3" xfId="7479"/>
    <cellStyle name="SAPBEXstdData 2 4" xfId="7457"/>
    <cellStyle name="SAPBEXstdData 2 5" xfId="7514"/>
    <cellStyle name="SAPBEXstdData 2 6" xfId="7516"/>
    <cellStyle name="SAPBEXstdData 2 7" xfId="7504"/>
    <cellStyle name="SAPBEXstdData 2 8" xfId="7353"/>
    <cellStyle name="SAPBEXstdData 2 9" xfId="7519"/>
    <cellStyle name="SAPBEXstdData 3" xfId="7121"/>
    <cellStyle name="SAPBEXstdData 3 10" xfId="7983"/>
    <cellStyle name="SAPBEXstdData 3 2" xfId="7542"/>
    <cellStyle name="SAPBEXstdData 3 3" xfId="7572"/>
    <cellStyle name="SAPBEXstdData 3 4" xfId="7591"/>
    <cellStyle name="SAPBEXstdData 3 5" xfId="7611"/>
    <cellStyle name="SAPBEXstdData 3 6" xfId="7629"/>
    <cellStyle name="SAPBEXstdData 3 7" xfId="7647"/>
    <cellStyle name="SAPBEXstdData 3 8" xfId="7666"/>
    <cellStyle name="SAPBEXstdData 3 9" xfId="7683"/>
    <cellStyle name="SAPBEXstdData 4" xfId="7175"/>
    <cellStyle name="SAPBEXstdData 5" xfId="7204"/>
    <cellStyle name="SAPBEXstdData 6" xfId="7498"/>
    <cellStyle name="SAPBEXstdData 7" xfId="7495"/>
    <cellStyle name="SAPBEXstdData 8" xfId="7426"/>
    <cellStyle name="SAPBEXstdData 9" xfId="7441"/>
    <cellStyle name="SAPBEXstdDataEmph" xfId="8409"/>
    <cellStyle name="SAPBEXstdItem" xfId="3"/>
    <cellStyle name="SAPBEXstdItem 10" xfId="7151"/>
    <cellStyle name="SAPBEXstdItem 10 2" xfId="7549"/>
    <cellStyle name="SAPBEXstdItem 10 3" xfId="7579"/>
    <cellStyle name="SAPBEXstdItem 10 4" xfId="7600"/>
    <cellStyle name="SAPBEXstdItem 10 5" xfId="7618"/>
    <cellStyle name="SAPBEXstdItem 10 6" xfId="7636"/>
    <cellStyle name="SAPBEXstdItem 10 7" xfId="7654"/>
    <cellStyle name="SAPBEXstdItem 10 8" xfId="7672"/>
    <cellStyle name="SAPBEXstdItem 10 9" xfId="7689"/>
    <cellStyle name="SAPBEXstdItem 11" xfId="7169"/>
    <cellStyle name="SAPBEXstdItem 11 2" xfId="7555"/>
    <cellStyle name="SAPBEXstdItem 11 3" xfId="7586"/>
    <cellStyle name="SAPBEXstdItem 11 4" xfId="7606"/>
    <cellStyle name="SAPBEXstdItem 11 5" xfId="7624"/>
    <cellStyle name="SAPBEXstdItem 11 6" xfId="7642"/>
    <cellStyle name="SAPBEXstdItem 11 7" xfId="7661"/>
    <cellStyle name="SAPBEXstdItem 11 8" xfId="7678"/>
    <cellStyle name="SAPBEXstdItem 11 9" xfId="7695"/>
    <cellStyle name="SAPBEXstdItem 12" xfId="7161"/>
    <cellStyle name="SAPBEXstdItem 12 2" xfId="7553"/>
    <cellStyle name="SAPBEXstdItem 12 3" xfId="7584"/>
    <cellStyle name="SAPBEXstdItem 12 4" xfId="7604"/>
    <cellStyle name="SAPBEXstdItem 12 5" xfId="7622"/>
    <cellStyle name="SAPBEXstdItem 12 6" xfId="7640"/>
    <cellStyle name="SAPBEXstdItem 12 7" xfId="7658"/>
    <cellStyle name="SAPBEXstdItem 12 8" xfId="7676"/>
    <cellStyle name="SAPBEXstdItem 12 9" xfId="7693"/>
    <cellStyle name="SAPBEXstdItem 13" xfId="7134"/>
    <cellStyle name="SAPBEXstdItem 13 2" xfId="7546"/>
    <cellStyle name="SAPBEXstdItem 13 3" xfId="7576"/>
    <cellStyle name="SAPBEXstdItem 13 4" xfId="7596"/>
    <cellStyle name="SAPBEXstdItem 13 5" xfId="7615"/>
    <cellStyle name="SAPBEXstdItem 13 6" xfId="7633"/>
    <cellStyle name="SAPBEXstdItem 13 7" xfId="7651"/>
    <cellStyle name="SAPBEXstdItem 13 8" xfId="7670"/>
    <cellStyle name="SAPBEXstdItem 13 9" xfId="7687"/>
    <cellStyle name="SAPBEXstdItem 14" xfId="7159"/>
    <cellStyle name="SAPBEXstdItem 14 2" xfId="7552"/>
    <cellStyle name="SAPBEXstdItem 14 3" xfId="7583"/>
    <cellStyle name="SAPBEXstdItem 14 4" xfId="7603"/>
    <cellStyle name="SAPBEXstdItem 14 5" xfId="7621"/>
    <cellStyle name="SAPBEXstdItem 14 6" xfId="7639"/>
    <cellStyle name="SAPBEXstdItem 14 7" xfId="7657"/>
    <cellStyle name="SAPBEXstdItem 14 8" xfId="7675"/>
    <cellStyle name="SAPBEXstdItem 14 9" xfId="7692"/>
    <cellStyle name="SAPBEXstdItem 15" xfId="7149"/>
    <cellStyle name="SAPBEXstdItem 16" xfId="7137"/>
    <cellStyle name="SAPBEXstdItem 17" xfId="7133"/>
    <cellStyle name="SAPBEXstdItem 18" xfId="7172"/>
    <cellStyle name="SAPBEXstdItem 19" xfId="7472"/>
    <cellStyle name="SAPBEXstdItem 2" xfId="57"/>
    <cellStyle name="SAPBEXstdItem 2 10" xfId="7165"/>
    <cellStyle name="SAPBEXstdItem 2 10 2" xfId="7554"/>
    <cellStyle name="SAPBEXstdItem 2 10 3" xfId="7585"/>
    <cellStyle name="SAPBEXstdItem 2 10 4" xfId="7605"/>
    <cellStyle name="SAPBEXstdItem 2 10 5" xfId="7623"/>
    <cellStyle name="SAPBEXstdItem 2 10 6" xfId="7641"/>
    <cellStyle name="SAPBEXstdItem 2 10 7" xfId="7659"/>
    <cellStyle name="SAPBEXstdItem 2 10 8" xfId="7677"/>
    <cellStyle name="SAPBEXstdItem 2 10 9" xfId="7694"/>
    <cellStyle name="SAPBEXstdItem 2 11" xfId="7145"/>
    <cellStyle name="SAPBEXstdItem 2 11 2" xfId="7547"/>
    <cellStyle name="SAPBEXstdItem 2 11 3" xfId="7578"/>
    <cellStyle name="SAPBEXstdItem 2 11 4" xfId="7598"/>
    <cellStyle name="SAPBEXstdItem 2 11 5" xfId="7617"/>
    <cellStyle name="SAPBEXstdItem 2 11 6" xfId="7635"/>
    <cellStyle name="SAPBEXstdItem 2 11 7" xfId="7652"/>
    <cellStyle name="SAPBEXstdItem 2 11 8" xfId="7671"/>
    <cellStyle name="SAPBEXstdItem 2 11 9" xfId="7688"/>
    <cellStyle name="SAPBEXstdItem 2 12" xfId="7124"/>
    <cellStyle name="SAPBEXstdItem 2 12 2" xfId="7545"/>
    <cellStyle name="SAPBEXstdItem 2 12 3" xfId="7575"/>
    <cellStyle name="SAPBEXstdItem 2 12 4" xfId="7594"/>
    <cellStyle name="SAPBEXstdItem 2 12 5" xfId="7614"/>
    <cellStyle name="SAPBEXstdItem 2 12 6" xfId="7632"/>
    <cellStyle name="SAPBEXstdItem 2 12 7" xfId="7650"/>
    <cellStyle name="SAPBEXstdItem 2 12 8" xfId="7669"/>
    <cellStyle name="SAPBEXstdItem 2 12 9" xfId="7686"/>
    <cellStyle name="SAPBEXstdItem 2 13" xfId="7143"/>
    <cellStyle name="SAPBEXstdItem 2 14" xfId="7135"/>
    <cellStyle name="SAPBEXstdItem 2 15" xfId="7160"/>
    <cellStyle name="SAPBEXstdItem 2 16" xfId="7184"/>
    <cellStyle name="SAPBEXstdItem 2 17" xfId="7469"/>
    <cellStyle name="SAPBEXstdItem 2 18" xfId="7502"/>
    <cellStyle name="SAPBEXstdItem 2 19" xfId="7325"/>
    <cellStyle name="SAPBEXstdItem 2 2" xfId="7088"/>
    <cellStyle name="SAPBEXstdItem 2 2 10" xfId="7970"/>
    <cellStyle name="SAPBEXstdItem 2 2 2" xfId="7529"/>
    <cellStyle name="SAPBEXstdItem 2 2 3" xfId="7559"/>
    <cellStyle name="SAPBEXstdItem 2 2 4" xfId="7434"/>
    <cellStyle name="SAPBEXstdItem 2 2 5" xfId="7321"/>
    <cellStyle name="SAPBEXstdItem 2 2 6" xfId="7190"/>
    <cellStyle name="SAPBEXstdItem 2 2 7" xfId="7306"/>
    <cellStyle name="SAPBEXstdItem 2 2 8" xfId="7303"/>
    <cellStyle name="SAPBEXstdItem 2 2 9" xfId="7473"/>
    <cellStyle name="SAPBEXstdItem 2 20" xfId="7318"/>
    <cellStyle name="SAPBEXstdItem 2 21" xfId="7396"/>
    <cellStyle name="SAPBEXstdItem 2 22" xfId="7403"/>
    <cellStyle name="SAPBEXstdItem 2 23" xfId="7332"/>
    <cellStyle name="SAPBEXstdItem 2 24" xfId="7707"/>
    <cellStyle name="SAPBEXstdItem 2 25" xfId="8411"/>
    <cellStyle name="SAPBEXstdItem 2 3" xfId="7093"/>
    <cellStyle name="SAPBEXstdItem 2 3 10" xfId="7972"/>
    <cellStyle name="SAPBEXstdItem 2 3 2" xfId="7531"/>
    <cellStyle name="SAPBEXstdItem 2 3 3" xfId="7561"/>
    <cellStyle name="SAPBEXstdItem 2 3 4" xfId="7507"/>
    <cellStyle name="SAPBEXstdItem 2 3 5" xfId="7316"/>
    <cellStyle name="SAPBEXstdItem 2 3 6" xfId="7331"/>
    <cellStyle name="SAPBEXstdItem 2 3 7" xfId="7298"/>
    <cellStyle name="SAPBEXstdItem 2 3 8" xfId="7341"/>
    <cellStyle name="SAPBEXstdItem 2 3 9" xfId="7279"/>
    <cellStyle name="SAPBEXstdItem 2 4" xfId="7099"/>
    <cellStyle name="SAPBEXstdItem 2 4 10" xfId="7973"/>
    <cellStyle name="SAPBEXstdItem 2 4 2" xfId="7532"/>
    <cellStyle name="SAPBEXstdItem 2 4 3" xfId="7562"/>
    <cellStyle name="SAPBEXstdItem 2 4 4" xfId="7263"/>
    <cellStyle name="SAPBEXstdItem 2 4 5" xfId="7475"/>
    <cellStyle name="SAPBEXstdItem 2 4 6" xfId="7299"/>
    <cellStyle name="SAPBEXstdItem 2 4 7" xfId="7490"/>
    <cellStyle name="SAPBEXstdItem 2 4 8" xfId="7191"/>
    <cellStyle name="SAPBEXstdItem 2 4 9" xfId="7520"/>
    <cellStyle name="SAPBEXstdItem 2 5" xfId="7106"/>
    <cellStyle name="SAPBEXstdItem 2 5 10" xfId="7977"/>
    <cellStyle name="SAPBEXstdItem 2 5 2" xfId="7536"/>
    <cellStyle name="SAPBEXstdItem 2 5 3" xfId="7566"/>
    <cellStyle name="SAPBEXstdItem 2 5 4" xfId="7499"/>
    <cellStyle name="SAPBEXstdItem 2 5 5" xfId="7269"/>
    <cellStyle name="SAPBEXstdItem 2 5 6" xfId="7453"/>
    <cellStyle name="SAPBEXstdItem 2 5 7" xfId="7197"/>
    <cellStyle name="SAPBEXstdItem 2 5 8" xfId="7307"/>
    <cellStyle name="SAPBEXstdItem 2 5 9" xfId="7423"/>
    <cellStyle name="SAPBEXstdItem 2 6" xfId="7111"/>
    <cellStyle name="SAPBEXstdItem 2 6 10" xfId="7978"/>
    <cellStyle name="SAPBEXstdItem 2 6 2" xfId="7537"/>
    <cellStyle name="SAPBEXstdItem 2 6 3" xfId="7567"/>
    <cellStyle name="SAPBEXstdItem 2 6 4" xfId="7393"/>
    <cellStyle name="SAPBEXstdItem 2 6 5" xfId="7445"/>
    <cellStyle name="SAPBEXstdItem 2 6 6" xfId="7440"/>
    <cellStyle name="SAPBEXstdItem 2 6 7" xfId="7458"/>
    <cellStyle name="SAPBEXstdItem 2 6 8" xfId="7313"/>
    <cellStyle name="SAPBEXstdItem 2 6 9" xfId="7182"/>
    <cellStyle name="SAPBEXstdItem 2 7" xfId="7115"/>
    <cellStyle name="SAPBEXstdItem 2 7 10" xfId="7979"/>
    <cellStyle name="SAPBEXstdItem 2 7 2" xfId="7538"/>
    <cellStyle name="SAPBEXstdItem 2 7 3" xfId="7568"/>
    <cellStyle name="SAPBEXstdItem 2 7 4" xfId="7587"/>
    <cellStyle name="SAPBEXstdItem 2 7 5" xfId="7607"/>
    <cellStyle name="SAPBEXstdItem 2 7 6" xfId="7625"/>
    <cellStyle name="SAPBEXstdItem 2 7 7" xfId="7643"/>
    <cellStyle name="SAPBEXstdItem 2 7 8" xfId="7662"/>
    <cellStyle name="SAPBEXstdItem 2 7 9" xfId="7679"/>
    <cellStyle name="SAPBEXstdItem 2 8" xfId="7156"/>
    <cellStyle name="SAPBEXstdItem 2 8 2" xfId="7550"/>
    <cellStyle name="SAPBEXstdItem 2 8 3" xfId="7580"/>
    <cellStyle name="SAPBEXstdItem 2 8 4" xfId="7601"/>
    <cellStyle name="SAPBEXstdItem 2 8 5" xfId="7619"/>
    <cellStyle name="SAPBEXstdItem 2 8 6" xfId="7637"/>
    <cellStyle name="SAPBEXstdItem 2 8 7" xfId="7655"/>
    <cellStyle name="SAPBEXstdItem 2 8 8" xfId="7673"/>
    <cellStyle name="SAPBEXstdItem 2 8 9" xfId="7690"/>
    <cellStyle name="SAPBEXstdItem 2 9" xfId="7157"/>
    <cellStyle name="SAPBEXstdItem 2 9 2" xfId="7551"/>
    <cellStyle name="SAPBEXstdItem 2 9 3" xfId="7581"/>
    <cellStyle name="SAPBEXstdItem 2 9 4" xfId="7602"/>
    <cellStyle name="SAPBEXstdItem 2 9 5" xfId="7620"/>
    <cellStyle name="SAPBEXstdItem 2 9 6" xfId="7638"/>
    <cellStyle name="SAPBEXstdItem 2 9 7" xfId="7656"/>
    <cellStyle name="SAPBEXstdItem 2 9 8" xfId="7674"/>
    <cellStyle name="SAPBEXstdItem 2 9 9" xfId="7691"/>
    <cellStyle name="SAPBEXstdItem 20" xfId="7287"/>
    <cellStyle name="SAPBEXstdItem 21" xfId="7415"/>
    <cellStyle name="SAPBEXstdItem 22" xfId="7442"/>
    <cellStyle name="SAPBEXstdItem 23" xfId="7418"/>
    <cellStyle name="SAPBEXstdItem 24" xfId="7363"/>
    <cellStyle name="SAPBEXstdItem 25" xfId="7391"/>
    <cellStyle name="SAPBEXstdItem 26" xfId="7699"/>
    <cellStyle name="SAPBEXstdItem 27" xfId="8410"/>
    <cellStyle name="SAPBEXstdItem 3" xfId="120"/>
    <cellStyle name="SAPBEXstdItem 3 10" xfId="7710"/>
    <cellStyle name="SAPBEXstdItem 3 11" xfId="8412"/>
    <cellStyle name="SAPBEXstdItem 3 2" xfId="7189"/>
    <cellStyle name="SAPBEXstdItem 3 3" xfId="7466"/>
    <cellStyle name="SAPBEXstdItem 3 4" xfId="7417"/>
    <cellStyle name="SAPBEXstdItem 3 5" xfId="7430"/>
    <cellStyle name="SAPBEXstdItem 3 6" xfId="7205"/>
    <cellStyle name="SAPBEXstdItem 3 7" xfId="7582"/>
    <cellStyle name="SAPBEXstdItem 3 8" xfId="7470"/>
    <cellStyle name="SAPBEXstdItem 3 9" xfId="7489"/>
    <cellStyle name="SAPBEXstdItem 4" xfId="1400"/>
    <cellStyle name="SAPBEXstdItem 4 10" xfId="7805"/>
    <cellStyle name="SAPBEXstdItem 4 2" xfId="7300"/>
    <cellStyle name="SAPBEXstdItem 4 3" xfId="7523"/>
    <cellStyle name="SAPBEXstdItem 4 4" xfId="7314"/>
    <cellStyle name="SAPBEXstdItem 4 5" xfId="7373"/>
    <cellStyle name="SAPBEXstdItem 4 6" xfId="7414"/>
    <cellStyle name="SAPBEXstdItem 4 7" xfId="7410"/>
    <cellStyle name="SAPBEXstdItem 4 8" xfId="7402"/>
    <cellStyle name="SAPBEXstdItem 4 9" xfId="7354"/>
    <cellStyle name="SAPBEXstdItem 5" xfId="7089"/>
    <cellStyle name="SAPBEXstdItem 5 10" xfId="7971"/>
    <cellStyle name="SAPBEXstdItem 5 2" xfId="7530"/>
    <cellStyle name="SAPBEXstdItem 5 3" xfId="7560"/>
    <cellStyle name="SAPBEXstdItem 5 4" xfId="7366"/>
    <cellStyle name="SAPBEXstdItem 5 5" xfId="7186"/>
    <cellStyle name="SAPBEXstdItem 5 6" xfId="7497"/>
    <cellStyle name="SAPBEXstdItem 5 7" xfId="7509"/>
    <cellStyle name="SAPBEXstdItem 5 8" xfId="7343"/>
    <cellStyle name="SAPBEXstdItem 5 9" xfId="7527"/>
    <cellStyle name="SAPBEXstdItem 6" xfId="7102"/>
    <cellStyle name="SAPBEXstdItem 6 10" xfId="7975"/>
    <cellStyle name="SAPBEXstdItem 6 2" xfId="7534"/>
    <cellStyle name="SAPBEXstdItem 6 3" xfId="7564"/>
    <cellStyle name="SAPBEXstdItem 6 4" xfId="7524"/>
    <cellStyle name="SAPBEXstdItem 6 5" xfId="7345"/>
    <cellStyle name="SAPBEXstdItem 6 6" xfId="7446"/>
    <cellStyle name="SAPBEXstdItem 6 7" xfId="7380"/>
    <cellStyle name="SAPBEXstdItem 6 8" xfId="7511"/>
    <cellStyle name="SAPBEXstdItem 6 9" xfId="7456"/>
    <cellStyle name="SAPBEXstdItem 7" xfId="7100"/>
    <cellStyle name="SAPBEXstdItem 7 10" xfId="7974"/>
    <cellStyle name="SAPBEXstdItem 7 2" xfId="7533"/>
    <cellStyle name="SAPBEXstdItem 7 3" xfId="7563"/>
    <cellStyle name="SAPBEXstdItem 7 4" xfId="7451"/>
    <cellStyle name="SAPBEXstdItem 7 5" xfId="7487"/>
    <cellStyle name="SAPBEXstdItem 7 6" xfId="7198"/>
    <cellStyle name="SAPBEXstdItem 7 7" xfId="7558"/>
    <cellStyle name="SAPBEXstdItem 7 8" xfId="7478"/>
    <cellStyle name="SAPBEXstdItem 7 9" xfId="7634"/>
    <cellStyle name="SAPBEXstdItem 8" xfId="7104"/>
    <cellStyle name="SAPBEXstdItem 8 10" xfId="7976"/>
    <cellStyle name="SAPBEXstdItem 8 2" xfId="7535"/>
    <cellStyle name="SAPBEXstdItem 8 3" xfId="7565"/>
    <cellStyle name="SAPBEXstdItem 8 4" xfId="7358"/>
    <cellStyle name="SAPBEXstdItem 8 5" xfId="7444"/>
    <cellStyle name="SAPBEXstdItem 8 6" xfId="7439"/>
    <cellStyle name="SAPBEXstdItem 8 7" xfId="7178"/>
    <cellStyle name="SAPBEXstdItem 8 8" xfId="7521"/>
    <cellStyle name="SAPBEXstdItem 8 9" xfId="7207"/>
    <cellStyle name="SAPBEXstdItem 9" xfId="7122"/>
    <cellStyle name="SAPBEXstdItem 9 10" xfId="7984"/>
    <cellStyle name="SAPBEXstdItem 9 2" xfId="7543"/>
    <cellStyle name="SAPBEXstdItem 9 3" xfId="7573"/>
    <cellStyle name="SAPBEXstdItem 9 4" xfId="7592"/>
    <cellStyle name="SAPBEXstdItem 9 5" xfId="7612"/>
    <cellStyle name="SAPBEXstdItem 9 6" xfId="7630"/>
    <cellStyle name="SAPBEXstdItem 9 7" xfId="7648"/>
    <cellStyle name="SAPBEXstdItem 9 8" xfId="7667"/>
    <cellStyle name="SAPBEXstdItem 9 9" xfId="7684"/>
    <cellStyle name="SAPBEXstdItemX" xfId="5"/>
    <cellStyle name="SAPBEXstdItemX 10" xfId="7262"/>
    <cellStyle name="SAPBEXstdItemX 11" xfId="7421"/>
    <cellStyle name="SAPBEXstdItemX 12" xfId="7698"/>
    <cellStyle name="SAPBEXstdItemX 13" xfId="8413"/>
    <cellStyle name="SAPBEXstdItemX 2" xfId="58"/>
    <cellStyle name="SAPBEXstdItemX 2 10" xfId="7708"/>
    <cellStyle name="SAPBEXstdItemX 2 11" xfId="8414"/>
    <cellStyle name="SAPBEXstdItemX 2 2" xfId="7185"/>
    <cellStyle name="SAPBEXstdItemX 2 3" xfId="7215"/>
    <cellStyle name="SAPBEXstdItemX 2 4" xfId="7210"/>
    <cellStyle name="SAPBEXstdItemX 2 5" xfId="7346"/>
    <cellStyle name="SAPBEXstdItemX 2 6" xfId="7213"/>
    <cellStyle name="SAPBEXstdItemX 2 7" xfId="7496"/>
    <cellStyle name="SAPBEXstdItemX 2 8" xfId="7508"/>
    <cellStyle name="SAPBEXstdItemX 2 9" xfId="7323"/>
    <cellStyle name="SAPBEXstdItemX 3" xfId="7123"/>
    <cellStyle name="SAPBEXstdItemX 3 10" xfId="7985"/>
    <cellStyle name="SAPBEXstdItemX 3 2" xfId="7544"/>
    <cellStyle name="SAPBEXstdItemX 3 3" xfId="7574"/>
    <cellStyle name="SAPBEXstdItemX 3 4" xfId="7593"/>
    <cellStyle name="SAPBEXstdItemX 3 5" xfId="7613"/>
    <cellStyle name="SAPBEXstdItemX 3 6" xfId="7631"/>
    <cellStyle name="SAPBEXstdItemX 3 7" xfId="7649"/>
    <cellStyle name="SAPBEXstdItemX 3 8" xfId="7668"/>
    <cellStyle name="SAPBEXstdItemX 3 9" xfId="7685"/>
    <cellStyle name="SAPBEXstdItemX 4" xfId="7174"/>
    <cellStyle name="SAPBEXstdItemX 5" xfId="7467"/>
    <cellStyle name="SAPBEXstdItemX 6" xfId="7330"/>
    <cellStyle name="SAPBEXstdItemX 7" xfId="7405"/>
    <cellStyle name="SAPBEXstdItemX 8" xfId="7390"/>
    <cellStyle name="SAPBEXstdItemX 9" xfId="7482"/>
    <cellStyle name="SAPBEXtitle" xfId="8415"/>
    <cellStyle name="SAPBEXtitle 2" xfId="8416"/>
    <cellStyle name="SAPBEXtitle_Dec 2010 UT GRC Tax Schedules W_10yrPlan _Edited 05.04.09" xfId="59"/>
    <cellStyle name="SAPBEXundefined" xfId="8417"/>
    <cellStyle name="SAPBorder" xfId="8418"/>
    <cellStyle name="SAPDataCell" xfId="8419"/>
    <cellStyle name="SAPDataTotalCell" xfId="8420"/>
    <cellStyle name="SAPDimensionCell" xfId="8421"/>
    <cellStyle name="SAPEditableDataCell" xfId="8422"/>
    <cellStyle name="SAPEditableDataTotalCell" xfId="8423"/>
    <cellStyle name="SAPEmphasized" xfId="8424"/>
    <cellStyle name="SAPEmphasizedEditableDataCell" xfId="8425"/>
    <cellStyle name="SAPEmphasizedEditableDataTotalCell" xfId="8426"/>
    <cellStyle name="SAPEmphasizedLockedDataCell" xfId="8427"/>
    <cellStyle name="SAPEmphasizedLockedDataTotalCell" xfId="8428"/>
    <cellStyle name="SAPEmphasizedReadonlyDataCell" xfId="8429"/>
    <cellStyle name="SAPEmphasizedReadonlyDataTotalCell" xfId="8430"/>
    <cellStyle name="SAPEmphasizedTotal" xfId="8431"/>
    <cellStyle name="SAPExceptionLevel1" xfId="8432"/>
    <cellStyle name="SAPExceptionLevel2" xfId="8433"/>
    <cellStyle name="SAPExceptionLevel3" xfId="8434"/>
    <cellStyle name="SAPExceptionLevel4" xfId="8435"/>
    <cellStyle name="SAPExceptionLevel5" xfId="8436"/>
    <cellStyle name="SAPExceptionLevel6" xfId="8437"/>
    <cellStyle name="SAPExceptionLevel7" xfId="8438"/>
    <cellStyle name="SAPExceptionLevel8" xfId="8439"/>
    <cellStyle name="SAPExceptionLevel9" xfId="8440"/>
    <cellStyle name="SAPHierarchyCell0" xfId="8441"/>
    <cellStyle name="SAPHierarchyCell1" xfId="8442"/>
    <cellStyle name="SAPHierarchyCell2" xfId="8443"/>
    <cellStyle name="SAPHierarchyCell3" xfId="8444"/>
    <cellStyle name="SAPHierarchyCell4" xfId="8445"/>
    <cellStyle name="SAPLockedDataCell" xfId="8446"/>
    <cellStyle name="SAPLockedDataTotalCell" xfId="8447"/>
    <cellStyle name="SAPMemberCell" xfId="8448"/>
    <cellStyle name="SAPMemberTotalCell" xfId="8449"/>
    <cellStyle name="SAPReadonlyDataCell" xfId="8450"/>
    <cellStyle name="SAPReadonlyDataTotalCell" xfId="8451"/>
    <cellStyle name="Shade" xfId="60"/>
    <cellStyle name="Special" xfId="61"/>
    <cellStyle name="Special 10" xfId="540"/>
    <cellStyle name="Special 10 2" xfId="7737"/>
    <cellStyle name="Special 11" xfId="549"/>
    <cellStyle name="Special 11 2" xfId="7738"/>
    <cellStyle name="Special 12" xfId="558"/>
    <cellStyle name="Special 12 2" xfId="7739"/>
    <cellStyle name="Special 13" xfId="567"/>
    <cellStyle name="Special 13 2" xfId="7740"/>
    <cellStyle name="Special 14" xfId="576"/>
    <cellStyle name="Special 14 2" xfId="7741"/>
    <cellStyle name="Special 15" xfId="585"/>
    <cellStyle name="Special 15 2" xfId="7742"/>
    <cellStyle name="Special 16" xfId="594"/>
    <cellStyle name="Special 16 2" xfId="7743"/>
    <cellStyle name="Special 17" xfId="603"/>
    <cellStyle name="Special 17 2" xfId="7744"/>
    <cellStyle name="Special 18" xfId="612"/>
    <cellStyle name="Special 18 2" xfId="7745"/>
    <cellStyle name="Special 19" xfId="621"/>
    <cellStyle name="Special 19 2" xfId="7746"/>
    <cellStyle name="Special 2" xfId="145"/>
    <cellStyle name="Special 2 10" xfId="1223"/>
    <cellStyle name="Special 2 10 2" xfId="7799"/>
    <cellStyle name="Special 2 11" xfId="1218"/>
    <cellStyle name="Special 2 11 2" xfId="7798"/>
    <cellStyle name="Special 2 12" xfId="1854"/>
    <cellStyle name="Special 2 12 2" xfId="7825"/>
    <cellStyle name="Special 2 13" xfId="2637"/>
    <cellStyle name="Special 2 13 2" xfId="7844"/>
    <cellStyle name="Special 2 14" xfId="2906"/>
    <cellStyle name="Special 2 14 2" xfId="7857"/>
    <cellStyle name="Special 2 15" xfId="3923"/>
    <cellStyle name="Special 2 15 2" xfId="7886"/>
    <cellStyle name="Special 2 16" xfId="7711"/>
    <cellStyle name="Special 2 2" xfId="428"/>
    <cellStyle name="Special 2 2 2" xfId="7730"/>
    <cellStyle name="Special 2 3" xfId="800"/>
    <cellStyle name="Special 2 3 2" xfId="7770"/>
    <cellStyle name="Special 2 4" xfId="847"/>
    <cellStyle name="Special 2 4 2" xfId="7773"/>
    <cellStyle name="Special 2 5" xfId="860"/>
    <cellStyle name="Special 2 5 2" xfId="7777"/>
    <cellStyle name="Special 2 6" xfId="866"/>
    <cellStyle name="Special 2 6 2" xfId="7778"/>
    <cellStyle name="Special 2 7" xfId="943"/>
    <cellStyle name="Special 2 7 2" xfId="7781"/>
    <cellStyle name="Special 2 8" xfId="930"/>
    <cellStyle name="Special 2 8 2" xfId="7780"/>
    <cellStyle name="Special 2 9" xfId="997"/>
    <cellStyle name="Special 2 9 2" xfId="7785"/>
    <cellStyle name="Special 20" xfId="630"/>
    <cellStyle name="Special 20 2" xfId="7747"/>
    <cellStyle name="Special 21" xfId="639"/>
    <cellStyle name="Special 21 2" xfId="7749"/>
    <cellStyle name="Special 22" xfId="648"/>
    <cellStyle name="Special 22 2" xfId="7750"/>
    <cellStyle name="Special 23" xfId="656"/>
    <cellStyle name="Special 23 2" xfId="7751"/>
    <cellStyle name="Special 24" xfId="665"/>
    <cellStyle name="Special 24 2" xfId="7752"/>
    <cellStyle name="Special 25" xfId="674"/>
    <cellStyle name="Special 25 2" xfId="7753"/>
    <cellStyle name="Special 26" xfId="683"/>
    <cellStyle name="Special 26 2" xfId="7754"/>
    <cellStyle name="Special 27" xfId="692"/>
    <cellStyle name="Special 27 2" xfId="7755"/>
    <cellStyle name="Special 28" xfId="701"/>
    <cellStyle name="Special 28 2" xfId="7756"/>
    <cellStyle name="Special 29" xfId="710"/>
    <cellStyle name="Special 29 2" xfId="7757"/>
    <cellStyle name="Special 3" xfId="165"/>
    <cellStyle name="Special 3 2" xfId="482"/>
    <cellStyle name="Special 3 2 2" xfId="7732"/>
    <cellStyle name="Special 3 3" xfId="802"/>
    <cellStyle name="Special 3 3 2" xfId="7771"/>
    <cellStyle name="Special 3 4" xfId="850"/>
    <cellStyle name="Special 3 4 2" xfId="7774"/>
    <cellStyle name="Special 3 5" xfId="857"/>
    <cellStyle name="Special 3 5 2" xfId="7776"/>
    <cellStyle name="Special 3 6" xfId="963"/>
    <cellStyle name="Special 3 6 2" xfId="1397"/>
    <cellStyle name="Special 3 6 2 2" xfId="7804"/>
    <cellStyle name="Special 3 6 3" xfId="1634"/>
    <cellStyle name="Special 3 6 3 2" xfId="7815"/>
    <cellStyle name="Special 3 6 4" xfId="1962"/>
    <cellStyle name="Special 3 6 4 2" xfId="7826"/>
    <cellStyle name="Special 3 6 5" xfId="3077"/>
    <cellStyle name="Special 3 6 5 2" xfId="7863"/>
    <cellStyle name="Special 3 6 6" xfId="2973"/>
    <cellStyle name="Special 3 6 6 2" xfId="7858"/>
    <cellStyle name="Special 3 6 7" xfId="2884"/>
    <cellStyle name="Special 3 6 7 2" xfId="7855"/>
    <cellStyle name="Special 3 6 8" xfId="7782"/>
    <cellStyle name="Special 3 7" xfId="998"/>
    <cellStyle name="Special 3 7 2" xfId="1428"/>
    <cellStyle name="Special 3 7 2 2" xfId="7808"/>
    <cellStyle name="Special 3 7 3" xfId="1665"/>
    <cellStyle name="Special 3 7 3 2" xfId="7817"/>
    <cellStyle name="Special 3 7 4" xfId="1993"/>
    <cellStyle name="Special 3 7 4 2" xfId="7829"/>
    <cellStyle name="Special 3 7 5" xfId="3111"/>
    <cellStyle name="Special 3 7 5 2" xfId="7866"/>
    <cellStyle name="Special 3 7 6" xfId="3296"/>
    <cellStyle name="Special 3 7 6 2" xfId="7873"/>
    <cellStyle name="Special 3 7 7" xfId="2844"/>
    <cellStyle name="Special 3 7 7 2" xfId="7853"/>
    <cellStyle name="Special 3 7 8" xfId="7786"/>
    <cellStyle name="Special 3 8" xfId="987"/>
    <cellStyle name="Special 3 8 2" xfId="1419"/>
    <cellStyle name="Special 3 8 2 2" xfId="7807"/>
    <cellStyle name="Special 3 8 3" xfId="1656"/>
    <cellStyle name="Special 3 8 3 2" xfId="7816"/>
    <cellStyle name="Special 3 8 4" xfId="1984"/>
    <cellStyle name="Special 3 8 4 2" xfId="7828"/>
    <cellStyle name="Special 3 8 5" xfId="3101"/>
    <cellStyle name="Special 3 8 5 2" xfId="7864"/>
    <cellStyle name="Special 3 8 6" xfId="3924"/>
    <cellStyle name="Special 3 8 6 2" xfId="7887"/>
    <cellStyle name="Special 3 8 7" xfId="4759"/>
    <cellStyle name="Special 3 8 7 2" xfId="7903"/>
    <cellStyle name="Special 3 8 8" xfId="7784"/>
    <cellStyle name="Special 3 9" xfId="7712"/>
    <cellStyle name="Special 30" xfId="719"/>
    <cellStyle name="Special 30 2" xfId="7758"/>
    <cellStyle name="Special 31" xfId="728"/>
    <cellStyle name="Special 31 2" xfId="7759"/>
    <cellStyle name="Special 32" xfId="737"/>
    <cellStyle name="Special 32 2" xfId="7760"/>
    <cellStyle name="Special 33" xfId="745"/>
    <cellStyle name="Special 33 2" xfId="7762"/>
    <cellStyle name="Special 34" xfId="752"/>
    <cellStyle name="Special 34 2" xfId="7763"/>
    <cellStyle name="Special 35" xfId="758"/>
    <cellStyle name="Special 35 2" xfId="7764"/>
    <cellStyle name="Special 36" xfId="764"/>
    <cellStyle name="Special 36 2" xfId="7765"/>
    <cellStyle name="Special 37" xfId="770"/>
    <cellStyle name="Special 37 2" xfId="7766"/>
    <cellStyle name="Special 38" xfId="773"/>
    <cellStyle name="Special 38 2" xfId="7767"/>
    <cellStyle name="Special 39" xfId="779"/>
    <cellStyle name="Special 39 2" xfId="1049"/>
    <cellStyle name="Special 39 2 2" xfId="1473"/>
    <cellStyle name="Special 39 2 2 2" xfId="7809"/>
    <cellStyle name="Special 39 2 3" xfId="1706"/>
    <cellStyle name="Special 39 2 3 2" xfId="7818"/>
    <cellStyle name="Special 39 2 4" xfId="2034"/>
    <cellStyle name="Special 39 2 4 2" xfId="7831"/>
    <cellStyle name="Special 39 2 5" xfId="3158"/>
    <cellStyle name="Special 39 2 5 2" xfId="7867"/>
    <cellStyle name="Special 39 2 6" xfId="2892"/>
    <cellStyle name="Special 39 2 6 2" xfId="7856"/>
    <cellStyle name="Special 39 2 7" xfId="4033"/>
    <cellStyle name="Special 39 2 7 2" xfId="7889"/>
    <cellStyle name="Special 39 2 8" xfId="7788"/>
    <cellStyle name="Special 39 3" xfId="1092"/>
    <cellStyle name="Special 39 3 2" xfId="1515"/>
    <cellStyle name="Special 39 3 2 2" xfId="7811"/>
    <cellStyle name="Special 39 3 3" xfId="1747"/>
    <cellStyle name="Special 39 3 3 2" xfId="7820"/>
    <cellStyle name="Special 39 3 4" xfId="2075"/>
    <cellStyle name="Special 39 3 4 2" xfId="7833"/>
    <cellStyle name="Special 39 3 5" xfId="3202"/>
    <cellStyle name="Special 39 3 5 2" xfId="7869"/>
    <cellStyle name="Special 39 3 6" xfId="3735"/>
    <cellStyle name="Special 39 3 6 2" xfId="7882"/>
    <cellStyle name="Special 39 3 7" xfId="4592"/>
    <cellStyle name="Special 39 3 7 2" xfId="7899"/>
    <cellStyle name="Special 39 3 8" xfId="7792"/>
    <cellStyle name="Special 39 4" xfId="1132"/>
    <cellStyle name="Special 39 4 2" xfId="1555"/>
    <cellStyle name="Special 39 4 2 2" xfId="7813"/>
    <cellStyle name="Special 39 4 3" xfId="1786"/>
    <cellStyle name="Special 39 4 3 2" xfId="7822"/>
    <cellStyle name="Special 39 4 4" xfId="2114"/>
    <cellStyle name="Special 39 4 4 2" xfId="7835"/>
    <cellStyle name="Special 39 4 5" xfId="3241"/>
    <cellStyle name="Special 39 4 5 2" xfId="7871"/>
    <cellStyle name="Special 39 4 6" xfId="2758"/>
    <cellStyle name="Special 39 4 6 2" xfId="7848"/>
    <cellStyle name="Special 39 4 7" xfId="2580"/>
    <cellStyle name="Special 39 4 7 2" xfId="7842"/>
    <cellStyle name="Special 39 4 8" xfId="7795"/>
    <cellStyle name="Special 39 5" xfId="7768"/>
    <cellStyle name="Special 4" xfId="169"/>
    <cellStyle name="Special 4 2" xfId="7713"/>
    <cellStyle name="Special 40" xfId="823"/>
    <cellStyle name="Special 40 2" xfId="1071"/>
    <cellStyle name="Special 40 2 2" xfId="1495"/>
    <cellStyle name="Special 40 2 2 2" xfId="7810"/>
    <cellStyle name="Special 40 2 3" xfId="1728"/>
    <cellStyle name="Special 40 2 3 2" xfId="7819"/>
    <cellStyle name="Special 40 2 4" xfId="2056"/>
    <cellStyle name="Special 40 2 4 2" xfId="7832"/>
    <cellStyle name="Special 40 2 5" xfId="3181"/>
    <cellStyle name="Special 40 2 5 2" xfId="7868"/>
    <cellStyle name="Special 40 2 6" xfId="2842"/>
    <cellStyle name="Special 40 2 6 2" xfId="7852"/>
    <cellStyle name="Special 40 2 7" xfId="4014"/>
    <cellStyle name="Special 40 2 7 2" xfId="7888"/>
    <cellStyle name="Special 40 2 8" xfId="7789"/>
    <cellStyle name="Special 40 3" xfId="1114"/>
    <cellStyle name="Special 40 3 2" xfId="1537"/>
    <cellStyle name="Special 40 3 2 2" xfId="7812"/>
    <cellStyle name="Special 40 3 3" xfId="1769"/>
    <cellStyle name="Special 40 3 3 2" xfId="7821"/>
    <cellStyle name="Special 40 3 4" xfId="2097"/>
    <cellStyle name="Special 40 3 4 2" xfId="7834"/>
    <cellStyle name="Special 40 3 5" xfId="3224"/>
    <cellStyle name="Special 40 3 5 2" xfId="7870"/>
    <cellStyle name="Special 40 3 6" xfId="2825"/>
    <cellStyle name="Special 40 3 6 2" xfId="7851"/>
    <cellStyle name="Special 40 3 7" xfId="2820"/>
    <cellStyle name="Special 40 3 7 2" xfId="7849"/>
    <cellStyle name="Special 40 3 8" xfId="7793"/>
    <cellStyle name="Special 40 4" xfId="1149"/>
    <cellStyle name="Special 40 4 2" xfId="1572"/>
    <cellStyle name="Special 40 4 2 2" xfId="7814"/>
    <cellStyle name="Special 40 4 3" xfId="1803"/>
    <cellStyle name="Special 40 4 3 2" xfId="7823"/>
    <cellStyle name="Special 40 4 4" xfId="2131"/>
    <cellStyle name="Special 40 4 4 2" xfId="7836"/>
    <cellStyle name="Special 40 4 5" xfId="3258"/>
    <cellStyle name="Special 40 4 5 2" xfId="7872"/>
    <cellStyle name="Special 40 4 6" xfId="3676"/>
    <cellStyle name="Special 40 4 6 2" xfId="7881"/>
    <cellStyle name="Special 40 4 7" xfId="4546"/>
    <cellStyle name="Special 40 4 7 2" xfId="7898"/>
    <cellStyle name="Special 40 4 8" xfId="7796"/>
    <cellStyle name="Special 40 5" xfId="7772"/>
    <cellStyle name="Special 41" xfId="5805"/>
    <cellStyle name="Special 41 2" xfId="7917"/>
    <cellStyle name="Special 42" xfId="5812"/>
    <cellStyle name="Special 42 2" xfId="7918"/>
    <cellStyle name="Special 43" xfId="5818"/>
    <cellStyle name="Special 43 2" xfId="7919"/>
    <cellStyle name="Special 44" xfId="5884"/>
    <cellStyle name="Special 44 2" xfId="7923"/>
    <cellStyle name="Special 45" xfId="6188"/>
    <cellStyle name="Special 45 2" xfId="7934"/>
    <cellStyle name="Special 46" xfId="5924"/>
    <cellStyle name="Special 46 2" xfId="7924"/>
    <cellStyle name="Special 47" xfId="6233"/>
    <cellStyle name="Special 47 2" xfId="7937"/>
    <cellStyle name="Special 48" xfId="6717"/>
    <cellStyle name="Special 48 2" xfId="7960"/>
    <cellStyle name="Special 49" xfId="6418"/>
    <cellStyle name="Special 49 2" xfId="7947"/>
    <cellStyle name="Special 5" xfId="332"/>
    <cellStyle name="Special 5 2" xfId="7724"/>
    <cellStyle name="Special 50" xfId="6564"/>
    <cellStyle name="Special 50 2" xfId="7954"/>
    <cellStyle name="Special 51" xfId="6027"/>
    <cellStyle name="Special 51 2" xfId="7926"/>
    <cellStyle name="Special 52" xfId="6068"/>
    <cellStyle name="Special 52 2" xfId="7929"/>
    <cellStyle name="Special 53" xfId="6515"/>
    <cellStyle name="Special 53 2" xfId="7951"/>
    <cellStyle name="Special 54" xfId="7709"/>
    <cellStyle name="Special 6" xfId="505"/>
    <cellStyle name="Special 6 2" xfId="7733"/>
    <cellStyle name="Special 7" xfId="513"/>
    <cellStyle name="Special 7 2" xfId="7734"/>
    <cellStyle name="Special 8" xfId="522"/>
    <cellStyle name="Special 8 2" xfId="7735"/>
    <cellStyle name="Special 9" xfId="531"/>
    <cellStyle name="Special 9 2" xfId="7736"/>
    <cellStyle name="STYL1 - Style1" xfId="333"/>
    <cellStyle name="Style 1" xfId="8452"/>
    <cellStyle name="Style 21" xfId="8453"/>
    <cellStyle name="Style 22" xfId="8454"/>
    <cellStyle name="Style 24" xfId="8455"/>
    <cellStyle name="Style 27" xfId="8456"/>
    <cellStyle name="Style 35" xfId="8457"/>
    <cellStyle name="Style 36" xfId="8458"/>
    <cellStyle name="Table  - Style6" xfId="334"/>
    <cellStyle name="Table  - Style6 2" xfId="7725"/>
    <cellStyle name="Table  - Style6 3" xfId="7761"/>
    <cellStyle name="Text" xfId="62"/>
    <cellStyle name="Text 10" xfId="867"/>
    <cellStyle name="Text 11" xfId="945"/>
    <cellStyle name="Text 12" xfId="928"/>
    <cellStyle name="Text 13" xfId="1001"/>
    <cellStyle name="Text 14" xfId="1225"/>
    <cellStyle name="Text 15" xfId="1217"/>
    <cellStyle name="Text 16" xfId="1855"/>
    <cellStyle name="Text 17" xfId="2640"/>
    <cellStyle name="Text 18" xfId="3500"/>
    <cellStyle name="Text 19" xfId="4403"/>
    <cellStyle name="Text 2" xfId="146"/>
    <cellStyle name="Text 20" xfId="5807"/>
    <cellStyle name="Text 21" xfId="5814"/>
    <cellStyle name="Text 22" xfId="5819"/>
    <cellStyle name="Text 23" xfId="5886"/>
    <cellStyle name="Text 24" xfId="6421"/>
    <cellStyle name="Text 25" xfId="6825"/>
    <cellStyle name="Text 26" xfId="6753"/>
    <cellStyle name="Text 27" xfId="6483"/>
    <cellStyle name="Text 28" xfId="6138"/>
    <cellStyle name="Text 29" xfId="6286"/>
    <cellStyle name="Text 3" xfId="166"/>
    <cellStyle name="Text 30" xfId="6977"/>
    <cellStyle name="Text 31" xfId="6901"/>
    <cellStyle name="Text 32" xfId="6661"/>
    <cellStyle name="Text 4" xfId="170"/>
    <cellStyle name="Text 5" xfId="335"/>
    <cellStyle name="Text 6" xfId="430"/>
    <cellStyle name="Text 7" xfId="780"/>
    <cellStyle name="Text 8" xfId="824"/>
    <cellStyle name="Text 9" xfId="858"/>
    <cellStyle name="Title  - Style1" xfId="340"/>
    <cellStyle name="Title 10" xfId="6839"/>
    <cellStyle name="Title 11" xfId="6417"/>
    <cellStyle name="Title 12" xfId="6866"/>
    <cellStyle name="Title 13" xfId="7038"/>
    <cellStyle name="Title 2" xfId="339"/>
    <cellStyle name="Title 2 10" xfId="6293"/>
    <cellStyle name="Title 2 11" xfId="6302"/>
    <cellStyle name="Title 2 12" xfId="5971"/>
    <cellStyle name="Title 2 2" xfId="341"/>
    <cellStyle name="Title 2 3" xfId="5891"/>
    <cellStyle name="Title 2 4" xfId="5890"/>
    <cellStyle name="Title 2 5" xfId="5892"/>
    <cellStyle name="Title 2 6" xfId="6299"/>
    <cellStyle name="Title 2 7" xfId="6721"/>
    <cellStyle name="Title 2 8" xfId="6274"/>
    <cellStyle name="Title 2 9" xfId="6419"/>
    <cellStyle name="Title 3" xfId="342"/>
    <cellStyle name="Title 4" xfId="5889"/>
    <cellStyle name="Title 5" xfId="6065"/>
    <cellStyle name="Title 6" xfId="6207"/>
    <cellStyle name="Title 7" xfId="5906"/>
    <cellStyle name="Title 8" xfId="6464"/>
    <cellStyle name="Title 9" xfId="6107"/>
    <cellStyle name="Titles" xfId="8459"/>
    <cellStyle name="Total 10" xfId="100"/>
    <cellStyle name="Total 10 10" xfId="6278"/>
    <cellStyle name="Total 10 11" xfId="6850"/>
    <cellStyle name="Total 10 12" xfId="6834"/>
    <cellStyle name="Total 10 2" xfId="532"/>
    <cellStyle name="Total 10 3" xfId="5952"/>
    <cellStyle name="Total 10 4" xfId="5872"/>
    <cellStyle name="Total 10 5" xfId="6159"/>
    <cellStyle name="Total 10 6" xfId="6312"/>
    <cellStyle name="Total 10 7" xfId="6859"/>
    <cellStyle name="Total 10 8" xfId="6616"/>
    <cellStyle name="Total 10 9" xfId="6626"/>
    <cellStyle name="Total 11" xfId="102"/>
    <cellStyle name="Total 11 10" xfId="6012"/>
    <cellStyle name="Total 11 11" xfId="6613"/>
    <cellStyle name="Total 11 12" xfId="7022"/>
    <cellStyle name="Total 11 2" xfId="541"/>
    <cellStyle name="Total 11 3" xfId="5955"/>
    <cellStyle name="Total 11 4" xfId="5870"/>
    <cellStyle name="Total 11 5" xfId="6209"/>
    <cellStyle name="Total 11 6" xfId="6596"/>
    <cellStyle name="Total 11 7" xfId="6432"/>
    <cellStyle name="Total 11 8" xfId="6595"/>
    <cellStyle name="Total 11 9" xfId="6584"/>
    <cellStyle name="Total 12" xfId="104"/>
    <cellStyle name="Total 12 10" xfId="6341"/>
    <cellStyle name="Total 12 11" xfId="6121"/>
    <cellStyle name="Total 12 12" xfId="5946"/>
    <cellStyle name="Total 12 2" xfId="550"/>
    <cellStyle name="Total 12 3" xfId="5959"/>
    <cellStyle name="Total 12 4" xfId="5865"/>
    <cellStyle name="Total 12 5" xfId="6472"/>
    <cellStyle name="Total 12 6" xfId="6713"/>
    <cellStyle name="Total 12 7" xfId="6709"/>
    <cellStyle name="Total 12 8" xfId="6468"/>
    <cellStyle name="Total 12 9" xfId="6443"/>
    <cellStyle name="Total 13" xfId="111"/>
    <cellStyle name="Total 13 10" xfId="6401"/>
    <cellStyle name="Total 13 11" xfId="6962"/>
    <cellStyle name="Total 13 12" xfId="6809"/>
    <cellStyle name="Total 13 2" xfId="559"/>
    <cellStyle name="Total 13 3" xfId="5961"/>
    <cellStyle name="Total 13 4" xfId="5862"/>
    <cellStyle name="Total 13 5" xfId="6003"/>
    <cellStyle name="Total 13 6" xfId="6561"/>
    <cellStyle name="Total 13 7" xfId="6758"/>
    <cellStyle name="Total 13 8" xfId="6495"/>
    <cellStyle name="Total 13 9" xfId="6350"/>
    <cellStyle name="Total 14" xfId="114"/>
    <cellStyle name="Total 14 10" xfId="6934"/>
    <cellStyle name="Total 14 11" xfId="6420"/>
    <cellStyle name="Total 14 12" xfId="7012"/>
    <cellStyle name="Total 14 2" xfId="568"/>
    <cellStyle name="Total 14 3" xfId="5964"/>
    <cellStyle name="Total 14 4" xfId="5859"/>
    <cellStyle name="Total 14 5" xfId="6011"/>
    <cellStyle name="Total 14 6" xfId="6790"/>
    <cellStyle name="Total 14 7" xfId="5934"/>
    <cellStyle name="Total 14 8" xfId="365"/>
    <cellStyle name="Total 14 9" xfId="6454"/>
    <cellStyle name="Total 15" xfId="115"/>
    <cellStyle name="Total 15 10" xfId="6811"/>
    <cellStyle name="Total 15 11" xfId="6055"/>
    <cellStyle name="Total 15 12" xfId="6262"/>
    <cellStyle name="Total 15 2" xfId="577"/>
    <cellStyle name="Total 15 3" xfId="5967"/>
    <cellStyle name="Total 15 4" xfId="6220"/>
    <cellStyle name="Total 15 5" xfId="5994"/>
    <cellStyle name="Total 15 6" xfId="6824"/>
    <cellStyle name="Total 15 7" xfId="6567"/>
    <cellStyle name="Total 15 8" xfId="6915"/>
    <cellStyle name="Total 15 9" xfId="6812"/>
    <cellStyle name="Total 16" xfId="118"/>
    <cellStyle name="Total 16 10" xfId="6425"/>
    <cellStyle name="Total 16 11" xfId="6619"/>
    <cellStyle name="Total 16 12" xfId="6892"/>
    <cellStyle name="Total 16 2" xfId="586"/>
    <cellStyle name="Total 16 3" xfId="5969"/>
    <cellStyle name="Total 16 4" xfId="6657"/>
    <cellStyle name="Total 16 5" xfId="6416"/>
    <cellStyle name="Total 16 6" xfId="6694"/>
    <cellStyle name="Total 16 7" xfId="6092"/>
    <cellStyle name="Total 16 8" xfId="6605"/>
    <cellStyle name="Total 16 9" xfId="6828"/>
    <cellStyle name="Total 17" xfId="119"/>
    <cellStyle name="Total 17 10" xfId="6482"/>
    <cellStyle name="Total 17 11" xfId="6352"/>
    <cellStyle name="Total 17 12" xfId="6931"/>
    <cellStyle name="Total 17 2" xfId="595"/>
    <cellStyle name="Total 17 3" xfId="5974"/>
    <cellStyle name="Total 17 4" xfId="6402"/>
    <cellStyle name="Total 17 5" xfId="6849"/>
    <cellStyle name="Total 17 6" xfId="6906"/>
    <cellStyle name="Total 17 7" xfId="6127"/>
    <cellStyle name="Total 17 8" xfId="6458"/>
    <cellStyle name="Total 17 9" xfId="6990"/>
    <cellStyle name="Total 18" xfId="123"/>
    <cellStyle name="Total 18 10" xfId="7029"/>
    <cellStyle name="Total 18 11" xfId="7047"/>
    <cellStyle name="Total 18 12" xfId="7063"/>
    <cellStyle name="Total 18 2" xfId="604"/>
    <cellStyle name="Total 18 3" xfId="5977"/>
    <cellStyle name="Total 18 4" xfId="6865"/>
    <cellStyle name="Total 18 5" xfId="6897"/>
    <cellStyle name="Total 18 6" xfId="6792"/>
    <cellStyle name="Total 18 7" xfId="6109"/>
    <cellStyle name="Total 18 8" xfId="6988"/>
    <cellStyle name="Total 18 9" xfId="6720"/>
    <cellStyle name="Total 19" xfId="132"/>
    <cellStyle name="Total 19 10" xfId="6711"/>
    <cellStyle name="Total 19 11" xfId="6478"/>
    <cellStyle name="Total 19 12" xfId="5911"/>
    <cellStyle name="Total 19 2" xfId="613"/>
    <cellStyle name="Total 19 3" xfId="5980"/>
    <cellStyle name="Total 19 4" xfId="6749"/>
    <cellStyle name="Total 19 5" xfId="6822"/>
    <cellStyle name="Total 19 6" xfId="5979"/>
    <cellStyle name="Total 19 7" xfId="6174"/>
    <cellStyle name="Total 19 8" xfId="6704"/>
    <cellStyle name="Total 19 9" xfId="6643"/>
    <cellStyle name="Total 2" xfId="63"/>
    <cellStyle name="Total 2 10" xfId="5918"/>
    <cellStyle name="Total 2 11" xfId="6333"/>
    <cellStyle name="Total 2 12" xfId="6501"/>
    <cellStyle name="Total 2 13" xfId="6636"/>
    <cellStyle name="Total 2 14" xfId="6967"/>
    <cellStyle name="Total 2 15" xfId="6366"/>
    <cellStyle name="Total 2 16" xfId="8460"/>
    <cellStyle name="Total 2 2" xfId="344"/>
    <cellStyle name="Total 2 2 10" xfId="6301"/>
    <cellStyle name="Total 2 2 11" xfId="6344"/>
    <cellStyle name="Total 2 2 12" xfId="6139"/>
    <cellStyle name="Total 2 2 13" xfId="6385"/>
    <cellStyle name="Total 2 2 14" xfId="6457"/>
    <cellStyle name="Total 2 2 2" xfId="454"/>
    <cellStyle name="Total 2 2 2 2" xfId="1407"/>
    <cellStyle name="Total 2 2 2 3" xfId="1644"/>
    <cellStyle name="Total 2 2 2 4" xfId="1972"/>
    <cellStyle name="Total 2 2 2 5" xfId="3087"/>
    <cellStyle name="Total 2 2 2 6" xfId="2982"/>
    <cellStyle name="Total 2 2 2 7" xfId="2960"/>
    <cellStyle name="Total 2 2 3" xfId="986"/>
    <cellStyle name="Total 2 2 3 2" xfId="1418"/>
    <cellStyle name="Total 2 2 3 3" xfId="1655"/>
    <cellStyle name="Total 2 2 3 4" xfId="1983"/>
    <cellStyle name="Total 2 2 3 5" xfId="3100"/>
    <cellStyle name="Total 2 2 3 6" xfId="3496"/>
    <cellStyle name="Total 2 2 3 7" xfId="4400"/>
    <cellStyle name="Total 2 2 4" xfId="1023"/>
    <cellStyle name="Total 2 2 4 2" xfId="1449"/>
    <cellStyle name="Total 2 2 4 3" xfId="1685"/>
    <cellStyle name="Total 2 2 4 4" xfId="2013"/>
    <cellStyle name="Total 2 2 4 5" xfId="3134"/>
    <cellStyle name="Total 2 2 4 6" xfId="3741"/>
    <cellStyle name="Total 2 2 4 7" xfId="4596"/>
    <cellStyle name="Total 2 2 5" xfId="5933"/>
    <cellStyle name="Total 2 2 6" xfId="5987"/>
    <cellStyle name="Total 2 2 7" xfId="6315"/>
    <cellStyle name="Total 2 2 8" xfId="6029"/>
    <cellStyle name="Total 2 2 9" xfId="6191"/>
    <cellStyle name="Total 2 3" xfId="791"/>
    <cellStyle name="Total 2 3 2" xfId="1059"/>
    <cellStyle name="Total 2 3 2 2" xfId="1484"/>
    <cellStyle name="Total 2 3 2 3" xfId="1717"/>
    <cellStyle name="Total 2 3 2 4" xfId="2045"/>
    <cellStyle name="Total 2 3 2 5" xfId="3169"/>
    <cellStyle name="Total 2 3 2 6" xfId="2985"/>
    <cellStyle name="Total 2 3 2 7" xfId="2843"/>
    <cellStyle name="Total 2 3 3" xfId="1103"/>
    <cellStyle name="Total 2 3 3 2" xfId="1526"/>
    <cellStyle name="Total 2 3 3 3" xfId="1758"/>
    <cellStyle name="Total 2 3 3 4" xfId="2086"/>
    <cellStyle name="Total 2 3 3 5" xfId="3213"/>
    <cellStyle name="Total 2 3 3 6" xfId="3505"/>
    <cellStyle name="Total 2 3 3 7" xfId="4405"/>
    <cellStyle name="Total 2 3 4" xfId="1142"/>
    <cellStyle name="Total 2 3 4 2" xfId="1565"/>
    <cellStyle name="Total 2 3 4 3" xfId="1796"/>
    <cellStyle name="Total 2 3 4 4" xfId="2124"/>
    <cellStyle name="Total 2 3 4 5" xfId="3251"/>
    <cellStyle name="Total 2 3 4 6" xfId="3713"/>
    <cellStyle name="Total 2 3 4 7" xfId="4577"/>
    <cellStyle name="Total 2 4" xfId="835"/>
    <cellStyle name="Total 2 4 2" xfId="1081"/>
    <cellStyle name="Total 2 4 2 2" xfId="1505"/>
    <cellStyle name="Total 2 4 2 3" xfId="1738"/>
    <cellStyle name="Total 2 4 2 4" xfId="2066"/>
    <cellStyle name="Total 2 4 2 5" xfId="3191"/>
    <cellStyle name="Total 2 4 2 6" xfId="4007"/>
    <cellStyle name="Total 2 4 2 7" xfId="4819"/>
    <cellStyle name="Total 2 4 3" xfId="1124"/>
    <cellStyle name="Total 2 4 3 2" xfId="1547"/>
    <cellStyle name="Total 2 4 3 3" xfId="1779"/>
    <cellStyle name="Total 2 4 3 4" xfId="2107"/>
    <cellStyle name="Total 2 4 3 5" xfId="3234"/>
    <cellStyle name="Total 2 4 3 6" xfId="2545"/>
    <cellStyle name="Total 2 4 3 7" xfId="3959"/>
    <cellStyle name="Total 2 4 4" xfId="1159"/>
    <cellStyle name="Total 2 4 4 2" xfId="1582"/>
    <cellStyle name="Total 2 4 4 3" xfId="1813"/>
    <cellStyle name="Total 2 4 4 4" xfId="2141"/>
    <cellStyle name="Total 2 4 4 5" xfId="3268"/>
    <cellStyle name="Total 2 4 4 6" xfId="2925"/>
    <cellStyle name="Total 2 4 4 7" xfId="3994"/>
    <cellStyle name="Total 2 5" xfId="813"/>
    <cellStyle name="Total 2 6" xfId="5894"/>
    <cellStyle name="Total 2 7" xfId="6021"/>
    <cellStyle name="Total 2 8" xfId="6634"/>
    <cellStyle name="Total 2 9" xfId="6590"/>
    <cellStyle name="Total 20" xfId="134"/>
    <cellStyle name="Total 20 10" xfId="6702"/>
    <cellStyle name="Total 20 11" xfId="6074"/>
    <cellStyle name="Total 20 12" xfId="6927"/>
    <cellStyle name="Total 20 2" xfId="622"/>
    <cellStyle name="Total 20 3" xfId="5982"/>
    <cellStyle name="Total 20 4" xfId="6710"/>
    <cellStyle name="Total 20 5" xfId="6337"/>
    <cellStyle name="Total 20 6" xfId="6738"/>
    <cellStyle name="Total 20 7" xfId="6818"/>
    <cellStyle name="Total 20 8" xfId="6039"/>
    <cellStyle name="Total 20 9" xfId="6197"/>
    <cellStyle name="Total 21" xfId="135"/>
    <cellStyle name="Total 21 10" xfId="6838"/>
    <cellStyle name="Total 21 11" xfId="7000"/>
    <cellStyle name="Total 21 12" xfId="6545"/>
    <cellStyle name="Total 21 2" xfId="631"/>
    <cellStyle name="Total 21 3" xfId="5985"/>
    <cellStyle name="Total 21 4" xfId="6330"/>
    <cellStyle name="Total 21 5" xfId="6255"/>
    <cellStyle name="Total 21 6" xfId="6164"/>
    <cellStyle name="Total 21 7" xfId="6114"/>
    <cellStyle name="Total 21 8" xfId="6819"/>
    <cellStyle name="Total 21 9" xfId="6667"/>
    <cellStyle name="Total 22" xfId="136"/>
    <cellStyle name="Total 22 10" xfId="6868"/>
    <cellStyle name="Total 22 11" xfId="7040"/>
    <cellStyle name="Total 22 12" xfId="7056"/>
    <cellStyle name="Total 22 2" xfId="640"/>
    <cellStyle name="Total 22 3" xfId="5988"/>
    <cellStyle name="Total 22 4" xfId="6129"/>
    <cellStyle name="Total 22 5" xfId="6882"/>
    <cellStyle name="Total 22 6" xfId="6106"/>
    <cellStyle name="Total 22 7" xfId="6945"/>
    <cellStyle name="Total 22 8" xfId="6976"/>
    <cellStyle name="Total 22 9" xfId="6086"/>
    <cellStyle name="Total 23" xfId="147"/>
    <cellStyle name="Total 24" xfId="167"/>
    <cellStyle name="Total 25" xfId="171"/>
    <cellStyle name="Total 26" xfId="343"/>
    <cellStyle name="Total 26 10" xfId="7027"/>
    <cellStyle name="Total 26 11" xfId="7046"/>
    <cellStyle name="Total 26 12" xfId="7062"/>
    <cellStyle name="Total 26 2" xfId="675"/>
    <cellStyle name="Total 26 3" xfId="5996"/>
    <cellStyle name="Total 26 4" xfId="6861"/>
    <cellStyle name="Total 26 5" xfId="6891"/>
    <cellStyle name="Total 26 6" xfId="6298"/>
    <cellStyle name="Total 26 7" xfId="6311"/>
    <cellStyle name="Total 26 8" xfId="6985"/>
    <cellStyle name="Total 26 9" xfId="6147"/>
    <cellStyle name="Total 27" xfId="684"/>
    <cellStyle name="Total 28" xfId="693"/>
    <cellStyle name="Total 29" xfId="702"/>
    <cellStyle name="Total 3" xfId="74"/>
    <cellStyle name="Total 3 10" xfId="6046"/>
    <cellStyle name="Total 3 11" xfId="6857"/>
    <cellStyle name="Total 3 12" xfId="5915"/>
    <cellStyle name="Total 3 13" xfId="6575"/>
    <cellStyle name="Total 3 14" xfId="5917"/>
    <cellStyle name="Total 3 15" xfId="6163"/>
    <cellStyle name="Total 3 2" xfId="345"/>
    <cellStyle name="Total 3 2 10" xfId="6649"/>
    <cellStyle name="Total 3 2 11" xfId="6236"/>
    <cellStyle name="Total 3 2 12" xfId="5940"/>
    <cellStyle name="Total 3 2 2" xfId="476"/>
    <cellStyle name="Total 3 2 3" xfId="5937"/>
    <cellStyle name="Total 3 2 4" xfId="5958"/>
    <cellStyle name="Total 3 2 5" xfId="5866"/>
    <cellStyle name="Total 3 2 6" xfId="6444"/>
    <cellStyle name="Total 3 2 7" xfId="6523"/>
    <cellStyle name="Total 3 2 8" xfId="6238"/>
    <cellStyle name="Total 3 2 9" xfId="6287"/>
    <cellStyle name="Total 3 3" xfId="801"/>
    <cellStyle name="Total 3 4" xfId="848"/>
    <cellStyle name="Total 3 5" xfId="859"/>
    <cellStyle name="Total 3 6" xfId="5895"/>
    <cellStyle name="Total 3 7" xfId="5920"/>
    <cellStyle name="Total 3 8" xfId="6067"/>
    <cellStyle name="Total 3 9" xfId="6206"/>
    <cellStyle name="Total 30" xfId="711"/>
    <cellStyle name="Total 31" xfId="720"/>
    <cellStyle name="Total 32" xfId="729"/>
    <cellStyle name="Total 33" xfId="738"/>
    <cellStyle name="Total 34" xfId="746"/>
    <cellStyle name="Total 35" xfId="753"/>
    <cellStyle name="Total 36" xfId="759"/>
    <cellStyle name="Total 37" xfId="765"/>
    <cellStyle name="Total 38" xfId="771"/>
    <cellStyle name="Total 39" xfId="774"/>
    <cellStyle name="Total 4" xfId="76"/>
    <cellStyle name="Total 4 10" xfId="1228"/>
    <cellStyle name="Total 4 11" xfId="1216"/>
    <cellStyle name="Total 4 12" xfId="1856"/>
    <cellStyle name="Total 4 13" xfId="2643"/>
    <cellStyle name="Total 4 14" xfId="2899"/>
    <cellStyle name="Total 4 15" xfId="3736"/>
    <cellStyle name="Total 4 16" xfId="5896"/>
    <cellStyle name="Total 4 17" xfId="5888"/>
    <cellStyle name="Total 4 18" xfId="6135"/>
    <cellStyle name="Total 4 19" xfId="6956"/>
    <cellStyle name="Total 4 2" xfId="346"/>
    <cellStyle name="Total 4 20" xfId="6699"/>
    <cellStyle name="Total 4 21" xfId="6499"/>
    <cellStyle name="Total 4 22" xfId="7025"/>
    <cellStyle name="Total 4 23" xfId="6381"/>
    <cellStyle name="Total 4 24" xfId="6804"/>
    <cellStyle name="Total 4 25" xfId="6112"/>
    <cellStyle name="Total 4 3" xfId="803"/>
    <cellStyle name="Total 4 4" xfId="851"/>
    <cellStyle name="Total 4 5" xfId="856"/>
    <cellStyle name="Total 4 6" xfId="868"/>
    <cellStyle name="Total 4 7" xfId="948"/>
    <cellStyle name="Total 4 8" xfId="978"/>
    <cellStyle name="Total 4 9" xfId="1083"/>
    <cellStyle name="Total 40" xfId="781"/>
    <cellStyle name="Total 40 2" xfId="1050"/>
    <cellStyle name="Total 40 2 2" xfId="1474"/>
    <cellStyle name="Total 40 2 3" xfId="1707"/>
    <cellStyle name="Total 40 2 4" xfId="2035"/>
    <cellStyle name="Total 40 2 5" xfId="3159"/>
    <cellStyle name="Total 40 2 6" xfId="3955"/>
    <cellStyle name="Total 40 2 7" xfId="4786"/>
    <cellStyle name="Total 40 3" xfId="1093"/>
    <cellStyle name="Total 40 3 2" xfId="1516"/>
    <cellStyle name="Total 40 3 3" xfId="1748"/>
    <cellStyle name="Total 40 3 4" xfId="2076"/>
    <cellStyle name="Total 40 3 5" xfId="3203"/>
    <cellStyle name="Total 40 3 6" xfId="3573"/>
    <cellStyle name="Total 40 3 7" xfId="4463"/>
    <cellStyle name="Total 40 4" xfId="1133"/>
    <cellStyle name="Total 40 4 2" xfId="1556"/>
    <cellStyle name="Total 40 4 3" xfId="1787"/>
    <cellStyle name="Total 40 4 4" xfId="2115"/>
    <cellStyle name="Total 40 4 5" xfId="3242"/>
    <cellStyle name="Total 40 4 6" xfId="2753"/>
    <cellStyle name="Total 40 4 7" xfId="3485"/>
    <cellStyle name="Total 41" xfId="825"/>
    <cellStyle name="Total 41 2" xfId="1072"/>
    <cellStyle name="Total 41 2 2" xfId="1496"/>
    <cellStyle name="Total 41 2 3" xfId="1729"/>
    <cellStyle name="Total 41 2 4" xfId="2057"/>
    <cellStyle name="Total 41 2 5" xfId="3182"/>
    <cellStyle name="Total 41 2 6" xfId="2836"/>
    <cellStyle name="Total 41 2 7" xfId="3600"/>
    <cellStyle name="Total 41 3" xfId="1115"/>
    <cellStyle name="Total 41 3 2" xfId="1538"/>
    <cellStyle name="Total 41 3 3" xfId="1770"/>
    <cellStyle name="Total 41 3 4" xfId="2098"/>
    <cellStyle name="Total 41 3 5" xfId="3225"/>
    <cellStyle name="Total 41 3 6" xfId="2819"/>
    <cellStyle name="Total 41 3 7" xfId="3045"/>
    <cellStyle name="Total 41 4" xfId="1150"/>
    <cellStyle name="Total 41 4 2" xfId="1573"/>
    <cellStyle name="Total 41 4 3" xfId="1804"/>
    <cellStyle name="Total 41 4 4" xfId="2132"/>
    <cellStyle name="Total 41 4 5" xfId="3259"/>
    <cellStyle name="Total 41 4 6" xfId="3510"/>
    <cellStyle name="Total 41 4 7" xfId="4409"/>
    <cellStyle name="Total 42" xfId="5808"/>
    <cellStyle name="Total 43" xfId="5815"/>
    <cellStyle name="Total 44" xfId="5820"/>
    <cellStyle name="Total 45" xfId="5893"/>
    <cellStyle name="Total 46" xfId="6037"/>
    <cellStyle name="Total 47" xfId="6208"/>
    <cellStyle name="Total 48" xfId="6376"/>
    <cellStyle name="Total 49" xfId="6648"/>
    <cellStyle name="Total 5" xfId="77"/>
    <cellStyle name="Total 5 10" xfId="5927"/>
    <cellStyle name="Total 5 11" xfId="5938"/>
    <cellStyle name="Total 5 12" xfId="6305"/>
    <cellStyle name="Total 5 13" xfId="6409"/>
    <cellStyle name="Total 5 14" xfId="6794"/>
    <cellStyle name="Total 5 15" xfId="6182"/>
    <cellStyle name="Total 5 16" xfId="6935"/>
    <cellStyle name="Total 5 17" xfId="6082"/>
    <cellStyle name="Total 5 18" xfId="6855"/>
    <cellStyle name="Total 5 2" xfId="445"/>
    <cellStyle name="Total 5 3" xfId="805"/>
    <cellStyle name="Total 5 4" xfId="853"/>
    <cellStyle name="Total 5 5" xfId="846"/>
    <cellStyle name="Total 5 6" xfId="964"/>
    <cellStyle name="Total 5 6 2" xfId="1398"/>
    <cellStyle name="Total 5 6 3" xfId="1635"/>
    <cellStyle name="Total 5 6 4" xfId="1963"/>
    <cellStyle name="Total 5 6 5" xfId="3078"/>
    <cellStyle name="Total 5 6 6" xfId="4032"/>
    <cellStyle name="Total 5 6 7" xfId="4832"/>
    <cellStyle name="Total 5 7" xfId="1086"/>
    <cellStyle name="Total 5 7 2" xfId="1509"/>
    <cellStyle name="Total 5 7 3" xfId="1741"/>
    <cellStyle name="Total 5 7 4" xfId="2069"/>
    <cellStyle name="Total 5 7 5" xfId="3196"/>
    <cellStyle name="Total 5 7 6" xfId="3559"/>
    <cellStyle name="Total 5 7 7" xfId="4453"/>
    <cellStyle name="Total 5 8" xfId="1128"/>
    <cellStyle name="Total 5 8 2" xfId="1551"/>
    <cellStyle name="Total 5 8 3" xfId="1782"/>
    <cellStyle name="Total 5 8 4" xfId="2110"/>
    <cellStyle name="Total 5 8 5" xfId="3237"/>
    <cellStyle name="Total 5 8 6" xfId="2542"/>
    <cellStyle name="Total 5 8 7" xfId="3592"/>
    <cellStyle name="Total 5 9" xfId="5928"/>
    <cellStyle name="Total 50" xfId="6171"/>
    <cellStyle name="Total 51" xfId="6066"/>
    <cellStyle name="Total 52" xfId="6902"/>
    <cellStyle name="Total 53" xfId="6317"/>
    <cellStyle name="Total 54" xfId="6718"/>
    <cellStyle name="Total 6" xfId="92"/>
    <cellStyle name="Total 6 10" xfId="6051"/>
    <cellStyle name="Total 6 11" xfId="6361"/>
    <cellStyle name="Total 6 12" xfId="6435"/>
    <cellStyle name="Total 6 2" xfId="498"/>
    <cellStyle name="Total 6 3" xfId="5941"/>
    <cellStyle name="Total 6 4" xfId="6360"/>
    <cellStyle name="Total 6 5" xfId="6229"/>
    <cellStyle name="Total 6 6" xfId="6061"/>
    <cellStyle name="Total 6 7" xfId="6691"/>
    <cellStyle name="Total 6 8" xfId="6816"/>
    <cellStyle name="Total 6 9" xfId="6903"/>
    <cellStyle name="Total 7" xfId="94"/>
    <cellStyle name="Total 7 10" xfId="6612"/>
    <cellStyle name="Total 7 11" xfId="6481"/>
    <cellStyle name="Total 7 12" xfId="6173"/>
    <cellStyle name="Total 7 2" xfId="506"/>
    <cellStyle name="Total 7 3" xfId="5942"/>
    <cellStyle name="Total 7 4" xfId="6047"/>
    <cellStyle name="Total 7 5" xfId="6840"/>
    <cellStyle name="Total 7 6" xfId="6722"/>
    <cellStyle name="Total 7 7" xfId="6327"/>
    <cellStyle name="Total 7 8" xfId="5873"/>
    <cellStyle name="Total 7 9" xfId="6860"/>
    <cellStyle name="Total 8" xfId="96"/>
    <cellStyle name="Total 8 10" xfId="6275"/>
    <cellStyle name="Total 8 11" xfId="6862"/>
    <cellStyle name="Total 8 12" xfId="5966"/>
    <cellStyle name="Total 8 2" xfId="514"/>
    <cellStyle name="Total 8 3" xfId="5945"/>
    <cellStyle name="Total 8 4" xfId="5877"/>
    <cellStyle name="Total 8 5" xfId="6395"/>
    <cellStyle name="Total 8 6" xfId="5827"/>
    <cellStyle name="Total 8 7" xfId="6514"/>
    <cellStyle name="Total 8 8" xfId="6178"/>
    <cellStyle name="Total 8 9" xfId="6673"/>
    <cellStyle name="Total 9" xfId="98"/>
    <cellStyle name="Total 9 10" xfId="6946"/>
    <cellStyle name="Total 9 11" xfId="6265"/>
    <cellStyle name="Total 9 12" xfId="6328"/>
    <cellStyle name="Total 9 2" xfId="523"/>
    <cellStyle name="Total 9 3" xfId="5948"/>
    <cellStyle name="Total 9 4" xfId="5875"/>
    <cellStyle name="Total 9 5" xfId="6168"/>
    <cellStyle name="Total 9 6" xfId="5910"/>
    <cellStyle name="Total 9 7" xfId="6266"/>
    <cellStyle name="Total 9 8" xfId="6893"/>
    <cellStyle name="Total 9 9" xfId="6025"/>
    <cellStyle name="Total2 - Style2" xfId="64"/>
    <cellStyle name="TotCol - Style5" xfId="348"/>
    <cellStyle name="TotRow - Style4" xfId="349"/>
    <cellStyle name="TotRow - Style4 2" xfId="7726"/>
    <cellStyle name="TotRow - Style4 3" xfId="7921"/>
    <cellStyle name="TRANSMISSION RELIABILITY PORTION OF PROJECT" xfId="8461"/>
    <cellStyle name="Underl - Style4" xfId="65"/>
    <cellStyle name="UNLocked" xfId="351"/>
    <cellStyle name="UNLocked 10" xfId="543"/>
    <cellStyle name="UNLocked 10 2" xfId="7219"/>
    <cellStyle name="UNLocked 11" xfId="552"/>
    <cellStyle name="UNLocked 11 2" xfId="7220"/>
    <cellStyle name="UNLocked 12" xfId="561"/>
    <cellStyle name="UNLocked 12 2" xfId="7221"/>
    <cellStyle name="UNLocked 13" xfId="570"/>
    <cellStyle name="UNLocked 13 2" xfId="7222"/>
    <cellStyle name="UNLocked 14" xfId="579"/>
    <cellStyle name="UNLocked 14 2" xfId="7223"/>
    <cellStyle name="UNLocked 15" xfId="588"/>
    <cellStyle name="UNLocked 15 2" xfId="7224"/>
    <cellStyle name="UNLocked 16" xfId="597"/>
    <cellStyle name="UNLocked 16 2" xfId="7225"/>
    <cellStyle name="UNLocked 17" xfId="606"/>
    <cellStyle name="UNLocked 17 2" xfId="7226"/>
    <cellStyle name="UNLocked 18" xfId="615"/>
    <cellStyle name="UNLocked 18 2" xfId="7228"/>
    <cellStyle name="UNLocked 19" xfId="624"/>
    <cellStyle name="UNLocked 19 2" xfId="7230"/>
    <cellStyle name="UNLocked 2" xfId="352"/>
    <cellStyle name="UNLocked 2 2" xfId="7200"/>
    <cellStyle name="UNLocked 20" xfId="633"/>
    <cellStyle name="UNLocked 20 2" xfId="7232"/>
    <cellStyle name="UNLocked 21" xfId="642"/>
    <cellStyle name="UNLocked 21 2" xfId="7233"/>
    <cellStyle name="UNLocked 22" xfId="650"/>
    <cellStyle name="UNLocked 22 2" xfId="7234"/>
    <cellStyle name="UNLocked 23" xfId="659"/>
    <cellStyle name="UNLocked 23 2" xfId="7235"/>
    <cellStyle name="UNLocked 24" xfId="668"/>
    <cellStyle name="UNLocked 24 2" xfId="7236"/>
    <cellStyle name="UNLocked 25" xfId="677"/>
    <cellStyle name="UNLocked 25 2" xfId="7237"/>
    <cellStyle name="UNLocked 26" xfId="686"/>
    <cellStyle name="UNLocked 26 2" xfId="7239"/>
    <cellStyle name="UNLocked 27" xfId="695"/>
    <cellStyle name="UNLocked 27 2" xfId="7241"/>
    <cellStyle name="UNLocked 28" xfId="704"/>
    <cellStyle name="UNLocked 28 2" xfId="7242"/>
    <cellStyle name="UNLocked 29" xfId="713"/>
    <cellStyle name="UNLocked 29 2" xfId="7243"/>
    <cellStyle name="UNLocked 3" xfId="353"/>
    <cellStyle name="UNLocked 3 10" xfId="1230"/>
    <cellStyle name="UNLocked 3 10 2" xfId="7293"/>
    <cellStyle name="UNLocked 3 11" xfId="1214"/>
    <cellStyle name="UNLocked 3 11 2" xfId="7290"/>
    <cellStyle name="UNLocked 3 12" xfId="1858"/>
    <cellStyle name="UNLocked 3 12 2" xfId="7312"/>
    <cellStyle name="UNLocked 3 13" xfId="2650"/>
    <cellStyle name="UNLocked 3 13 2" xfId="7340"/>
    <cellStyle name="UNLocked 3 14" xfId="2861"/>
    <cellStyle name="UNLocked 3 14 2" xfId="7348"/>
    <cellStyle name="UNLocked 3 15" xfId="2724"/>
    <cellStyle name="UNLocked 3 15 2" xfId="7344"/>
    <cellStyle name="UNLocked 3 16" xfId="7201"/>
    <cellStyle name="UNLocked 3 2" xfId="435"/>
    <cellStyle name="UNLocked 3 2 2" xfId="7212"/>
    <cellStyle name="UNLocked 3 3" xfId="804"/>
    <cellStyle name="UNLocked 3 3 2" xfId="7257"/>
    <cellStyle name="UNLocked 3 4" xfId="852"/>
    <cellStyle name="UNLocked 3 4 2" xfId="7264"/>
    <cellStyle name="UNLocked 3 5" xfId="855"/>
    <cellStyle name="UNLocked 3 5 2" xfId="7265"/>
    <cellStyle name="UNLocked 3 6" xfId="870"/>
    <cellStyle name="UNLocked 3 6 2" xfId="7268"/>
    <cellStyle name="UNLocked 3 7" xfId="951"/>
    <cellStyle name="UNLocked 3 7 2" xfId="7275"/>
    <cellStyle name="UNLocked 3 8" xfId="1028"/>
    <cellStyle name="UNLocked 3 8 2" xfId="7277"/>
    <cellStyle name="UNLocked 3 9" xfId="907"/>
    <cellStyle name="UNLocked 3 9 2" xfId="7272"/>
    <cellStyle name="UNLocked 30" xfId="722"/>
    <cellStyle name="UNLocked 30 2" xfId="7245"/>
    <cellStyle name="UNLocked 31" xfId="731"/>
    <cellStyle name="UNLocked 31 2" xfId="7246"/>
    <cellStyle name="UNLocked 32" xfId="740"/>
    <cellStyle name="UNLocked 32 2" xfId="7247"/>
    <cellStyle name="UNLocked 33" xfId="748"/>
    <cellStyle name="UNLocked 33 2" xfId="7248"/>
    <cellStyle name="UNLocked 34" xfId="755"/>
    <cellStyle name="UNLocked 34 2" xfId="7249"/>
    <cellStyle name="UNLocked 35" xfId="761"/>
    <cellStyle name="UNLocked 35 2" xfId="7250"/>
    <cellStyle name="UNLocked 36" xfId="767"/>
    <cellStyle name="UNLocked 36 2" xfId="7251"/>
    <cellStyle name="UNLocked 37" xfId="772"/>
    <cellStyle name="UNLocked 37 2" xfId="7252"/>
    <cellStyle name="UNLocked 38" xfId="775"/>
    <cellStyle name="UNLocked 38 2" xfId="7253"/>
    <cellStyle name="UNLocked 39" xfId="782"/>
    <cellStyle name="UNLocked 39 2" xfId="7255"/>
    <cellStyle name="UNLocked 4" xfId="354"/>
    <cellStyle name="UNLocked 4 2" xfId="7202"/>
    <cellStyle name="UNLocked 40" xfId="826"/>
    <cellStyle name="UNLocked 40 2" xfId="7261"/>
    <cellStyle name="UNLocked 41" xfId="822"/>
    <cellStyle name="UNLocked 41 2" xfId="7259"/>
    <cellStyle name="UNLocked 42" xfId="869"/>
    <cellStyle name="UNLocked 42 2" xfId="7267"/>
    <cellStyle name="UNLocked 43" xfId="949"/>
    <cellStyle name="UNLocked 43 2" xfId="7274"/>
    <cellStyle name="UNLocked 44" xfId="1036"/>
    <cellStyle name="UNLocked 44 2" xfId="7278"/>
    <cellStyle name="UNLocked 45" xfId="903"/>
    <cellStyle name="UNLocked 45 2" xfId="7271"/>
    <cellStyle name="UNLocked 46" xfId="1229"/>
    <cellStyle name="UNLocked 46 2" xfId="7292"/>
    <cellStyle name="UNLocked 47" xfId="1215"/>
    <cellStyle name="UNLocked 47 2" xfId="7291"/>
    <cellStyle name="UNLocked 48" xfId="1857"/>
    <cellStyle name="UNLocked 48 2" xfId="7311"/>
    <cellStyle name="UNLocked 49" xfId="2648"/>
    <cellStyle name="UNLocked 49 2" xfId="7339"/>
    <cellStyle name="UNLocked 5" xfId="355"/>
    <cellStyle name="UNLocked 5 2" xfId="7203"/>
    <cellStyle name="UNLocked 50" xfId="2873"/>
    <cellStyle name="UNLocked 50 2" xfId="7349"/>
    <cellStyle name="UNLocked 51" xfId="2687"/>
    <cellStyle name="UNLocked 51 2" xfId="7342"/>
    <cellStyle name="UNLocked 52" xfId="5809"/>
    <cellStyle name="UNLocked 52 2" xfId="7462"/>
    <cellStyle name="UNLocked 53" xfId="5816"/>
    <cellStyle name="UNLocked 53 2" xfId="7463"/>
    <cellStyle name="UNLocked 54" xfId="5821"/>
    <cellStyle name="UNLocked 54 2" xfId="7464"/>
    <cellStyle name="UNLocked 55" xfId="7199"/>
    <cellStyle name="UNLocked 6" xfId="434"/>
    <cellStyle name="UNLocked 6 2" xfId="7211"/>
    <cellStyle name="UNLocked 7" xfId="516"/>
    <cellStyle name="UNLocked 7 2" xfId="7216"/>
    <cellStyle name="UNLocked 8" xfId="525"/>
    <cellStyle name="UNLocked 8 2" xfId="7217"/>
    <cellStyle name="UNLocked 9" xfId="534"/>
    <cellStyle name="UNLocked 9 2" xfId="7218"/>
    <cellStyle name="Unprot" xfId="8462"/>
    <cellStyle name="Unprot$" xfId="8463"/>
    <cellStyle name="Unprot_CA Blocking Jun08 - GRC" xfId="8464"/>
    <cellStyle name="Unprotect" xfId="8465"/>
    <cellStyle name="Warning Text 10" xfId="6094"/>
    <cellStyle name="Warning Text 11" xfId="6456"/>
    <cellStyle name="Warning Text 12" xfId="7010"/>
    <cellStyle name="Warning Text 13" xfId="6847"/>
    <cellStyle name="Warning Text 2" xfId="356"/>
    <cellStyle name="Warning Text 2 10" xfId="6194"/>
    <cellStyle name="Warning Text 2 11" xfId="477"/>
    <cellStyle name="Warning Text 2 12" xfId="6640"/>
    <cellStyle name="Warning Text 2 2" xfId="357"/>
    <cellStyle name="Warning Text 2 3" xfId="5903"/>
    <cellStyle name="Warning Text 2 4" xfId="6100"/>
    <cellStyle name="Warning Text 2 5" xfId="6276"/>
    <cellStyle name="Warning Text 2 6" xfId="6364"/>
    <cellStyle name="Warning Text 2 7" xfId="6543"/>
    <cellStyle name="Warning Text 2 8" xfId="6346"/>
    <cellStyle name="Warning Text 2 9" xfId="6786"/>
    <cellStyle name="Warning Text 3" xfId="358"/>
    <cellStyle name="Warning Text 4" xfId="5902"/>
    <cellStyle name="Warning Text 5" xfId="6222"/>
    <cellStyle name="Warning Text 6" xfId="5984"/>
    <cellStyle name="Warning Text 7" xfId="6766"/>
    <cellStyle name="Warning Text 8" xfId="6884"/>
    <cellStyle name="Warning Text 9" xfId="6115"/>
  </cellStyles>
  <dxfs count="0"/>
  <tableStyles count="0" defaultTableStyle="TableStyleMedium9" defaultPivotStyle="PivotStyleLight16"/>
  <colors>
    <mruColors>
      <color rgb="FFFFFF99"/>
      <color rgb="FFFFCCCC"/>
      <color rgb="FFCCFFCC"/>
      <color rgb="FF9A9B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3"/>
  <sheetViews>
    <sheetView tabSelected="1" zoomScale="80" zoomScaleNormal="8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2.75"/>
  <cols>
    <col min="1" max="1" width="4.7109375" style="46" customWidth="1"/>
    <col min="2" max="8" width="20.7109375" style="46" customWidth="1"/>
    <col min="9" max="9" width="9.140625" style="46"/>
    <col min="10" max="10" width="18.7109375" style="478" bestFit="1" customWidth="1"/>
    <col min="11" max="11" width="14.140625" style="478" bestFit="1" customWidth="1"/>
    <col min="12" max="12" width="9.140625" style="46"/>
    <col min="13" max="13" width="13.42578125" style="46" bestFit="1" customWidth="1"/>
    <col min="14" max="14" width="12.140625" style="46" bestFit="1" customWidth="1"/>
    <col min="15" max="15" width="11.28515625" style="46" bestFit="1" customWidth="1"/>
    <col min="16" max="16" width="10.28515625" style="46" bestFit="1" customWidth="1"/>
    <col min="17" max="17" width="19.140625" style="46" bestFit="1" customWidth="1"/>
    <col min="18" max="16384" width="9.140625" style="46"/>
  </cols>
  <sheetData>
    <row r="1" spans="1:13" ht="12.75" customHeight="1">
      <c r="A1" s="132" t="s">
        <v>6</v>
      </c>
      <c r="B1" s="133"/>
      <c r="C1" s="134"/>
      <c r="D1" s="135" t="s">
        <v>2</v>
      </c>
      <c r="E1" s="136"/>
      <c r="F1" s="136"/>
      <c r="G1" s="137"/>
      <c r="H1" s="138" t="s">
        <v>323</v>
      </c>
    </row>
    <row r="2" spans="1:13" ht="12.75" customHeight="1">
      <c r="A2" s="139"/>
      <c r="B2" s="117"/>
      <c r="C2" s="140"/>
      <c r="D2" s="11" t="s">
        <v>280</v>
      </c>
      <c r="E2" s="11" t="s">
        <v>329</v>
      </c>
      <c r="F2" s="141" t="s">
        <v>278</v>
      </c>
      <c r="G2" s="141" t="s">
        <v>88</v>
      </c>
      <c r="H2" s="64" t="s">
        <v>279</v>
      </c>
    </row>
    <row r="3" spans="1:13" ht="12.75" customHeight="1">
      <c r="A3" s="546" t="s">
        <v>247</v>
      </c>
      <c r="B3" s="12" t="s">
        <v>17</v>
      </c>
      <c r="C3" s="12" t="str">
        <f t="shared" ref="C3:C11" si="0">CONCATENATE("SCHMAP",B3)</f>
        <v>SCHMAPCA</v>
      </c>
      <c r="D3" s="50">
        <f>SUMIF('Current Income Tax Expense'!$K$4:$K$18,$B3,'Current Income Tax Expense'!F$4:F$18)</f>
        <v>0</v>
      </c>
      <c r="E3" s="54">
        <f t="shared" ref="E3:E11" si="1">SUM(D3:D3)</f>
        <v>0</v>
      </c>
      <c r="F3" s="49">
        <f>SUMIF('Current Income Tax Expense'!$K$4:$K$18,'Results Summary (SCH M)'!$B3,'Current Income Tax Expense'!I$4:I$18)</f>
        <v>0</v>
      </c>
      <c r="G3" s="14">
        <f>SUM(E3:F3)</f>
        <v>0</v>
      </c>
      <c r="H3" s="49">
        <f>SUMIF('Current Income Tax Expense'!$K$4:$K$18,'Results Summary (SCH M)'!$B3,'Current Income Tax Expense'!O$4:O$18)</f>
        <v>0</v>
      </c>
    </row>
    <row r="4" spans="1:13" ht="12.75" customHeight="1">
      <c r="A4" s="547"/>
      <c r="B4" s="15" t="s">
        <v>72</v>
      </c>
      <c r="C4" s="121" t="str">
        <f t="shared" si="0"/>
        <v>SCHMAPFERC</v>
      </c>
      <c r="D4" s="50">
        <f>SUMIF('Current Income Tax Expense'!$K$4:$K$18,$B4,'Current Income Tax Expense'!F$4:F$18)</f>
        <v>0</v>
      </c>
      <c r="E4" s="16">
        <f t="shared" si="1"/>
        <v>0</v>
      </c>
      <c r="F4" s="50">
        <f>SUMIF('Current Income Tax Expense'!$K$4:$K$18,'Results Summary (SCH M)'!$B4,'Current Income Tax Expense'!I$4:I$18)</f>
        <v>0</v>
      </c>
      <c r="G4" s="16">
        <f t="shared" ref="G4:G11" si="2">SUM(E4:F4)</f>
        <v>0</v>
      </c>
      <c r="H4" s="50">
        <f>SUMIF('Current Income Tax Expense'!$K$4:$K$18,'Results Summary (SCH M)'!$B4,'Current Income Tax Expense'!O$4:O$18)</f>
        <v>0</v>
      </c>
    </row>
    <row r="5" spans="1:13" ht="12.75" customHeight="1">
      <c r="A5" s="547"/>
      <c r="B5" s="17" t="s">
        <v>29</v>
      </c>
      <c r="C5" s="121" t="str">
        <f t="shared" si="0"/>
        <v>SCHMAPIDU</v>
      </c>
      <c r="D5" s="50">
        <f>SUMIF('Current Income Tax Expense'!$K$4:$K$18,$B5,'Current Income Tax Expense'!F$4:F$18)</f>
        <v>0</v>
      </c>
      <c r="E5" s="16">
        <f t="shared" si="1"/>
        <v>0</v>
      </c>
      <c r="F5" s="50">
        <f>SUMIF('Current Income Tax Expense'!$K$4:$K$18,'Results Summary (SCH M)'!$B5,'Current Income Tax Expense'!I$4:I$18)</f>
        <v>0</v>
      </c>
      <c r="G5" s="16">
        <f t="shared" si="2"/>
        <v>0</v>
      </c>
      <c r="H5" s="50">
        <f>SUMIF('Current Income Tax Expense'!$K$4:$K$18,'Results Summary (SCH M)'!$B5,'Current Income Tax Expense'!O$4:O$18)</f>
        <v>0</v>
      </c>
    </row>
    <row r="6" spans="1:13" ht="12.75" customHeight="1">
      <c r="A6" s="547"/>
      <c r="B6" s="121" t="s">
        <v>30</v>
      </c>
      <c r="C6" s="121" t="str">
        <f t="shared" si="0"/>
        <v>SCHMAPOR</v>
      </c>
      <c r="D6" s="122">
        <f>SUMIF('Current Income Tax Expense'!$K$4:$K$18,$B6,'Current Income Tax Expense'!F$4:F$18)</f>
        <v>0</v>
      </c>
      <c r="E6" s="42">
        <f t="shared" si="1"/>
        <v>0</v>
      </c>
      <c r="F6" s="122">
        <f>SUMIF('Current Income Tax Expense'!$K$4:$K$18,'Results Summary (SCH M)'!$B6,'Current Income Tax Expense'!I$4:I$18)</f>
        <v>0</v>
      </c>
      <c r="G6" s="42">
        <f t="shared" si="2"/>
        <v>0</v>
      </c>
      <c r="H6" s="122">
        <f>SUMIF('Current Income Tax Expense'!$K$4:$K$18,'Results Summary (SCH M)'!$B6,'Current Income Tax Expense'!O$4:O$18)</f>
        <v>0</v>
      </c>
    </row>
    <row r="7" spans="1:13" ht="12.75" customHeight="1">
      <c r="A7" s="547"/>
      <c r="B7" s="123" t="s">
        <v>15</v>
      </c>
      <c r="C7" s="121" t="str">
        <f t="shared" si="0"/>
        <v>SCHMAPOTHER</v>
      </c>
      <c r="D7" s="122">
        <f>SUMIF('Current Income Tax Expense'!$K$4:$K$18,$B7,'Current Income Tax Expense'!F$4:F$18)</f>
        <v>0</v>
      </c>
      <c r="E7" s="42">
        <f t="shared" si="1"/>
        <v>0</v>
      </c>
      <c r="F7" s="122">
        <f>SUMIF('Current Income Tax Expense'!$K$4:$K$18,'Results Summary (SCH M)'!$B7,'Current Income Tax Expense'!I$4:I$18)</f>
        <v>0</v>
      </c>
      <c r="G7" s="42">
        <f t="shared" si="2"/>
        <v>0</v>
      </c>
      <c r="H7" s="122">
        <f>SUMIF('Current Income Tax Expense'!$K$4:$K$18,'Results Summary (SCH M)'!$B7,'Current Income Tax Expense'!O$4:O$18)</f>
        <v>0</v>
      </c>
    </row>
    <row r="8" spans="1:13" ht="12.75" customHeight="1">
      <c r="A8" s="547"/>
      <c r="B8" s="123" t="s">
        <v>28</v>
      </c>
      <c r="C8" s="121" t="str">
        <f t="shared" si="0"/>
        <v>SCHMAPUT</v>
      </c>
      <c r="D8" s="122">
        <f>SUMIF('Current Income Tax Expense'!$K$4:$K$18,$B8,'Current Income Tax Expense'!F$4:F$18)</f>
        <v>0</v>
      </c>
      <c r="E8" s="42">
        <f t="shared" si="1"/>
        <v>0</v>
      </c>
      <c r="F8" s="122">
        <f>SUMIF('Current Income Tax Expense'!$K$4:$K$18,'Results Summary (SCH M)'!$B8,'Current Income Tax Expense'!I$4:I$18)</f>
        <v>0</v>
      </c>
      <c r="G8" s="42">
        <f t="shared" si="2"/>
        <v>0</v>
      </c>
      <c r="H8" s="122">
        <f>SUMIF('Current Income Tax Expense'!$K$4:$K$18,'Results Summary (SCH M)'!$B8,'Current Income Tax Expense'!O$4:O$18)</f>
        <v>0</v>
      </c>
    </row>
    <row r="9" spans="1:13" ht="12.75" customHeight="1">
      <c r="A9" s="547"/>
      <c r="B9" s="121" t="s">
        <v>26</v>
      </c>
      <c r="C9" s="121" t="str">
        <f t="shared" si="0"/>
        <v>SCHMAPWA</v>
      </c>
      <c r="D9" s="122">
        <f>SUMIF('Current Income Tax Expense'!$K$4:$K$18,$B9,'Current Income Tax Expense'!F$4:F$18)</f>
        <v>0</v>
      </c>
      <c r="E9" s="42">
        <f t="shared" si="1"/>
        <v>0</v>
      </c>
      <c r="F9" s="122">
        <f>SUMIF('Current Income Tax Expense'!$K$4:$K$18,'Results Summary (SCH M)'!$B9,'Current Income Tax Expense'!I$4:I$18)</f>
        <v>0</v>
      </c>
      <c r="G9" s="42">
        <f t="shared" si="2"/>
        <v>0</v>
      </c>
      <c r="H9" s="122">
        <f>SUMIF('Current Income Tax Expense'!$K$4:$K$18,'Results Summary (SCH M)'!$B9,'Current Income Tax Expense'!O$4:O$18)</f>
        <v>0</v>
      </c>
    </row>
    <row r="10" spans="1:13" ht="12.75" customHeight="1">
      <c r="A10" s="547"/>
      <c r="B10" s="121" t="s">
        <v>32</v>
      </c>
      <c r="C10" s="121" t="str">
        <f t="shared" si="0"/>
        <v>SCHMAPWYP</v>
      </c>
      <c r="D10" s="122">
        <f>SUMIF('Current Income Tax Expense'!$K$4:$K$18,$B10,'Current Income Tax Expense'!F$4:F$18)</f>
        <v>0</v>
      </c>
      <c r="E10" s="42">
        <f t="shared" si="1"/>
        <v>0</v>
      </c>
      <c r="F10" s="122">
        <f>SUMIF('Current Income Tax Expense'!$K$4:$K$18,'Results Summary (SCH M)'!$B10,'Current Income Tax Expense'!I$4:I$18)</f>
        <v>0</v>
      </c>
      <c r="G10" s="42">
        <f t="shared" si="2"/>
        <v>0</v>
      </c>
      <c r="H10" s="122">
        <f>SUMIF('Current Income Tax Expense'!$K$4:$K$18,'Results Summary (SCH M)'!$B10,'Current Income Tax Expense'!O$4:O$18)</f>
        <v>0</v>
      </c>
    </row>
    <row r="11" spans="1:13" ht="12.75" customHeight="1">
      <c r="A11" s="547"/>
      <c r="B11" s="124" t="s">
        <v>80</v>
      </c>
      <c r="C11" s="124" t="str">
        <f t="shared" si="0"/>
        <v>SCHMAPWYU</v>
      </c>
      <c r="D11" s="125">
        <f>SUMIF('Current Income Tax Expense'!$K$4:$K$18,$B11,'Current Income Tax Expense'!F$4:F$18)</f>
        <v>0</v>
      </c>
      <c r="E11" s="43">
        <f t="shared" si="1"/>
        <v>0</v>
      </c>
      <c r="F11" s="126">
        <f>SUMIF('Current Income Tax Expense'!$K$4:$K$18,'Results Summary (SCH M)'!$B11,'Current Income Tax Expense'!I$4:I$18)</f>
        <v>0</v>
      </c>
      <c r="G11" s="43">
        <f t="shared" si="2"/>
        <v>0</v>
      </c>
      <c r="H11" s="126">
        <f>SUMIF('Current Income Tax Expense'!$K$4:$K$18,'Results Summary (SCH M)'!$B11,'Current Income Tax Expense'!O$4:O$18)</f>
        <v>0</v>
      </c>
    </row>
    <row r="12" spans="1:13" ht="12.75" customHeight="1">
      <c r="A12" s="547"/>
      <c r="B12" s="48"/>
      <c r="C12" s="48"/>
      <c r="D12" s="127">
        <f t="shared" ref="D12:H12" si="3">SUBTOTAL(9,D3:D11)</f>
        <v>0</v>
      </c>
      <c r="E12" s="61">
        <f t="shared" si="3"/>
        <v>0</v>
      </c>
      <c r="F12" s="61">
        <f t="shared" si="3"/>
        <v>0</v>
      </c>
      <c r="G12" s="61">
        <f t="shared" si="3"/>
        <v>0</v>
      </c>
      <c r="H12" s="61">
        <f t="shared" si="3"/>
        <v>0</v>
      </c>
    </row>
    <row r="13" spans="1:13" ht="12.75" customHeight="1">
      <c r="A13" s="547"/>
      <c r="B13" s="128" t="s">
        <v>58</v>
      </c>
      <c r="C13" s="128" t="str">
        <f t="shared" ref="C13:C27" si="4">CONCATENATE("SCHMAP",B13)</f>
        <v>SCHMAPBADDEBT</v>
      </c>
      <c r="D13" s="129">
        <f>SUMIF('Current Income Tax Expense'!$K$4:$K$18,'Results Summary (SCH M)'!$B13,'Current Income Tax Expense'!F$4:F$18)</f>
        <v>0</v>
      </c>
      <c r="E13" s="56">
        <f t="shared" ref="E13:E27" si="5">SUM(D13:D13)</f>
        <v>0</v>
      </c>
      <c r="F13" s="129">
        <f>SUMIF('Current Income Tax Expense'!$K$4:$K$18,'Results Summary (SCH M)'!$B13,'Current Income Tax Expense'!I$4:I$18)</f>
        <v>0</v>
      </c>
      <c r="G13" s="58">
        <f t="shared" ref="G13:G27" si="6">SUM(E13:F13)</f>
        <v>0</v>
      </c>
      <c r="H13" s="129">
        <f>SUMIF('Current Income Tax Expense'!$K$4:$K$18,'Results Summary (SCH M)'!$B13,'Current Income Tax Expense'!O$4:O$18)</f>
        <v>0</v>
      </c>
    </row>
    <row r="14" spans="1:13" ht="12.75" customHeight="1">
      <c r="A14" s="547"/>
      <c r="B14" s="123" t="s">
        <v>20</v>
      </c>
      <c r="C14" s="121" t="str">
        <f t="shared" si="4"/>
        <v>SCHMAPCIAC</v>
      </c>
      <c r="D14" s="122">
        <f>SUMIF('Current Income Tax Expense'!$K$4:$K$18,'Results Summary (SCH M)'!$B14,'Current Income Tax Expense'!F$4:F$18)</f>
        <v>0</v>
      </c>
      <c r="E14" s="42">
        <f t="shared" si="5"/>
        <v>0</v>
      </c>
      <c r="F14" s="122">
        <f>SUMIF('Current Income Tax Expense'!$K$4:$K$18,'Results Summary (SCH M)'!$B14,'Current Income Tax Expense'!I$4:I$18)</f>
        <v>0</v>
      </c>
      <c r="G14" s="42">
        <f t="shared" si="6"/>
        <v>0</v>
      </c>
      <c r="H14" s="122">
        <f>SUMIF('Current Income Tax Expense'!$K$4:$K$18,'Results Summary (SCH M)'!$B14,'Current Income Tax Expense'!O$4:O$18)</f>
        <v>0</v>
      </c>
    </row>
    <row r="15" spans="1:13" ht="12.75" customHeight="1">
      <c r="A15" s="547"/>
      <c r="B15" s="121" t="s">
        <v>60</v>
      </c>
      <c r="C15" s="121" t="str">
        <f t="shared" si="4"/>
        <v>SCHMAPCN</v>
      </c>
      <c r="D15" s="122">
        <f>SUMIF('Current Income Tax Expense'!$K$4:$K$18,'Results Summary (SCH M)'!$B15,'Current Income Tax Expense'!F$4:F$18)</f>
        <v>0</v>
      </c>
      <c r="E15" s="42">
        <f t="shared" si="5"/>
        <v>0</v>
      </c>
      <c r="F15" s="122">
        <f>SUMIF('Current Income Tax Expense'!$K$4:$K$18,'Results Summary (SCH M)'!$B15,'Current Income Tax Expense'!I$4:I$18)</f>
        <v>0</v>
      </c>
      <c r="G15" s="42">
        <f t="shared" si="6"/>
        <v>0</v>
      </c>
      <c r="H15" s="122">
        <f>SUMIF('Current Income Tax Expense'!$K$4:$K$18,'Results Summary (SCH M)'!$B15,'Current Income Tax Expense'!O$4:O$18)</f>
        <v>0</v>
      </c>
      <c r="M15" s="77"/>
    </row>
    <row r="16" spans="1:13" ht="12.75" customHeight="1">
      <c r="A16" s="547"/>
      <c r="B16" s="121" t="s">
        <v>49</v>
      </c>
      <c r="C16" s="121" t="str">
        <f t="shared" si="4"/>
        <v>SCHMAPGPS</v>
      </c>
      <c r="D16" s="122">
        <f>SUMIF('Current Income Tax Expense'!$K$4:$K$18,'Results Summary (SCH M)'!$B16,'Current Income Tax Expense'!F$4:F$18)</f>
        <v>0</v>
      </c>
      <c r="E16" s="42">
        <f t="shared" si="5"/>
        <v>0</v>
      </c>
      <c r="F16" s="122">
        <f>SUMIF('Current Income Tax Expense'!$K$4:$K$18,'Results Summary (SCH M)'!$B16,'Current Income Tax Expense'!I$4:I$18)</f>
        <v>0</v>
      </c>
      <c r="G16" s="42">
        <f t="shared" si="6"/>
        <v>0</v>
      </c>
      <c r="H16" s="122">
        <f>SUMIF('Current Income Tax Expense'!$K$4:$K$18,'Results Summary (SCH M)'!$B16,'Current Income Tax Expense'!O$4:O$18)</f>
        <v>0</v>
      </c>
    </row>
    <row r="17" spans="1:14" ht="12.75" customHeight="1">
      <c r="A17" s="547"/>
      <c r="B17" s="121" t="s">
        <v>170</v>
      </c>
      <c r="C17" s="121" t="str">
        <f t="shared" si="4"/>
        <v>SCHMAPJBE</v>
      </c>
      <c r="D17" s="122">
        <f>SUMIF('Current Income Tax Expense'!$K$4:$K$18,'Results Summary (SCH M)'!$B17,'Current Income Tax Expense'!F$4:F$18)</f>
        <v>58125</v>
      </c>
      <c r="E17" s="42">
        <f t="shared" si="5"/>
        <v>58125</v>
      </c>
      <c r="F17" s="122">
        <f>SUMIF('Current Income Tax Expense'!$K$4:$K$18,'Results Summary (SCH M)'!$B17,'Current Income Tax Expense'!I$4:I$18)</f>
        <v>-40125</v>
      </c>
      <c r="G17" s="42">
        <f t="shared" ref="G17" si="7">SUM(E17:F17)</f>
        <v>18000</v>
      </c>
      <c r="H17" s="122">
        <f>SUMIF('Current Income Tax Expense'!$K$4:$K$18,'Results Summary (SCH M)'!$B17,'Current Income Tax Expense'!O$4:O$18)</f>
        <v>4067</v>
      </c>
    </row>
    <row r="18" spans="1:14" ht="12.75" customHeight="1">
      <c r="A18" s="547"/>
      <c r="B18" s="123" t="s">
        <v>331</v>
      </c>
      <c r="C18" s="121" t="str">
        <f t="shared" si="4"/>
        <v>SCHMAPNREG</v>
      </c>
      <c r="D18" s="122">
        <f>SUMIF('Current Income Tax Expense'!$K$4:$K$18,'Results Summary (SCH M)'!$B18,'Current Income Tax Expense'!F$4:F$18)</f>
        <v>2181554</v>
      </c>
      <c r="E18" s="42">
        <f t="shared" si="5"/>
        <v>2181554</v>
      </c>
      <c r="F18" s="122">
        <f>SUMIF('Current Income Tax Expense'!$K$4:$K$18,'Results Summary (SCH M)'!$B18,'Current Income Tax Expense'!I$4:I$18)</f>
        <v>0</v>
      </c>
      <c r="G18" s="42">
        <f t="shared" si="6"/>
        <v>2181554</v>
      </c>
      <c r="H18" s="122">
        <f>SUMIF('Current Income Tax Expense'!$K$4:$K$18,'Results Summary (SCH M)'!$B18,'Current Income Tax Expense'!O$4:O$18)</f>
        <v>0</v>
      </c>
    </row>
    <row r="19" spans="1:14" ht="12.75" customHeight="1">
      <c r="A19" s="547"/>
      <c r="B19" s="123" t="s">
        <v>11</v>
      </c>
      <c r="C19" s="121" t="str">
        <f t="shared" si="4"/>
        <v>SCHMAPSCHMDEXP</v>
      </c>
      <c r="D19" s="122">
        <f>SUMIF('Current Income Tax Expense'!$K$4:$K$18,'Results Summary (SCH M)'!$B19,'Current Income Tax Expense'!F$4:F$18)</f>
        <v>129290</v>
      </c>
      <c r="E19" s="42">
        <f t="shared" si="5"/>
        <v>129290</v>
      </c>
      <c r="F19" s="122">
        <f>SUMIF('Current Income Tax Expense'!$K$4:$K$18,'Results Summary (SCH M)'!$B19,'Current Income Tax Expense'!I$4:I$18)</f>
        <v>17894</v>
      </c>
      <c r="G19" s="42">
        <f t="shared" si="6"/>
        <v>147184</v>
      </c>
      <c r="H19" s="122">
        <f>SUMIF('Current Income Tax Expense'!$K$4:$K$18,'Results Summary (SCH M)'!$B19,'Current Income Tax Expense'!O$4:O$18)</f>
        <v>9964</v>
      </c>
    </row>
    <row r="20" spans="1:14" ht="12.75" customHeight="1">
      <c r="A20" s="547"/>
      <c r="B20" s="123" t="s">
        <v>13</v>
      </c>
      <c r="C20" s="121" t="str">
        <f t="shared" si="4"/>
        <v>SCHMAPSE</v>
      </c>
      <c r="D20" s="122">
        <f>SUMIF('Current Income Tax Expense'!$K$4:$K$18,'Results Summary (SCH M)'!$B20,'Current Income Tax Expense'!F$4:F$18)</f>
        <v>0</v>
      </c>
      <c r="E20" s="42">
        <f t="shared" si="5"/>
        <v>0</v>
      </c>
      <c r="F20" s="122">
        <f>SUMIF('Current Income Tax Expense'!$K$4:$K$18,'Results Summary (SCH M)'!$B20,'Current Income Tax Expense'!I$4:I$18)</f>
        <v>0</v>
      </c>
      <c r="G20" s="42">
        <f t="shared" si="6"/>
        <v>0</v>
      </c>
      <c r="H20" s="122">
        <f>SUMIF('Current Income Tax Expense'!$K$4:$K$18,'Results Summary (SCH M)'!$B20,'Current Income Tax Expense'!O$4:O$18)</f>
        <v>0</v>
      </c>
    </row>
    <row r="21" spans="1:14" ht="12.75" customHeight="1">
      <c r="A21" s="547"/>
      <c r="B21" s="121" t="s">
        <v>19</v>
      </c>
      <c r="C21" s="121" t="str">
        <f t="shared" si="4"/>
        <v>SCHMAPSG</v>
      </c>
      <c r="D21" s="122">
        <f>SUMIF('Current Income Tax Expense'!$K$4:$K$18,'Results Summary (SCH M)'!$B21,'Current Income Tax Expense'!F$4:F$18)</f>
        <v>0</v>
      </c>
      <c r="E21" s="42">
        <f t="shared" si="5"/>
        <v>0</v>
      </c>
      <c r="F21" s="122">
        <f>SUMIF('Current Income Tax Expense'!$K$4:$K$18,'Results Summary (SCH M)'!$B21,'Current Income Tax Expense'!I$4:I$18)</f>
        <v>0</v>
      </c>
      <c r="G21" s="42">
        <f t="shared" si="6"/>
        <v>0</v>
      </c>
      <c r="H21" s="122">
        <f>SUMIF('Current Income Tax Expense'!$K$4:$K$18,'Results Summary (SCH M)'!$B21,'Current Income Tax Expense'!O$4:O$18)</f>
        <v>0</v>
      </c>
    </row>
    <row r="22" spans="1:14" ht="12.75" customHeight="1">
      <c r="A22" s="547"/>
      <c r="B22" s="123" t="s">
        <v>31</v>
      </c>
      <c r="C22" s="121" t="str">
        <f t="shared" si="4"/>
        <v>SCHMAPSGCT</v>
      </c>
      <c r="D22" s="122">
        <f>SUMIF('Current Income Tax Expense'!$K$4:$K$18,'Results Summary (SCH M)'!$B22,'Current Income Tax Expense'!F$4:F$18)</f>
        <v>0</v>
      </c>
      <c r="E22" s="42">
        <f t="shared" si="5"/>
        <v>0</v>
      </c>
      <c r="F22" s="122">
        <f>SUMIF('Current Income Tax Expense'!$K$4:$K$18,'Results Summary (SCH M)'!$B22,'Current Income Tax Expense'!I$4:I$18)</f>
        <v>0</v>
      </c>
      <c r="G22" s="42">
        <f t="shared" si="6"/>
        <v>0</v>
      </c>
      <c r="H22" s="122">
        <f>SUMIF('Current Income Tax Expense'!$K$4:$K$18,'Results Summary (SCH M)'!$B22,'Current Income Tax Expense'!O$4:O$18)</f>
        <v>0</v>
      </c>
    </row>
    <row r="23" spans="1:14" ht="12.75" customHeight="1">
      <c r="A23" s="547"/>
      <c r="B23" s="123" t="s">
        <v>16</v>
      </c>
      <c r="C23" s="121" t="str">
        <f t="shared" si="4"/>
        <v>SCHMAPSNP</v>
      </c>
      <c r="D23" s="122">
        <f>SUMIF('Current Income Tax Expense'!$K$4:$K$18,'Results Summary (SCH M)'!$B23,'Current Income Tax Expense'!F$4:F$18)</f>
        <v>0</v>
      </c>
      <c r="E23" s="42">
        <f t="shared" si="5"/>
        <v>0</v>
      </c>
      <c r="F23" s="122">
        <f>SUMIF('Current Income Tax Expense'!$K$4:$K$18,'Results Summary (SCH M)'!$B23,'Current Income Tax Expense'!I$4:I$18)</f>
        <v>0</v>
      </c>
      <c r="G23" s="42">
        <f t="shared" si="6"/>
        <v>0</v>
      </c>
      <c r="H23" s="122">
        <f>SUMIF('Current Income Tax Expense'!$K$4:$K$18,'Results Summary (SCH M)'!$B23,'Current Income Tax Expense'!O$4:O$18)</f>
        <v>0</v>
      </c>
    </row>
    <row r="24" spans="1:14" ht="12.75" customHeight="1">
      <c r="A24" s="547"/>
      <c r="B24" s="121" t="s">
        <v>21</v>
      </c>
      <c r="C24" s="121" t="str">
        <f t="shared" si="4"/>
        <v>SCHMAPSNPD</v>
      </c>
      <c r="D24" s="122">
        <f>SUMIF('Current Income Tax Expense'!$K$4:$K$18,'Results Summary (SCH M)'!$B24,'Current Income Tax Expense'!F$4:F$18)</f>
        <v>0</v>
      </c>
      <c r="E24" s="42">
        <f t="shared" si="5"/>
        <v>0</v>
      </c>
      <c r="F24" s="122">
        <f>SUMIF('Current Income Tax Expense'!$K$4:$K$18,'Results Summary (SCH M)'!$B24,'Current Income Tax Expense'!I$4:I$18)</f>
        <v>0</v>
      </c>
      <c r="G24" s="42">
        <f t="shared" si="6"/>
        <v>0</v>
      </c>
      <c r="H24" s="122">
        <f>SUMIF('Current Income Tax Expense'!$K$4:$K$18,'Results Summary (SCH M)'!$B24,'Current Income Tax Expense'!O$4:O$18)</f>
        <v>0</v>
      </c>
    </row>
    <row r="25" spans="1:14" ht="12.75" customHeight="1">
      <c r="A25" s="547"/>
      <c r="B25" s="123" t="s">
        <v>10</v>
      </c>
      <c r="C25" s="121" t="str">
        <f t="shared" si="4"/>
        <v>SCHMAPSO</v>
      </c>
      <c r="D25" s="122">
        <f>SUMIF('Current Income Tax Expense'!$K$4:$K$18,'Results Summary (SCH M)'!$B25,'Current Income Tax Expense'!F$4:F$18)</f>
        <v>2371219</v>
      </c>
      <c r="E25" s="42">
        <f t="shared" si="5"/>
        <v>2371219</v>
      </c>
      <c r="F25" s="122">
        <f>SUMIF('Current Income Tax Expense'!$K$4:$K$18,'Results Summary (SCH M)'!$B25,'Current Income Tax Expense'!I$4:I$18)</f>
        <v>866781</v>
      </c>
      <c r="G25" s="42">
        <f t="shared" si="6"/>
        <v>3238000</v>
      </c>
      <c r="H25" s="122">
        <f>SUMIF('Current Income Tax Expense'!$K$4:$K$18,'Results Summary (SCH M)'!$B25,'Current Income Tax Expense'!O$4:O$18)</f>
        <v>217004</v>
      </c>
    </row>
    <row r="26" spans="1:14" ht="12.75" customHeight="1">
      <c r="A26" s="547"/>
      <c r="B26" s="121" t="s">
        <v>45</v>
      </c>
      <c r="C26" s="121" t="str">
        <f t="shared" si="4"/>
        <v>SCHMAPTAXDEPR</v>
      </c>
      <c r="D26" s="122">
        <f>SUMIF('Current Income Tax Expense'!$K$4:$K$18,'Results Summary (SCH M)'!$B26,'Current Income Tax Expense'!F$4:F$18)</f>
        <v>0</v>
      </c>
      <c r="E26" s="42">
        <f t="shared" si="5"/>
        <v>0</v>
      </c>
      <c r="F26" s="122">
        <f>SUMIF('Current Income Tax Expense'!$K$4:$K$18,'Results Summary (SCH M)'!$B26,'Current Income Tax Expense'!I$4:I$18)</f>
        <v>0</v>
      </c>
      <c r="G26" s="42">
        <f t="shared" si="6"/>
        <v>0</v>
      </c>
      <c r="H26" s="122">
        <f>SUMIF('Current Income Tax Expense'!$K$4:$K$18,'Results Summary (SCH M)'!$B26,'Current Income Tax Expense'!O$4:O$18)</f>
        <v>0</v>
      </c>
    </row>
    <row r="27" spans="1:14" ht="12.75" customHeight="1">
      <c r="A27" s="548"/>
      <c r="B27" s="131" t="s">
        <v>40</v>
      </c>
      <c r="C27" s="131" t="str">
        <f t="shared" si="4"/>
        <v>SCHMAPTROJD</v>
      </c>
      <c r="D27" s="126">
        <f>SUMIF('Current Income Tax Expense'!$K$4:$K$18,'Results Summary (SCH M)'!$B27,'Current Income Tax Expense'!F$4:F$18)</f>
        <v>0</v>
      </c>
      <c r="E27" s="43">
        <f t="shared" si="5"/>
        <v>0</v>
      </c>
      <c r="F27" s="126">
        <f>SUMIF('Current Income Tax Expense'!$K$4:$K$18,'Results Summary (SCH M)'!$B27,'Current Income Tax Expense'!I$4:I$18)</f>
        <v>0</v>
      </c>
      <c r="G27" s="43">
        <f t="shared" si="6"/>
        <v>0</v>
      </c>
      <c r="H27" s="126">
        <f>SUMIF('Current Income Tax Expense'!$K$4:$K$18,'Results Summary (SCH M)'!$B27,'Current Income Tax Expense'!O$4:O$18)</f>
        <v>0</v>
      </c>
      <c r="L27" s="77"/>
      <c r="M27" s="77"/>
      <c r="N27" s="77"/>
    </row>
    <row r="28" spans="1:14" ht="12.75" customHeight="1">
      <c r="A28" s="47"/>
      <c r="B28" s="48"/>
      <c r="C28" s="48"/>
      <c r="D28" s="23">
        <f t="shared" ref="D28:H28" si="8">SUBTOTAL(9,D3:D27)</f>
        <v>4740188</v>
      </c>
      <c r="E28" s="23">
        <f t="shared" si="8"/>
        <v>4740188</v>
      </c>
      <c r="F28" s="23">
        <f t="shared" si="8"/>
        <v>844550</v>
      </c>
      <c r="G28" s="23">
        <f t="shared" si="8"/>
        <v>5584738</v>
      </c>
      <c r="H28" s="23">
        <f t="shared" si="8"/>
        <v>231035</v>
      </c>
    </row>
    <row r="29" spans="1:14" ht="12.75" customHeight="1">
      <c r="A29" s="546" t="s">
        <v>248</v>
      </c>
      <c r="B29" s="12" t="s">
        <v>17</v>
      </c>
      <c r="C29" s="12" t="str">
        <f t="shared" ref="C29:C37" si="9">CONCATENATE("SCHMAT",B29)</f>
        <v>SCHMATCA</v>
      </c>
      <c r="D29" s="49">
        <f>SUMIF('Current Income Tax Expense'!$K$28:$K$151,'Results Summary (SCH M)'!$B29,'Current Income Tax Expense'!F$28:F$151)</f>
        <v>0</v>
      </c>
      <c r="E29" s="54">
        <f t="shared" ref="E29:E37" si="10">SUM(D29:D29)</f>
        <v>0</v>
      </c>
      <c r="F29" s="49">
        <f>SUMIF('Current Income Tax Expense'!$K$28:$K$151,'Results Summary (SCH M)'!$B29,'Current Income Tax Expense'!I$28:I$151)</f>
        <v>695329</v>
      </c>
      <c r="G29" s="14">
        <f>SUM(E29:F29)</f>
        <v>695329</v>
      </c>
      <c r="H29" s="49">
        <f>SUMIF('Current Income Tax Expense'!$K$28:$K$151,'Results Summary (SCH M)'!$B29,'Current Income Tax Expense'!O$28:O$151)</f>
        <v>0</v>
      </c>
    </row>
    <row r="30" spans="1:14" ht="12.75" customHeight="1">
      <c r="A30" s="547"/>
      <c r="B30" s="15" t="s">
        <v>72</v>
      </c>
      <c r="C30" s="15" t="str">
        <f t="shared" si="9"/>
        <v>SCHMATFERC</v>
      </c>
      <c r="D30" s="50">
        <f>SUMIF('Current Income Tax Expense'!$K$28:$K$151,'Results Summary (SCH M)'!$B30,'Current Income Tax Expense'!F$28:F$151)</f>
        <v>0</v>
      </c>
      <c r="E30" s="16">
        <f t="shared" si="10"/>
        <v>0</v>
      </c>
      <c r="F30" s="50">
        <f>SUMIF('Current Income Tax Expense'!$K$28:$K$151,'Results Summary (SCH M)'!$B30,'Current Income Tax Expense'!I$28:I$151)</f>
        <v>0</v>
      </c>
      <c r="G30" s="16">
        <f t="shared" ref="G30:G37" si="11">SUM(E30:F30)</f>
        <v>0</v>
      </c>
      <c r="H30" s="50">
        <f>SUMIF('Current Income Tax Expense'!$K$28:$K$151,'Results Summary (SCH M)'!$B30,'Current Income Tax Expense'!O$28:O$151)</f>
        <v>0</v>
      </c>
    </row>
    <row r="31" spans="1:14" ht="12.75" customHeight="1">
      <c r="A31" s="547"/>
      <c r="B31" s="17" t="s">
        <v>29</v>
      </c>
      <c r="C31" s="15" t="str">
        <f t="shared" si="9"/>
        <v>SCHMATIDU</v>
      </c>
      <c r="D31" s="50">
        <f>SUMIF('Current Income Tax Expense'!$K$28:$K$151,'Results Summary (SCH M)'!$B31,'Current Income Tax Expense'!F$28:F$151)</f>
        <v>138437</v>
      </c>
      <c r="E31" s="16">
        <f t="shared" si="10"/>
        <v>138437</v>
      </c>
      <c r="F31" s="50">
        <f>SUMIF('Current Income Tax Expense'!$K$28:$K$151,'Results Summary (SCH M)'!$B31,'Current Income Tax Expense'!I$28:I$151)</f>
        <v>3371494</v>
      </c>
      <c r="G31" s="16">
        <f t="shared" si="11"/>
        <v>3509931</v>
      </c>
      <c r="H31" s="50">
        <f>SUMIF('Current Income Tax Expense'!$K$28:$K$151,'Results Summary (SCH M)'!$B31,'Current Income Tax Expense'!O$28:O$151)</f>
        <v>0</v>
      </c>
    </row>
    <row r="32" spans="1:14" ht="12.75" customHeight="1">
      <c r="A32" s="547"/>
      <c r="B32" s="121" t="s">
        <v>30</v>
      </c>
      <c r="C32" s="15" t="str">
        <f t="shared" si="9"/>
        <v>SCHMATOR</v>
      </c>
      <c r="D32" s="122">
        <f>SUMIF('Current Income Tax Expense'!$K$28:$K$151,'Results Summary (SCH M)'!$B32,'Current Income Tax Expense'!F$28:F$151)</f>
        <v>-6995208</v>
      </c>
      <c r="E32" s="42">
        <f t="shared" si="10"/>
        <v>-6995208</v>
      </c>
      <c r="F32" s="122">
        <f>SUMIF('Current Income Tax Expense'!$K$28:$K$151,'Results Summary (SCH M)'!$B32,'Current Income Tax Expense'!I$28:I$151)</f>
        <v>6358756</v>
      </c>
      <c r="G32" s="42">
        <f t="shared" si="11"/>
        <v>-636452</v>
      </c>
      <c r="H32" s="122">
        <f>SUMIF('Current Income Tax Expense'!$K$28:$K$151,'Results Summary (SCH M)'!$B32,'Current Income Tax Expense'!O$28:O$151)</f>
        <v>0</v>
      </c>
    </row>
    <row r="33" spans="1:13" ht="12.75" customHeight="1">
      <c r="A33" s="547"/>
      <c r="B33" s="123" t="s">
        <v>15</v>
      </c>
      <c r="C33" s="15" t="str">
        <f t="shared" si="9"/>
        <v>SCHMATOTHER</v>
      </c>
      <c r="D33" s="122">
        <f>SUMIF('Current Income Tax Expense'!$K$28:$K$151,'Results Summary (SCH M)'!$B33,'Current Income Tax Expense'!F$28:F$151)</f>
        <v>10210117</v>
      </c>
      <c r="E33" s="42">
        <f t="shared" si="10"/>
        <v>10210117</v>
      </c>
      <c r="F33" s="122">
        <f>SUMIF('Current Income Tax Expense'!$K$28:$K$151,'Results Summary (SCH M)'!$B33,'Current Income Tax Expense'!I$28:I$151)</f>
        <v>0</v>
      </c>
      <c r="G33" s="42">
        <f t="shared" si="11"/>
        <v>10210117</v>
      </c>
      <c r="H33" s="122">
        <f>SUMIF('Current Income Tax Expense'!$K$28:$K$151,'Results Summary (SCH M)'!$B33,'Current Income Tax Expense'!O$28:O$151)</f>
        <v>0</v>
      </c>
    </row>
    <row r="34" spans="1:13" ht="12.75" customHeight="1">
      <c r="A34" s="547"/>
      <c r="B34" s="123" t="s">
        <v>28</v>
      </c>
      <c r="C34" s="15" t="str">
        <f t="shared" si="9"/>
        <v>SCHMATUT</v>
      </c>
      <c r="D34" s="122">
        <f>SUMIF('Current Income Tax Expense'!$K$28:$K$151,'Results Summary (SCH M)'!$B34,'Current Income Tax Expense'!F$28:F$151)</f>
        <v>-291300</v>
      </c>
      <c r="E34" s="42">
        <f t="shared" si="10"/>
        <v>-291300</v>
      </c>
      <c r="F34" s="122">
        <f>SUMIF('Current Income Tax Expense'!$K$28:$K$151,'Results Summary (SCH M)'!$B34,'Current Income Tax Expense'!I$28:I$151)</f>
        <v>32249604</v>
      </c>
      <c r="G34" s="42">
        <f t="shared" si="11"/>
        <v>31958304</v>
      </c>
      <c r="H34" s="122">
        <f>SUMIF('Current Income Tax Expense'!$K$28:$K$151,'Results Summary (SCH M)'!$B34,'Current Income Tax Expense'!O$28:O$151)</f>
        <v>0</v>
      </c>
    </row>
    <row r="35" spans="1:13" ht="12.75" customHeight="1">
      <c r="A35" s="547"/>
      <c r="B35" s="121" t="s">
        <v>26</v>
      </c>
      <c r="C35" s="121" t="str">
        <f t="shared" si="9"/>
        <v>SCHMATWA</v>
      </c>
      <c r="D35" s="122">
        <f>SUMIF('Current Income Tax Expense'!$K$28:$K$151,'Results Summary (SCH M)'!$B35,'Current Income Tax Expense'!F$28:F$151)</f>
        <v>11479023</v>
      </c>
      <c r="E35" s="42">
        <f t="shared" si="10"/>
        <v>11479023</v>
      </c>
      <c r="F35" s="122">
        <f>SUMIF('Current Income Tax Expense'!$K$28:$K$151,'Results Summary (SCH M)'!$B35,'Current Income Tax Expense'!I$28:I$151)</f>
        <v>6102651</v>
      </c>
      <c r="G35" s="42">
        <f t="shared" si="11"/>
        <v>17581674</v>
      </c>
      <c r="H35" s="122">
        <f>SUMIF('Current Income Tax Expense'!$K$28:$K$151,'Results Summary (SCH M)'!$B35,'Current Income Tax Expense'!O$28:O$151)</f>
        <v>17581674</v>
      </c>
      <c r="M35" s="382"/>
    </row>
    <row r="36" spans="1:13" ht="12.75" customHeight="1">
      <c r="A36" s="547"/>
      <c r="B36" s="121" t="s">
        <v>32</v>
      </c>
      <c r="C36" s="121" t="str">
        <f t="shared" si="9"/>
        <v>SCHMATWYP</v>
      </c>
      <c r="D36" s="122">
        <f>SUMIF('Current Income Tax Expense'!$K$28:$K$151,'Results Summary (SCH M)'!$B36,'Current Income Tax Expense'!F$28:F$151)</f>
        <v>714354</v>
      </c>
      <c r="E36" s="42">
        <f t="shared" si="10"/>
        <v>714354</v>
      </c>
      <c r="F36" s="122">
        <f>SUMIF('Current Income Tax Expense'!$K$28:$K$151,'Results Summary (SCH M)'!$B36,'Current Income Tax Expense'!I$28:I$151)</f>
        <v>2608262</v>
      </c>
      <c r="G36" s="42">
        <f t="shared" si="11"/>
        <v>3322616</v>
      </c>
      <c r="H36" s="122">
        <f>SUMIF('Current Income Tax Expense'!$K$28:$K$151,'Results Summary (SCH M)'!$B36,'Current Income Tax Expense'!O$28:O$151)</f>
        <v>0</v>
      </c>
    </row>
    <row r="37" spans="1:13" ht="12.75" customHeight="1">
      <c r="A37" s="547"/>
      <c r="B37" s="124" t="s">
        <v>80</v>
      </c>
      <c r="C37" s="124" t="str">
        <f t="shared" si="9"/>
        <v>SCHMATWYU</v>
      </c>
      <c r="D37" s="126">
        <f>SUMIF('Current Income Tax Expense'!$K$28:$K$151,'Results Summary (SCH M)'!$B37,'Current Income Tax Expense'!F$28:F$151)</f>
        <v>0</v>
      </c>
      <c r="E37" s="43">
        <f t="shared" si="10"/>
        <v>0</v>
      </c>
      <c r="F37" s="126">
        <f>SUMIF('Current Income Tax Expense'!$K$28:$K$151,'Results Summary (SCH M)'!$B37,'Current Income Tax Expense'!I$28:I$151)</f>
        <v>0</v>
      </c>
      <c r="G37" s="43">
        <f t="shared" si="11"/>
        <v>0</v>
      </c>
      <c r="H37" s="126">
        <f>SUMIF('Current Income Tax Expense'!$K$28:$K$151,'Results Summary (SCH M)'!$B37,'Current Income Tax Expense'!O$28:O$151)</f>
        <v>0</v>
      </c>
    </row>
    <row r="38" spans="1:13" ht="12.75" customHeight="1">
      <c r="A38" s="547"/>
      <c r="B38" s="48"/>
      <c r="C38" s="48"/>
      <c r="D38" s="61">
        <f t="shared" ref="D38:H38" si="12">SUBTOTAL(9,D29:D37)</f>
        <v>15255423</v>
      </c>
      <c r="E38" s="61">
        <f t="shared" si="12"/>
        <v>15255423</v>
      </c>
      <c r="F38" s="61">
        <f t="shared" si="12"/>
        <v>51386096</v>
      </c>
      <c r="G38" s="61">
        <f t="shared" si="12"/>
        <v>66641519</v>
      </c>
      <c r="H38" s="61">
        <f t="shared" si="12"/>
        <v>17581674</v>
      </c>
    </row>
    <row r="39" spans="1:13" ht="12.75" customHeight="1">
      <c r="A39" s="547"/>
      <c r="B39" s="128" t="s">
        <v>58</v>
      </c>
      <c r="C39" s="128" t="str">
        <f t="shared" ref="C39:C57" si="13">CONCATENATE("SCHMAT",B39)</f>
        <v>SCHMATBADDEBT</v>
      </c>
      <c r="D39" s="129">
        <f>SUMIF('Current Income Tax Expense'!$K$28:$K$151,'Results Summary (SCH M)'!$B39,'Current Income Tax Expense'!F$28:F$151)</f>
        <v>397328</v>
      </c>
      <c r="E39" s="56">
        <f t="shared" ref="E39:E57" si="14">SUM(D39:D39)</f>
        <v>397328</v>
      </c>
      <c r="F39" s="129">
        <f>SUMIF('Current Income Tax Expense'!$K$28:$K$151,'Results Summary (SCH M)'!$B39,'Current Income Tax Expense'!I$28:I$151)</f>
        <v>0</v>
      </c>
      <c r="G39" s="58">
        <f t="shared" ref="G39:G57" si="15">SUM(E39:F39)</f>
        <v>397328</v>
      </c>
      <c r="H39" s="129">
        <f>SUMIF('Current Income Tax Expense'!$K$28:$K$151,'Results Summary (SCH M)'!$B39,'Current Income Tax Expense'!O$28:O$151)</f>
        <v>49891</v>
      </c>
    </row>
    <row r="40" spans="1:13" ht="12.75" customHeight="1">
      <c r="A40" s="547"/>
      <c r="B40" s="422" t="s">
        <v>119</v>
      </c>
      <c r="C40" s="422" t="str">
        <f t="shared" si="13"/>
        <v>SCHMATCAEE</v>
      </c>
      <c r="D40" s="122">
        <f>SUMIF('Current Income Tax Expense'!$K$28:$K$151,'Results Summary (SCH M)'!$B40,'Current Income Tax Expense'!F$28:F$151)</f>
        <v>17453269</v>
      </c>
      <c r="E40" s="42">
        <f t="shared" si="14"/>
        <v>17453269</v>
      </c>
      <c r="F40" s="122">
        <f>SUMIF('Current Income Tax Expense'!$K$28:$K$151,'Results Summary (SCH M)'!$B40,'Current Income Tax Expense'!I$28:I$151)</f>
        <v>20844</v>
      </c>
      <c r="G40" s="42">
        <f t="shared" ref="G40:G42" si="16">SUM(E40:F40)</f>
        <v>17474113</v>
      </c>
      <c r="H40" s="122">
        <f>SUMIF('Current Income Tax Expense'!$K$28:$K$151,'Results Summary (SCH M)'!$B40,'Current Income Tax Expense'!O$28:O$151)</f>
        <v>0</v>
      </c>
    </row>
    <row r="41" spans="1:13" ht="12.75" customHeight="1">
      <c r="A41" s="547"/>
      <c r="B41" s="422" t="s">
        <v>162</v>
      </c>
      <c r="C41" s="422" t="str">
        <f t="shared" si="13"/>
        <v>SCHMATCAGE</v>
      </c>
      <c r="D41" s="122">
        <f>SUMIF('Current Income Tax Expense'!$K$28:$K$151,'Results Summary (SCH M)'!$B41,'Current Income Tax Expense'!F$28:F$151)</f>
        <v>15474</v>
      </c>
      <c r="E41" s="42">
        <f t="shared" si="14"/>
        <v>15474</v>
      </c>
      <c r="F41" s="122">
        <f>SUMIF('Current Income Tax Expense'!$K$28:$K$151,'Results Summary (SCH M)'!$B41,'Current Income Tax Expense'!I$28:I$151)</f>
        <v>141038759</v>
      </c>
      <c r="G41" s="42">
        <f t="shared" si="16"/>
        <v>141054233</v>
      </c>
      <c r="H41" s="122">
        <f>SUMIF('Current Income Tax Expense'!$K$28:$K$151,'Results Summary (SCH M)'!$B41,'Current Income Tax Expense'!O$28:O$151)</f>
        <v>0</v>
      </c>
    </row>
    <row r="42" spans="1:13" ht="12.75" customHeight="1">
      <c r="A42" s="547"/>
      <c r="B42" s="422" t="s">
        <v>160</v>
      </c>
      <c r="C42" s="422" t="str">
        <f t="shared" si="13"/>
        <v>SCHMATCAGW</v>
      </c>
      <c r="D42" s="122">
        <f>SUMIF('Current Income Tax Expense'!$K$28:$K$151,'Results Summary (SCH M)'!$B42,'Current Income Tax Expense'!F$28:F$151)</f>
        <v>46872</v>
      </c>
      <c r="E42" s="42">
        <f t="shared" si="14"/>
        <v>46872</v>
      </c>
      <c r="F42" s="122">
        <f>SUMIF('Current Income Tax Expense'!$K$28:$K$151,'Results Summary (SCH M)'!$B42,'Current Income Tax Expense'!I$28:I$151)</f>
        <v>13479876</v>
      </c>
      <c r="G42" s="42">
        <f t="shared" si="16"/>
        <v>13526748</v>
      </c>
      <c r="H42" s="122">
        <f>SUMIF('Current Income Tax Expense'!$K$28:$K$151,'Results Summary (SCH M)'!$B42,'Current Income Tax Expense'!O$28:O$151)</f>
        <v>2918693</v>
      </c>
      <c r="L42" s="382"/>
    </row>
    <row r="43" spans="1:13" ht="12.75" customHeight="1">
      <c r="A43" s="547"/>
      <c r="B43" s="123" t="s">
        <v>20</v>
      </c>
      <c r="C43" s="121" t="str">
        <f t="shared" si="13"/>
        <v>SCHMATCIAC</v>
      </c>
      <c r="D43" s="122">
        <f>SUMIF('Current Income Tax Expense'!$K$28:$K$151,'Results Summary (SCH M)'!$B43,'Current Income Tax Expense'!F$28:F$151)</f>
        <v>103001232</v>
      </c>
      <c r="E43" s="42">
        <f t="shared" si="14"/>
        <v>103001232</v>
      </c>
      <c r="F43" s="122">
        <f>SUMIF('Current Income Tax Expense'!$K$28:$K$151,'Results Summary (SCH M)'!$B43,'Current Income Tax Expense'!I$28:I$151)</f>
        <v>0</v>
      </c>
      <c r="G43" s="42">
        <f t="shared" si="15"/>
        <v>103001232</v>
      </c>
      <c r="H43" s="122">
        <f>SUMIF('Current Income Tax Expense'!$K$28:$K$151,'Results Summary (SCH M)'!$B43,'Current Income Tax Expense'!O$28:O$151)</f>
        <v>6634231</v>
      </c>
    </row>
    <row r="44" spans="1:13" ht="12.75" customHeight="1">
      <c r="A44" s="547"/>
      <c r="B44" s="121" t="s">
        <v>60</v>
      </c>
      <c r="C44" s="121" t="str">
        <f t="shared" si="13"/>
        <v>SCHMATCN</v>
      </c>
      <c r="D44" s="122">
        <f>SUMIF('Current Income Tax Expense'!$K$28:$K$151,'Results Summary (SCH M)'!$B44,'Current Income Tax Expense'!F$28:F$151)</f>
        <v>0</v>
      </c>
      <c r="E44" s="42">
        <f t="shared" si="14"/>
        <v>0</v>
      </c>
      <c r="F44" s="122">
        <f>SUMIF('Current Income Tax Expense'!$K$28:$K$151,'Results Summary (SCH M)'!$B44,'Current Income Tax Expense'!I$28:I$151)</f>
        <v>728900</v>
      </c>
      <c r="G44" s="42">
        <f t="shared" si="15"/>
        <v>728900</v>
      </c>
      <c r="H44" s="122">
        <f>SUMIF('Current Income Tax Expense'!$K$28:$K$151,'Results Summary (SCH M)'!$B44,'Current Income Tax Expense'!O$28:O$151)</f>
        <v>50557</v>
      </c>
    </row>
    <row r="45" spans="1:13" ht="12.75" customHeight="1">
      <c r="A45" s="547"/>
      <c r="B45" s="121" t="s">
        <v>49</v>
      </c>
      <c r="C45" s="121" t="str">
        <f t="shared" si="13"/>
        <v>SCHMATGPS</v>
      </c>
      <c r="D45" s="122">
        <f>SUMIF('Current Income Tax Expense'!$K$28:$K$151,'Results Summary (SCH M)'!$B45,'Current Income Tax Expense'!F$28:F$151)</f>
        <v>-591042</v>
      </c>
      <c r="E45" s="42">
        <f t="shared" si="14"/>
        <v>-591042</v>
      </c>
      <c r="F45" s="122">
        <f>SUMIF('Current Income Tax Expense'!$K$28:$K$151,'Results Summary (SCH M)'!$B45,'Current Income Tax Expense'!I$28:I$151)</f>
        <v>0</v>
      </c>
      <c r="G45" s="42">
        <f t="shared" si="15"/>
        <v>-591042</v>
      </c>
      <c r="H45" s="122">
        <f>SUMIF('Current Income Tax Expense'!$K$28:$K$151,'Results Summary (SCH M)'!$B45,'Current Income Tax Expense'!O$28:O$151)</f>
        <v>-39610</v>
      </c>
    </row>
    <row r="46" spans="1:13" ht="12.75" customHeight="1">
      <c r="A46" s="547"/>
      <c r="B46" s="121" t="s">
        <v>170</v>
      </c>
      <c r="C46" s="121" t="str">
        <f>CONCATENATE("SCHMAT",B46)</f>
        <v>SCHMATJBE</v>
      </c>
      <c r="D46" s="122">
        <f>SUMIF('Current Income Tax Expense'!$K$28:$K$151,'Results Summary (SCH M)'!$B46,'Current Income Tax Expense'!F$28:F$151)</f>
        <v>17798327</v>
      </c>
      <c r="E46" s="42">
        <f t="shared" si="14"/>
        <v>17798327</v>
      </c>
      <c r="F46" s="122">
        <f>SUMIF('Current Income Tax Expense'!$K$28:$K$151,'Results Summary (SCH M)'!$B46,'Current Income Tax Expense'!I$28:I$151)</f>
        <v>0</v>
      </c>
      <c r="G46" s="42">
        <f t="shared" ref="G46" si="17">SUM(E46:F46)</f>
        <v>17798327</v>
      </c>
      <c r="H46" s="122">
        <f>SUMIF('Current Income Tax Expense'!$K$28:$K$151,'Results Summary (SCH M)'!$B46,'Current Income Tax Expense'!O$28:O$151)</f>
        <v>4020923</v>
      </c>
    </row>
    <row r="47" spans="1:13" ht="12.75" customHeight="1">
      <c r="A47" s="547"/>
      <c r="B47" s="121" t="s">
        <v>168</v>
      </c>
      <c r="C47" s="121" t="str">
        <f t="shared" ref="C47:C56" si="18">CONCATENATE("SCHMAT",B47)</f>
        <v>SCHMATJBG</v>
      </c>
      <c r="D47" s="122">
        <f>SUMIF('Current Income Tax Expense'!$K$28:$K$151,'Results Summary (SCH M)'!$B47,'Current Income Tax Expense'!F$28:F$151)</f>
        <v>0</v>
      </c>
      <c r="E47" s="42">
        <f t="shared" si="14"/>
        <v>0</v>
      </c>
      <c r="F47" s="122">
        <f>SUMIF('Current Income Tax Expense'!$K$28:$K$151,'Results Summary (SCH M)'!$B47,'Current Income Tax Expense'!I$28:I$151)</f>
        <v>255379200</v>
      </c>
      <c r="G47" s="42">
        <f t="shared" ref="G47" si="19">SUM(E47:F47)</f>
        <v>255379200</v>
      </c>
      <c r="H47" s="122">
        <f>SUMIF('Current Income Tax Expense'!$K$28:$K$151,'Results Summary (SCH M)'!$B47,'Current Income Tax Expense'!O$28:O$151)</f>
        <v>55103662</v>
      </c>
    </row>
    <row r="48" spans="1:13" ht="12.75" customHeight="1">
      <c r="A48" s="547"/>
      <c r="B48" s="123" t="s">
        <v>331</v>
      </c>
      <c r="C48" s="121" t="str">
        <f t="shared" si="18"/>
        <v>SCHMATNREG</v>
      </c>
      <c r="D48" s="122">
        <f>SUMIF('Current Income Tax Expense'!$K$28:$K$151,'Results Summary (SCH M)'!$B48,'Current Income Tax Expense'!F$28:F$151)</f>
        <v>-7229624</v>
      </c>
      <c r="E48" s="42">
        <f t="shared" si="14"/>
        <v>-7229624</v>
      </c>
      <c r="F48" s="122">
        <f>SUMIF('Current Income Tax Expense'!$K$28:$K$151,'Results Summary (SCH M)'!$B48,'Current Income Tax Expense'!I$28:I$151)</f>
        <v>0</v>
      </c>
      <c r="G48" s="42">
        <f t="shared" si="15"/>
        <v>-7229624</v>
      </c>
      <c r="H48" s="122">
        <f>SUMIF('Current Income Tax Expense'!$K$28:$K$151,'Results Summary (SCH M)'!$B48,'Current Income Tax Expense'!O$28:O$151)</f>
        <v>0</v>
      </c>
    </row>
    <row r="49" spans="1:17" ht="12.75" customHeight="1">
      <c r="A49" s="547"/>
      <c r="B49" s="123" t="s">
        <v>11</v>
      </c>
      <c r="C49" s="121" t="str">
        <f t="shared" si="18"/>
        <v>SCHMATSCHMDEXP</v>
      </c>
      <c r="D49" s="122">
        <f>SUMIF('Current Income Tax Expense'!$K$28:$K$151,'Results Summary (SCH M)'!$B49,'Current Income Tax Expense'!F$28:F$151)</f>
        <v>984007982</v>
      </c>
      <c r="E49" s="42">
        <f t="shared" si="14"/>
        <v>984007982</v>
      </c>
      <c r="F49" s="122">
        <f>SUMIF('Current Income Tax Expense'!$K$28:$K$151,'Results Summary (SCH M)'!$B49,'Current Income Tax Expense'!I$28:I$151)</f>
        <v>-180778619</v>
      </c>
      <c r="G49" s="42">
        <f t="shared" si="15"/>
        <v>803229363</v>
      </c>
      <c r="H49" s="122">
        <f>SUMIF('Current Income Tax Expense'!$K$28:$K$151,'Results Summary (SCH M)'!$B49,'Current Income Tax Expense'!O$28:O$151)</f>
        <v>54380818</v>
      </c>
      <c r="L49" s="382"/>
    </row>
    <row r="50" spans="1:17" ht="12.75" customHeight="1">
      <c r="A50" s="547"/>
      <c r="B50" s="123" t="s">
        <v>13</v>
      </c>
      <c r="C50" s="121" t="str">
        <f t="shared" si="18"/>
        <v>SCHMATSE</v>
      </c>
      <c r="D50" s="122">
        <f>SUMIF('Current Income Tax Expense'!$K$28:$K$151,'Results Summary (SCH M)'!$B50,'Current Income Tax Expense'!F$28:F$151)</f>
        <v>0</v>
      </c>
      <c r="E50" s="42">
        <f t="shared" si="14"/>
        <v>0</v>
      </c>
      <c r="F50" s="122">
        <f>SUMIF('Current Income Tax Expense'!$K$28:$K$151,'Results Summary (SCH M)'!$B50,'Current Income Tax Expense'!I$28:I$151)</f>
        <v>0</v>
      </c>
      <c r="G50" s="42">
        <f t="shared" si="15"/>
        <v>0</v>
      </c>
      <c r="H50" s="122">
        <f>SUMIF('Current Income Tax Expense'!$K$28:$K$151,'Results Summary (SCH M)'!$B50,'Current Income Tax Expense'!O$28:O$151)</f>
        <v>0</v>
      </c>
      <c r="L50" s="382"/>
    </row>
    <row r="51" spans="1:17" ht="12.75" customHeight="1">
      <c r="A51" s="547"/>
      <c r="B51" s="121" t="s">
        <v>19</v>
      </c>
      <c r="C51" s="121" t="str">
        <f t="shared" si="18"/>
        <v>SCHMATSG</v>
      </c>
      <c r="D51" s="122">
        <f>SUMIF('Current Income Tax Expense'!$K$28:$K$151,'Results Summary (SCH M)'!$B51,'Current Income Tax Expense'!F$28:F$151)</f>
        <v>-466012</v>
      </c>
      <c r="E51" s="42">
        <f t="shared" si="14"/>
        <v>-466012</v>
      </c>
      <c r="F51" s="122">
        <f>SUMIF('Current Income Tax Expense'!$K$28:$K$151,'Results Summary (SCH M)'!$B51,'Current Income Tax Expense'!I$28:I$151)</f>
        <v>140052156</v>
      </c>
      <c r="G51" s="42">
        <f t="shared" si="15"/>
        <v>139586144</v>
      </c>
      <c r="H51" s="122">
        <f>SUMIF('Current Income Tax Expense'!$K$28:$K$151,'Results Summary (SCH M)'!$B51,'Current Income Tax Expense'!O$28:O$151)</f>
        <v>10903219</v>
      </c>
    </row>
    <row r="52" spans="1:17" ht="12.75" customHeight="1">
      <c r="A52" s="547"/>
      <c r="B52" s="123" t="s">
        <v>31</v>
      </c>
      <c r="C52" s="121" t="str">
        <f t="shared" si="18"/>
        <v>SCHMATSGCT</v>
      </c>
      <c r="D52" s="122">
        <f>SUMIF('Current Income Tax Expense'!$K$28:$K$151,'Results Summary (SCH M)'!$B52,'Current Income Tax Expense'!F$28:F$151)</f>
        <v>0</v>
      </c>
      <c r="E52" s="42">
        <f t="shared" si="14"/>
        <v>0</v>
      </c>
      <c r="F52" s="122">
        <f>SUMIF('Current Income Tax Expense'!$K$28:$K$151,'Results Summary (SCH M)'!$B52,'Current Income Tax Expense'!I$28:I$151)</f>
        <v>0</v>
      </c>
      <c r="G52" s="42">
        <f t="shared" si="15"/>
        <v>0</v>
      </c>
      <c r="H52" s="122">
        <f>SUMIF('Current Income Tax Expense'!$K$28:$K$151,'Results Summary (SCH M)'!$B52,'Current Income Tax Expense'!O$28:O$151)</f>
        <v>0</v>
      </c>
      <c r="J52" s="195"/>
    </row>
    <row r="53" spans="1:17" ht="12.75" customHeight="1">
      <c r="A53" s="547"/>
      <c r="B53" s="123" t="s">
        <v>16</v>
      </c>
      <c r="C53" s="121" t="str">
        <f t="shared" si="18"/>
        <v>SCHMATSNP</v>
      </c>
      <c r="D53" s="122">
        <f>SUMIF('Current Income Tax Expense'!$K$28:$K$151,'Results Summary (SCH M)'!$B53,'Current Income Tax Expense'!F$28:F$151)</f>
        <v>41846673</v>
      </c>
      <c r="E53" s="42">
        <f t="shared" si="14"/>
        <v>41846673</v>
      </c>
      <c r="F53" s="122">
        <f>SUMIF('Current Income Tax Expense'!$K$28:$K$151,'Results Summary (SCH M)'!$B53,'Current Income Tax Expense'!I$28:I$151)</f>
        <v>0</v>
      </c>
      <c r="G53" s="42">
        <f t="shared" si="15"/>
        <v>41846673</v>
      </c>
      <c r="H53" s="122">
        <f>SUMIF('Current Income Tax Expense'!$K$28:$K$151,'Results Summary (SCH M)'!$B53,'Current Income Tax Expense'!O$28:O$151)</f>
        <v>2548216</v>
      </c>
    </row>
    <row r="54" spans="1:17" ht="12.75" customHeight="1">
      <c r="A54" s="547"/>
      <c r="B54" s="121" t="s">
        <v>21</v>
      </c>
      <c r="C54" s="121" t="str">
        <f t="shared" si="18"/>
        <v>SCHMATSNPD</v>
      </c>
      <c r="D54" s="122">
        <f>SUMIF('Current Income Tax Expense'!$K$28:$K$151,'Results Summary (SCH M)'!$B54,'Current Income Tax Expense'!F$28:F$151)</f>
        <v>2098862</v>
      </c>
      <c r="E54" s="42">
        <f t="shared" si="14"/>
        <v>2098862</v>
      </c>
      <c r="F54" s="122">
        <f>SUMIF('Current Income Tax Expense'!$K$28:$K$151,'Results Summary (SCH M)'!$B54,'Current Income Tax Expense'!I$28:I$151)</f>
        <v>0</v>
      </c>
      <c r="G54" s="42">
        <f t="shared" si="15"/>
        <v>2098862</v>
      </c>
      <c r="H54" s="122">
        <f>SUMIF('Current Income Tax Expense'!$K$28:$K$151,'Results Summary (SCH M)'!$B54,'Current Income Tax Expense'!O$28:O$151)</f>
        <v>135186</v>
      </c>
    </row>
    <row r="55" spans="1:17" ht="12.75" customHeight="1">
      <c r="A55" s="547"/>
      <c r="B55" s="123" t="s">
        <v>10</v>
      </c>
      <c r="C55" s="121" t="str">
        <f t="shared" si="18"/>
        <v>SCHMATSO</v>
      </c>
      <c r="D55" s="122">
        <f>SUMIF('Current Income Tax Expense'!$K$28:$K$151,'Results Summary (SCH M)'!$B55,'Current Income Tax Expense'!F$28:F$151)</f>
        <v>1698765</v>
      </c>
      <c r="E55" s="42">
        <f t="shared" si="14"/>
        <v>1698765</v>
      </c>
      <c r="F55" s="122">
        <f>SUMIF('Current Income Tax Expense'!$K$28:$K$151,'Results Summary (SCH M)'!$B55,'Current Income Tax Expense'!I$28:I$151)</f>
        <v>7165961</v>
      </c>
      <c r="G55" s="42">
        <f t="shared" si="15"/>
        <v>8864726</v>
      </c>
      <c r="H55" s="122">
        <f>SUMIF('Current Income Tax Expense'!$K$28:$K$151,'Results Summary (SCH M)'!$B55,'Current Income Tax Expense'!O$28:O$151)</f>
        <v>594092</v>
      </c>
    </row>
    <row r="56" spans="1:17" ht="12.75" customHeight="1">
      <c r="A56" s="547"/>
      <c r="B56" s="121" t="s">
        <v>45</v>
      </c>
      <c r="C56" s="121" t="str">
        <f t="shared" si="18"/>
        <v>SCHMATTAXDEPR</v>
      </c>
      <c r="D56" s="122">
        <f>SUMIF('Current Income Tax Expense'!$K$28:$K$151,'Results Summary (SCH M)'!$B56,'Current Income Tax Expense'!F$28:F$151)</f>
        <v>0</v>
      </c>
      <c r="E56" s="42">
        <f t="shared" si="14"/>
        <v>0</v>
      </c>
      <c r="F56" s="122">
        <f>SUMIF('Current Income Tax Expense'!$K$28:$K$151,'Results Summary (SCH M)'!$B56,'Current Income Tax Expense'!I$28:I$151)</f>
        <v>0</v>
      </c>
      <c r="G56" s="42">
        <f t="shared" si="15"/>
        <v>0</v>
      </c>
      <c r="H56" s="122">
        <f>SUMIF('Current Income Tax Expense'!$K$28:$K$151,'Results Summary (SCH M)'!$B56,'Current Income Tax Expense'!O$28:O$151)</f>
        <v>0</v>
      </c>
    </row>
    <row r="57" spans="1:17" ht="12.75" customHeight="1">
      <c r="A57" s="548"/>
      <c r="B57" s="131" t="s">
        <v>40</v>
      </c>
      <c r="C57" s="131" t="str">
        <f t="shared" si="13"/>
        <v>SCHMATTROJD</v>
      </c>
      <c r="D57" s="126">
        <f>SUMIF('Current Income Tax Expense'!$K$28:$K$151,'Results Summary (SCH M)'!$B57,'Current Income Tax Expense'!F$28:F$151)</f>
        <v>0</v>
      </c>
      <c r="E57" s="43">
        <f t="shared" si="14"/>
        <v>0</v>
      </c>
      <c r="F57" s="126">
        <f>SUMIF('Current Income Tax Expense'!$K$28:$K$151,'Results Summary (SCH M)'!$B57,'Current Income Tax Expense'!I$28:I$151)</f>
        <v>0</v>
      </c>
      <c r="G57" s="43">
        <f t="shared" si="15"/>
        <v>0</v>
      </c>
      <c r="H57" s="126">
        <f>SUMIF('Current Income Tax Expense'!$K$28:$K$151,'Results Summary (SCH M)'!$B57,'Current Income Tax Expense'!O$28:O$151)</f>
        <v>0</v>
      </c>
    </row>
    <row r="58" spans="1:17" ht="12.75" customHeight="1">
      <c r="A58" s="52"/>
      <c r="B58" s="48"/>
      <c r="C58" s="48"/>
      <c r="D58" s="62">
        <f t="shared" ref="D58:H58" si="20">SUBTOTAL(9,D29:D57)</f>
        <v>1175333529</v>
      </c>
      <c r="E58" s="62">
        <f t="shared" si="20"/>
        <v>1175333529</v>
      </c>
      <c r="F58" s="62">
        <f t="shared" si="20"/>
        <v>428473173</v>
      </c>
      <c r="G58" s="62">
        <f t="shared" si="20"/>
        <v>1603806702</v>
      </c>
      <c r="H58" s="62">
        <f t="shared" si="20"/>
        <v>154881552</v>
      </c>
    </row>
    <row r="59" spans="1:17" ht="12.75" customHeight="1">
      <c r="A59" s="47"/>
      <c r="B59" s="48"/>
      <c r="C59" s="48"/>
      <c r="D59" s="23">
        <f t="shared" ref="D59:H59" si="21">SUBTOTAL(9,D3:D58)</f>
        <v>1180073717</v>
      </c>
      <c r="E59" s="23">
        <f t="shared" si="21"/>
        <v>1180073717</v>
      </c>
      <c r="F59" s="23">
        <f t="shared" si="21"/>
        <v>429317723</v>
      </c>
      <c r="G59" s="23">
        <f t="shared" si="21"/>
        <v>1609391440</v>
      </c>
      <c r="H59" s="23">
        <f t="shared" si="21"/>
        <v>155112587</v>
      </c>
    </row>
    <row r="60" spans="1:17" ht="12.75" customHeight="1">
      <c r="A60" s="546" t="s">
        <v>249</v>
      </c>
      <c r="B60" s="12" t="s">
        <v>17</v>
      </c>
      <c r="C60" s="12" t="str">
        <f t="shared" ref="C60:C68" si="22">CONCATENATE("SCHMDP",B60)</f>
        <v>SCHMDPCA</v>
      </c>
      <c r="D60" s="49">
        <f>SUMIF('Current Income Tax Expense'!$K$19:$K$27,'Results Summary (SCH M)'!$B60,'Current Income Tax Expense'!F$19:F$27)</f>
        <v>0</v>
      </c>
      <c r="E60" s="54">
        <f t="shared" ref="E60:E68" si="23">SUM(D60:D60)</f>
        <v>0</v>
      </c>
      <c r="F60" s="49">
        <f>SUMIF('Current Income Tax Expense'!$K$19:$K$27,'Results Summary (SCH M)'!$B60,'Current Income Tax Expense'!I$19:I$27)</f>
        <v>0</v>
      </c>
      <c r="G60" s="14">
        <f>SUM(E60:F60)</f>
        <v>0</v>
      </c>
      <c r="H60" s="49">
        <f>SUMIF('Current Income Tax Expense'!$K$19:$K$27,'Results Summary (SCH M)'!$B60,'Current Income Tax Expense'!O$19:O$27)</f>
        <v>0</v>
      </c>
      <c r="Q60" s="391"/>
    </row>
    <row r="61" spans="1:17" ht="12.75" customHeight="1">
      <c r="A61" s="547"/>
      <c r="B61" s="15" t="s">
        <v>72</v>
      </c>
      <c r="C61" s="15" t="str">
        <f t="shared" si="22"/>
        <v>SCHMDPFERC</v>
      </c>
      <c r="D61" s="50">
        <f>SUMIF('Current Income Tax Expense'!$K$19:$K$27,'Results Summary (SCH M)'!$B61,'Current Income Tax Expense'!F$19:F$27)</f>
        <v>0</v>
      </c>
      <c r="E61" s="16">
        <f t="shared" si="23"/>
        <v>0</v>
      </c>
      <c r="F61" s="50">
        <f>SUMIF('Current Income Tax Expense'!$K$19:$K$27,'Results Summary (SCH M)'!$B61,'Current Income Tax Expense'!I$19:I$27)</f>
        <v>0</v>
      </c>
      <c r="G61" s="16">
        <f t="shared" ref="G61:G68" si="24">SUM(E61:F61)</f>
        <v>0</v>
      </c>
      <c r="H61" s="50">
        <f>SUMIF('Current Income Tax Expense'!$K$19:$K$27,'Results Summary (SCH M)'!$B61,'Current Income Tax Expense'!O$19:O$27)</f>
        <v>0</v>
      </c>
      <c r="Q61" s="391"/>
    </row>
    <row r="62" spans="1:17" ht="12.75" customHeight="1">
      <c r="A62" s="547"/>
      <c r="B62" s="17" t="s">
        <v>29</v>
      </c>
      <c r="C62" s="17" t="str">
        <f t="shared" si="22"/>
        <v>SCHMDPIDU</v>
      </c>
      <c r="D62" s="50">
        <f>SUMIF('Current Income Tax Expense'!$K$19:$K$27,'Results Summary (SCH M)'!$B62,'Current Income Tax Expense'!F$19:F$27)</f>
        <v>0</v>
      </c>
      <c r="E62" s="16">
        <f t="shared" si="23"/>
        <v>0</v>
      </c>
      <c r="F62" s="50">
        <f>SUMIF('Current Income Tax Expense'!$K$19:$K$27,'Results Summary (SCH M)'!$B62,'Current Income Tax Expense'!I$19:I$27)</f>
        <v>0</v>
      </c>
      <c r="G62" s="16">
        <f t="shared" si="24"/>
        <v>0</v>
      </c>
      <c r="H62" s="50">
        <f>SUMIF('Current Income Tax Expense'!$K$19:$K$27,'Results Summary (SCH M)'!$B62,'Current Income Tax Expense'!O$19:O$27)</f>
        <v>0</v>
      </c>
      <c r="Q62" s="391"/>
    </row>
    <row r="63" spans="1:17" ht="12.75" customHeight="1">
      <c r="A63" s="547"/>
      <c r="B63" s="17" t="s">
        <v>30</v>
      </c>
      <c r="C63" s="17" t="str">
        <f t="shared" si="22"/>
        <v>SCHMDPOR</v>
      </c>
      <c r="D63" s="50">
        <f>SUMIF('Current Income Tax Expense'!$K$19:$K$27,'Results Summary (SCH M)'!$B63,'Current Income Tax Expense'!F$19:F$27)</f>
        <v>0</v>
      </c>
      <c r="E63" s="16">
        <f t="shared" si="23"/>
        <v>0</v>
      </c>
      <c r="F63" s="50">
        <f>SUMIF('Current Income Tax Expense'!$K$19:$K$27,'Results Summary (SCH M)'!$B63,'Current Income Tax Expense'!I$19:I$27)</f>
        <v>0</v>
      </c>
      <c r="G63" s="16">
        <f t="shared" si="24"/>
        <v>0</v>
      </c>
      <c r="H63" s="50">
        <f>SUMIF('Current Income Tax Expense'!$K$19:$K$27,'Results Summary (SCH M)'!$B63,'Current Income Tax Expense'!O$19:O$27)</f>
        <v>0</v>
      </c>
      <c r="Q63" s="391"/>
    </row>
    <row r="64" spans="1:17" ht="12.75" customHeight="1">
      <c r="A64" s="547"/>
      <c r="B64" s="18" t="s">
        <v>15</v>
      </c>
      <c r="C64" s="17" t="str">
        <f t="shared" si="22"/>
        <v>SCHMDPOTHER</v>
      </c>
      <c r="D64" s="50">
        <f>SUMIF('Current Income Tax Expense'!$K$19:$K$27,'Results Summary (SCH M)'!$B64,'Current Income Tax Expense'!F$19:F$27)</f>
        <v>0</v>
      </c>
      <c r="E64" s="16">
        <f t="shared" si="23"/>
        <v>0</v>
      </c>
      <c r="F64" s="50">
        <f>SUMIF('Current Income Tax Expense'!$K$19:$K$27,'Results Summary (SCH M)'!$B64,'Current Income Tax Expense'!I$19:I$27)</f>
        <v>0</v>
      </c>
      <c r="G64" s="16">
        <f t="shared" si="24"/>
        <v>0</v>
      </c>
      <c r="H64" s="50">
        <f>SUMIF('Current Income Tax Expense'!$K$19:$K$27,'Results Summary (SCH M)'!$B64,'Current Income Tax Expense'!O$19:O$27)</f>
        <v>0</v>
      </c>
    </row>
    <row r="65" spans="1:8" ht="12.75" customHeight="1">
      <c r="A65" s="547"/>
      <c r="B65" s="18" t="s">
        <v>28</v>
      </c>
      <c r="C65" s="17" t="str">
        <f t="shared" si="22"/>
        <v>SCHMDPUT</v>
      </c>
      <c r="D65" s="50">
        <f>SUMIF('Current Income Tax Expense'!$K$19:$K$27,'Results Summary (SCH M)'!$B65,'Current Income Tax Expense'!F$19:F$27)</f>
        <v>0</v>
      </c>
      <c r="E65" s="16">
        <f t="shared" si="23"/>
        <v>0</v>
      </c>
      <c r="F65" s="50">
        <f>SUMIF('Current Income Tax Expense'!$K$19:$K$27,'Results Summary (SCH M)'!$B65,'Current Income Tax Expense'!I$19:I$27)</f>
        <v>0</v>
      </c>
      <c r="G65" s="16">
        <f t="shared" si="24"/>
        <v>0</v>
      </c>
      <c r="H65" s="50">
        <f>SUMIF('Current Income Tax Expense'!$K$19:$K$27,'Results Summary (SCH M)'!$B65,'Current Income Tax Expense'!O$19:O$27)</f>
        <v>0</v>
      </c>
    </row>
    <row r="66" spans="1:8" ht="12.75" customHeight="1">
      <c r="A66" s="547"/>
      <c r="B66" s="17" t="s">
        <v>26</v>
      </c>
      <c r="C66" s="17" t="str">
        <f t="shared" si="22"/>
        <v>SCHMDPWA</v>
      </c>
      <c r="D66" s="50">
        <f>SUMIF('Current Income Tax Expense'!$K$19:$K$27,'Results Summary (SCH M)'!$B66,'Current Income Tax Expense'!F$19:F$27)</f>
        <v>0</v>
      </c>
      <c r="E66" s="16">
        <f t="shared" si="23"/>
        <v>0</v>
      </c>
      <c r="F66" s="50">
        <f>SUMIF('Current Income Tax Expense'!$K$19:$K$27,'Results Summary (SCH M)'!$B66,'Current Income Tax Expense'!I$19:I$27)</f>
        <v>0</v>
      </c>
      <c r="G66" s="16">
        <f t="shared" si="24"/>
        <v>0</v>
      </c>
      <c r="H66" s="50">
        <f>SUMIF('Current Income Tax Expense'!$K$19:$K$27,'Results Summary (SCH M)'!$B66,'Current Income Tax Expense'!O$19:O$27)</f>
        <v>0</v>
      </c>
    </row>
    <row r="67" spans="1:8" ht="12.75" customHeight="1">
      <c r="A67" s="547"/>
      <c r="B67" s="17" t="s">
        <v>32</v>
      </c>
      <c r="C67" s="17" t="str">
        <f t="shared" si="22"/>
        <v>SCHMDPWYP</v>
      </c>
      <c r="D67" s="50">
        <f>SUMIF('Current Income Tax Expense'!$K$19:$K$27,'Results Summary (SCH M)'!$B67,'Current Income Tax Expense'!F$19:F$27)</f>
        <v>0</v>
      </c>
      <c r="E67" s="16">
        <f t="shared" si="23"/>
        <v>0</v>
      </c>
      <c r="F67" s="50">
        <f>SUMIF('Current Income Tax Expense'!$K$19:$K$27,'Results Summary (SCH M)'!$B67,'Current Income Tax Expense'!I$19:I$27)</f>
        <v>0</v>
      </c>
      <c r="G67" s="16">
        <f t="shared" si="24"/>
        <v>0</v>
      </c>
      <c r="H67" s="50">
        <f>SUMIF('Current Income Tax Expense'!$K$19:$K$27,'Results Summary (SCH M)'!$B67,'Current Income Tax Expense'!O$19:O$27)</f>
        <v>0</v>
      </c>
    </row>
    <row r="68" spans="1:8" ht="12.75" customHeight="1">
      <c r="A68" s="547"/>
      <c r="B68" s="19" t="s">
        <v>80</v>
      </c>
      <c r="C68" s="17" t="str">
        <f t="shared" si="22"/>
        <v>SCHMDPWYU</v>
      </c>
      <c r="D68" s="51">
        <f>SUMIF('Current Income Tax Expense'!$K$19:$K$27,'Results Summary (SCH M)'!$B68,'Current Income Tax Expense'!F$19:F$27)</f>
        <v>0</v>
      </c>
      <c r="E68" s="20">
        <f t="shared" si="23"/>
        <v>0</v>
      </c>
      <c r="F68" s="51">
        <f>SUMIF('Current Income Tax Expense'!$K$19:$K$27,'Results Summary (SCH M)'!$B68,'Current Income Tax Expense'!I$19:I$27)</f>
        <v>0</v>
      </c>
      <c r="G68" s="20">
        <f t="shared" si="24"/>
        <v>0</v>
      </c>
      <c r="H68" s="51">
        <f>SUMIF('Current Income Tax Expense'!$K$19:$K$27,'Results Summary (SCH M)'!$B68,'Current Income Tax Expense'!O$19:O$27)</f>
        <v>0</v>
      </c>
    </row>
    <row r="69" spans="1:8" ht="12.75" customHeight="1">
      <c r="A69" s="547"/>
      <c r="B69" s="48"/>
      <c r="C69" s="48"/>
      <c r="D69" s="21">
        <f t="shared" ref="D69:H69" si="25">SUBTOTAL(9,D60:D68)</f>
        <v>0</v>
      </c>
      <c r="E69" s="21">
        <f t="shared" si="25"/>
        <v>0</v>
      </c>
      <c r="F69" s="21">
        <f t="shared" si="25"/>
        <v>0</v>
      </c>
      <c r="G69" s="21">
        <f t="shared" si="25"/>
        <v>0</v>
      </c>
      <c r="H69" s="61">
        <f t="shared" si="25"/>
        <v>0</v>
      </c>
    </row>
    <row r="70" spans="1:8" ht="12.75" customHeight="1">
      <c r="A70" s="547"/>
      <c r="B70" s="12" t="s">
        <v>58</v>
      </c>
      <c r="C70" s="12" t="str">
        <f t="shared" ref="C70:C84" si="26">CONCATENATE("SCHMDP",B70)</f>
        <v>SCHMDPBADDEBT</v>
      </c>
      <c r="D70" s="49">
        <f>SUMIF('Current Income Tax Expense'!$K$19:$K$27,'Results Summary (SCH M)'!$B70,'Current Income Tax Expense'!F$19:F$27)</f>
        <v>0</v>
      </c>
      <c r="E70" s="54">
        <f t="shared" ref="E70:E84" si="27">SUM(D70:D70)</f>
        <v>0</v>
      </c>
      <c r="F70" s="49">
        <f>SUMIF('Current Income Tax Expense'!$K$19:$K$27,'Results Summary (SCH M)'!$B70,'Current Income Tax Expense'!I$19:I$27)</f>
        <v>0</v>
      </c>
      <c r="G70" s="14">
        <f t="shared" ref="G70:G84" si="28">SUM(E70:F70)</f>
        <v>0</v>
      </c>
      <c r="H70" s="129">
        <f>SUMIF('Current Income Tax Expense'!$K$19:$K$27,'Results Summary (SCH M)'!$B70,'Current Income Tax Expense'!O$19:O$27)</f>
        <v>0</v>
      </c>
    </row>
    <row r="71" spans="1:8" ht="12.75" customHeight="1">
      <c r="A71" s="547"/>
      <c r="B71" s="18" t="s">
        <v>20</v>
      </c>
      <c r="C71" s="17" t="str">
        <f t="shared" si="26"/>
        <v>SCHMDPCIAC</v>
      </c>
      <c r="D71" s="50">
        <f>SUMIF('Current Income Tax Expense'!$K$19:$K$27,'Results Summary (SCH M)'!$B71,'Current Income Tax Expense'!F$19:F$27)</f>
        <v>0</v>
      </c>
      <c r="E71" s="16">
        <f t="shared" si="27"/>
        <v>0</v>
      </c>
      <c r="F71" s="50">
        <f>SUMIF('Current Income Tax Expense'!$K$19:$K$27,'Results Summary (SCH M)'!$B71,'Current Income Tax Expense'!I$19:I$27)</f>
        <v>0</v>
      </c>
      <c r="G71" s="16">
        <f t="shared" si="28"/>
        <v>0</v>
      </c>
      <c r="H71" s="122">
        <f>SUMIF('Current Income Tax Expense'!$K$19:$K$27,'Results Summary (SCH M)'!$B71,'Current Income Tax Expense'!O$19:O$27)</f>
        <v>0</v>
      </c>
    </row>
    <row r="72" spans="1:8" ht="12.75" customHeight="1">
      <c r="A72" s="547"/>
      <c r="B72" s="17" t="s">
        <v>60</v>
      </c>
      <c r="C72" s="17" t="str">
        <f t="shared" si="26"/>
        <v>SCHMDPCN</v>
      </c>
      <c r="D72" s="50">
        <f>SUMIF('Current Income Tax Expense'!$K$19:$K$27,'Results Summary (SCH M)'!$B72,'Current Income Tax Expense'!F$19:F$27)</f>
        <v>0</v>
      </c>
      <c r="E72" s="16">
        <f t="shared" si="27"/>
        <v>0</v>
      </c>
      <c r="F72" s="50">
        <f>SUMIF('Current Income Tax Expense'!$K$19:$K$27,'Results Summary (SCH M)'!$B72,'Current Income Tax Expense'!I$19:I$27)</f>
        <v>0</v>
      </c>
      <c r="G72" s="16">
        <f t="shared" si="28"/>
        <v>0</v>
      </c>
      <c r="H72" s="122">
        <f>SUMIF('Current Income Tax Expense'!$K$19:$K$27,'Results Summary (SCH M)'!$B72,'Current Income Tax Expense'!O$19:O$27)</f>
        <v>0</v>
      </c>
    </row>
    <row r="73" spans="1:8" ht="12.75" customHeight="1">
      <c r="A73" s="547"/>
      <c r="B73" s="17" t="s">
        <v>49</v>
      </c>
      <c r="C73" s="17" t="str">
        <f t="shared" si="26"/>
        <v>SCHMDPGPS</v>
      </c>
      <c r="D73" s="50">
        <f>SUMIF('Current Income Tax Expense'!$K$19:$K$27,'Results Summary (SCH M)'!$B73,'Current Income Tax Expense'!F$19:F$27)</f>
        <v>0</v>
      </c>
      <c r="E73" s="16">
        <f t="shared" si="27"/>
        <v>0</v>
      </c>
      <c r="F73" s="50">
        <f>SUMIF('Current Income Tax Expense'!$K$19:$K$27,'Results Summary (SCH M)'!$B73,'Current Income Tax Expense'!I$19:I$27)</f>
        <v>0</v>
      </c>
      <c r="G73" s="16">
        <f t="shared" si="28"/>
        <v>0</v>
      </c>
      <c r="H73" s="122">
        <f>SUMIF('Current Income Tax Expense'!$K$19:$K$27,'Results Summary (SCH M)'!$B73,'Current Income Tax Expense'!O$19:O$27)</f>
        <v>0</v>
      </c>
    </row>
    <row r="74" spans="1:8" ht="12.75" customHeight="1">
      <c r="A74" s="547"/>
      <c r="B74" s="17" t="s">
        <v>170</v>
      </c>
      <c r="C74" s="17" t="str">
        <f t="shared" si="26"/>
        <v>SCHMDPJBE</v>
      </c>
      <c r="D74" s="50">
        <f>SUMIF('Current Income Tax Expense'!$K$19:$K$27,'Results Summary (SCH M)'!$B74,'Current Income Tax Expense'!F$19:F$27)</f>
        <v>0</v>
      </c>
      <c r="E74" s="16">
        <f t="shared" si="27"/>
        <v>0</v>
      </c>
      <c r="F74" s="50">
        <f>SUMIF('Current Income Tax Expense'!$K$19:$K$27,'Results Summary (SCH M)'!$B74,'Current Income Tax Expense'!I$19:I$27)</f>
        <v>-2475854</v>
      </c>
      <c r="G74" s="16">
        <f t="shared" ref="G74" si="29">SUM(E74:F74)</f>
        <v>-2475854</v>
      </c>
      <c r="H74" s="122">
        <f>SUMIF('Current Income Tax Expense'!$K$19:$K$27,'Results Summary (SCH M)'!$B74,'Current Income Tax Expense'!O$19:O$27)</f>
        <v>-559334</v>
      </c>
    </row>
    <row r="75" spans="1:8" ht="12.75" customHeight="1">
      <c r="A75" s="547"/>
      <c r="B75" s="18" t="s">
        <v>331</v>
      </c>
      <c r="C75" s="17" t="str">
        <f t="shared" si="26"/>
        <v>SCHMDPNREG</v>
      </c>
      <c r="D75" s="50">
        <f>SUMIF('Current Income Tax Expense'!$K$19:$K$27,'Results Summary (SCH M)'!$B75,'Current Income Tax Expense'!F$19:F$27)</f>
        <v>-4881220</v>
      </c>
      <c r="E75" s="16">
        <f t="shared" si="27"/>
        <v>-4881220</v>
      </c>
      <c r="F75" s="50">
        <f>SUMIF('Current Income Tax Expense'!$K$19:$K$27,'Results Summary (SCH M)'!$B75,'Current Income Tax Expense'!I$19:I$27)</f>
        <v>0</v>
      </c>
      <c r="G75" s="16">
        <f t="shared" si="28"/>
        <v>-4881220</v>
      </c>
      <c r="H75" s="122">
        <f>SUMIF('Current Income Tax Expense'!$K$19:$K$27,'Results Summary (SCH M)'!$B75,'Current Income Tax Expense'!O$19:O$27)</f>
        <v>0</v>
      </c>
    </row>
    <row r="76" spans="1:8" ht="12.75" customHeight="1">
      <c r="A76" s="547"/>
      <c r="B76" s="18" t="s">
        <v>11</v>
      </c>
      <c r="C76" s="17" t="str">
        <f t="shared" si="26"/>
        <v>SCHMDPSCHMDEXP</v>
      </c>
      <c r="D76" s="50">
        <f>SUMIF('Current Income Tax Expense'!$K$19:$K$27,'Results Summary (SCH M)'!$B76,'Current Income Tax Expense'!F$19:F$27)</f>
        <v>19357</v>
      </c>
      <c r="E76" s="16">
        <f t="shared" si="27"/>
        <v>19357</v>
      </c>
      <c r="F76" s="50">
        <f>SUMIF('Current Income Tax Expense'!$K$19:$K$27,'Results Summary (SCH M)'!$B76,'Current Income Tax Expense'!I$19:I$27)</f>
        <v>-19357</v>
      </c>
      <c r="G76" s="16">
        <f t="shared" si="28"/>
        <v>0</v>
      </c>
      <c r="H76" s="122">
        <f>SUMIF('Current Income Tax Expense'!$K$19:$K$27,'Results Summary (SCH M)'!$B76,'Current Income Tax Expense'!O$19:O$27)</f>
        <v>0</v>
      </c>
    </row>
    <row r="77" spans="1:8" ht="12.75" customHeight="1">
      <c r="A77" s="547"/>
      <c r="B77" s="18" t="s">
        <v>13</v>
      </c>
      <c r="C77" s="17" t="str">
        <f t="shared" si="26"/>
        <v>SCHMDPSE</v>
      </c>
      <c r="D77" s="50">
        <f>SUMIF('Current Income Tax Expense'!$K$19:$K$27,'Results Summary (SCH M)'!$B77,'Current Income Tax Expense'!F$19:F$27)</f>
        <v>0</v>
      </c>
      <c r="E77" s="16">
        <f t="shared" si="27"/>
        <v>0</v>
      </c>
      <c r="F77" s="50">
        <f>SUMIF('Current Income Tax Expense'!$K$19:$K$27,'Results Summary (SCH M)'!$B77,'Current Income Tax Expense'!I$19:I$27)</f>
        <v>-516226</v>
      </c>
      <c r="G77" s="16">
        <f t="shared" si="28"/>
        <v>-516226</v>
      </c>
      <c r="H77" s="122">
        <f>SUMIF('Current Income Tax Expense'!$K$19:$K$27,'Results Summary (SCH M)'!$B77,'Current Income Tax Expense'!O$19:O$27)</f>
        <v>-38390</v>
      </c>
    </row>
    <row r="78" spans="1:8" ht="12.75" customHeight="1">
      <c r="A78" s="547"/>
      <c r="B78" s="17" t="s">
        <v>19</v>
      </c>
      <c r="C78" s="17" t="str">
        <f t="shared" si="26"/>
        <v>SCHMDPSG</v>
      </c>
      <c r="D78" s="50">
        <f>SUMIF('Current Income Tax Expense'!$K$19:$K$27,'Results Summary (SCH M)'!$B78,'Current Income Tax Expense'!F$19:F$27)</f>
        <v>0</v>
      </c>
      <c r="E78" s="16">
        <f t="shared" si="27"/>
        <v>0</v>
      </c>
      <c r="F78" s="50">
        <f>SUMIF('Current Income Tax Expense'!$K$19:$K$27,'Results Summary (SCH M)'!$B78,'Current Income Tax Expense'!I$19:I$27)</f>
        <v>0</v>
      </c>
      <c r="G78" s="16">
        <f t="shared" si="28"/>
        <v>0</v>
      </c>
      <c r="H78" s="122">
        <f>SUMIF('Current Income Tax Expense'!$K$19:$K$27,'Results Summary (SCH M)'!$B78,'Current Income Tax Expense'!O$19:O$27)</f>
        <v>0</v>
      </c>
    </row>
    <row r="79" spans="1:8" ht="12.75" customHeight="1">
      <c r="A79" s="547"/>
      <c r="B79" s="18" t="s">
        <v>31</v>
      </c>
      <c r="C79" s="17" t="str">
        <f t="shared" si="26"/>
        <v>SCHMDPSGCT</v>
      </c>
      <c r="D79" s="50">
        <f>SUMIF('Current Income Tax Expense'!$K$19:$K$27,'Results Summary (SCH M)'!$B79,'Current Income Tax Expense'!F$19:F$27)</f>
        <v>0</v>
      </c>
      <c r="E79" s="16">
        <f t="shared" si="27"/>
        <v>0</v>
      </c>
      <c r="F79" s="50">
        <f>SUMIF('Current Income Tax Expense'!$K$19:$K$27,'Results Summary (SCH M)'!$B79,'Current Income Tax Expense'!I$19:I$27)</f>
        <v>0</v>
      </c>
      <c r="G79" s="16">
        <f t="shared" si="28"/>
        <v>0</v>
      </c>
      <c r="H79" s="122">
        <f>SUMIF('Current Income Tax Expense'!$K$19:$K$27,'Results Summary (SCH M)'!$B79,'Current Income Tax Expense'!O$19:O$27)</f>
        <v>0</v>
      </c>
    </row>
    <row r="80" spans="1:8" ht="12.75" customHeight="1">
      <c r="A80" s="547"/>
      <c r="B80" s="18" t="s">
        <v>16</v>
      </c>
      <c r="C80" s="17" t="str">
        <f t="shared" si="26"/>
        <v>SCHMDPSNP</v>
      </c>
      <c r="D80" s="50">
        <f>SUMIF('Current Income Tax Expense'!$K$19:$K$27,'Results Summary (SCH M)'!$B80,'Current Income Tax Expense'!F$19:F$27)</f>
        <v>-106610</v>
      </c>
      <c r="E80" s="16">
        <f t="shared" si="27"/>
        <v>-106610</v>
      </c>
      <c r="F80" s="50">
        <f>SUMIF('Current Income Tax Expense'!$K$19:$K$27,'Results Summary (SCH M)'!$B80,'Current Income Tax Expense'!I$19:I$27)</f>
        <v>-1325</v>
      </c>
      <c r="G80" s="16">
        <f t="shared" si="28"/>
        <v>-107935</v>
      </c>
      <c r="H80" s="122">
        <f>SUMIF('Current Income Tax Expense'!$K$19:$K$27,'Results Summary (SCH M)'!$B80,'Current Income Tax Expense'!O$19:O$27)</f>
        <v>-6573</v>
      </c>
    </row>
    <row r="81" spans="1:17" ht="12.75" customHeight="1">
      <c r="A81" s="547"/>
      <c r="B81" s="17" t="s">
        <v>21</v>
      </c>
      <c r="C81" s="17" t="str">
        <f t="shared" si="26"/>
        <v>SCHMDPSNPD</v>
      </c>
      <c r="D81" s="50">
        <f>SUMIF('Current Income Tax Expense'!$K$19:$K$27,'Results Summary (SCH M)'!$B81,'Current Income Tax Expense'!F$19:F$27)</f>
        <v>0</v>
      </c>
      <c r="E81" s="16">
        <f t="shared" si="27"/>
        <v>0</v>
      </c>
      <c r="F81" s="50">
        <f>SUMIF('Current Income Tax Expense'!$K$19:$K$27,'Results Summary (SCH M)'!$B81,'Current Income Tax Expense'!I$19:I$27)</f>
        <v>0</v>
      </c>
      <c r="G81" s="16">
        <f t="shared" si="28"/>
        <v>0</v>
      </c>
      <c r="H81" s="122">
        <f>SUMIF('Current Income Tax Expense'!$K$19:$K$27,'Results Summary (SCH M)'!$B81,'Current Income Tax Expense'!O$19:O$27)</f>
        <v>0</v>
      </c>
    </row>
    <row r="82" spans="1:17" ht="12.75" customHeight="1">
      <c r="A82" s="547"/>
      <c r="B82" s="18" t="s">
        <v>10</v>
      </c>
      <c r="C82" s="17" t="str">
        <f t="shared" si="26"/>
        <v>SCHMDPSO</v>
      </c>
      <c r="D82" s="50">
        <f>SUMIF('Current Income Tax Expense'!$K$19:$K$27,'Results Summary (SCH M)'!$B82,'Current Income Tax Expense'!F$19:F$27)</f>
        <v>0</v>
      </c>
      <c r="E82" s="16">
        <f t="shared" si="27"/>
        <v>0</v>
      </c>
      <c r="F82" s="50">
        <f>SUMIF('Current Income Tax Expense'!$K$19:$K$27,'Results Summary (SCH M)'!$B82,'Current Income Tax Expense'!I$19:I$27)</f>
        <v>0</v>
      </c>
      <c r="G82" s="16">
        <f t="shared" si="28"/>
        <v>0</v>
      </c>
      <c r="H82" s="122">
        <f>SUMIF('Current Income Tax Expense'!$K$19:$K$27,'Results Summary (SCH M)'!$B82,'Current Income Tax Expense'!O$19:O$27)</f>
        <v>0</v>
      </c>
    </row>
    <row r="83" spans="1:17" ht="12.75" customHeight="1">
      <c r="A83" s="547"/>
      <c r="B83" s="17" t="s">
        <v>45</v>
      </c>
      <c r="C83" s="17" t="str">
        <f t="shared" si="26"/>
        <v>SCHMDPTAXDEPR</v>
      </c>
      <c r="D83" s="50">
        <f>SUMIF('Current Income Tax Expense'!$K$19:$K$27,'Results Summary (SCH M)'!$B83,'Current Income Tax Expense'!F$19:F$27)</f>
        <v>0</v>
      </c>
      <c r="E83" s="16">
        <f t="shared" si="27"/>
        <v>0</v>
      </c>
      <c r="F83" s="50">
        <f>SUMIF('Current Income Tax Expense'!$K$19:$K$27,'Results Summary (SCH M)'!$B83,'Current Income Tax Expense'!I$19:I$27)</f>
        <v>0</v>
      </c>
      <c r="G83" s="16">
        <f t="shared" si="28"/>
        <v>0</v>
      </c>
      <c r="H83" s="50">
        <f>SUMIF('Current Income Tax Expense'!$K$19:$K$27,'Results Summary (SCH M)'!$B83,'Current Income Tax Expense'!O$19:O$27)</f>
        <v>0</v>
      </c>
    </row>
    <row r="84" spans="1:17" ht="12.75" customHeight="1">
      <c r="A84" s="548"/>
      <c r="B84" s="22" t="s">
        <v>40</v>
      </c>
      <c r="C84" s="22" t="str">
        <f t="shared" si="26"/>
        <v>SCHMDPTROJD</v>
      </c>
      <c r="D84" s="51">
        <f>SUMIF('Current Income Tax Expense'!$K$19:$K$27,'Results Summary (SCH M)'!$B84,'Current Income Tax Expense'!F$19:F$27)</f>
        <v>0</v>
      </c>
      <c r="E84" s="20">
        <f t="shared" si="27"/>
        <v>0</v>
      </c>
      <c r="F84" s="50">
        <f>SUMIF('Current Income Tax Expense'!$K$19:$K$27,'Results Summary (SCH M)'!$B84,'Current Income Tax Expense'!I$19:I$27)</f>
        <v>0</v>
      </c>
      <c r="G84" s="20">
        <f t="shared" si="28"/>
        <v>0</v>
      </c>
      <c r="H84" s="50">
        <f>SUMIF('Current Income Tax Expense'!$K$19:$K$27,'Results Summary (SCH M)'!$B84,'Current Income Tax Expense'!O$19:O$27)</f>
        <v>0</v>
      </c>
    </row>
    <row r="85" spans="1:17" ht="12.75" customHeight="1">
      <c r="A85" s="47"/>
      <c r="B85" s="48"/>
      <c r="C85" s="48"/>
      <c r="D85" s="23">
        <f t="shared" ref="D85:H85" si="30">SUBTOTAL(9,D60:D84)</f>
        <v>-4968473</v>
      </c>
      <c r="E85" s="23">
        <f t="shared" si="30"/>
        <v>-4968473</v>
      </c>
      <c r="F85" s="23">
        <f t="shared" si="30"/>
        <v>-3012762</v>
      </c>
      <c r="G85" s="23">
        <f t="shared" si="30"/>
        <v>-7981235</v>
      </c>
      <c r="H85" s="23">
        <f t="shared" si="30"/>
        <v>-604297</v>
      </c>
      <c r="Q85" s="391"/>
    </row>
    <row r="86" spans="1:17" ht="12.75" customHeight="1">
      <c r="A86" s="546" t="s">
        <v>250</v>
      </c>
      <c r="B86" s="12" t="s">
        <v>17</v>
      </c>
      <c r="C86" s="12" t="str">
        <f t="shared" ref="C86:C94" si="31">CONCATENATE("SCHMDT",B86)</f>
        <v>SCHMDTCA</v>
      </c>
      <c r="D86" s="50">
        <f>SUMIF('Current Income Tax Expense'!$K$152:$K$280,'Results Summary (SCH M)'!$B86,'Current Income Tax Expense'!F$152:F$280)</f>
        <v>-2027227</v>
      </c>
      <c r="E86" s="54">
        <f t="shared" ref="E86:E94" si="32">SUM(D86:D86)</f>
        <v>-2027227</v>
      </c>
      <c r="F86" s="50">
        <f>SUMIF('Current Income Tax Expense'!$K$152:$K$280,'Results Summary (SCH M)'!$B86,'Current Income Tax Expense'!I$152:I$280)</f>
        <v>-1400390</v>
      </c>
      <c r="G86" s="14">
        <f>SUM(E86:F86)</f>
        <v>-3427617</v>
      </c>
      <c r="H86" s="50">
        <f>SUMIF('Current Income Tax Expense'!$K$152:$K$280,'Results Summary (SCH M)'!$B86,'Current Income Tax Expense'!O$152:O$280)</f>
        <v>0</v>
      </c>
      <c r="Q86" s="391"/>
    </row>
    <row r="87" spans="1:17" ht="12.75" customHeight="1">
      <c r="A87" s="547"/>
      <c r="B87" s="15" t="s">
        <v>72</v>
      </c>
      <c r="C87" s="15" t="str">
        <f t="shared" si="31"/>
        <v>SCHMDTFERC</v>
      </c>
      <c r="D87" s="50">
        <f>SUMIF('Current Income Tax Expense'!$K$152:$K$280,'Results Summary (SCH M)'!$B87,'Current Income Tax Expense'!F$152:F$280)</f>
        <v>0</v>
      </c>
      <c r="E87" s="16">
        <f t="shared" si="32"/>
        <v>0</v>
      </c>
      <c r="F87" s="50">
        <f>SUMIF('Current Income Tax Expense'!$K$152:$K$280,'Results Summary (SCH M)'!$B87,'Current Income Tax Expense'!I$152:I$280)</f>
        <v>0</v>
      </c>
      <c r="G87" s="16">
        <f t="shared" ref="G87:G94" si="33">SUM(E87:F87)</f>
        <v>0</v>
      </c>
      <c r="H87" s="50">
        <f>SUMIF('Current Income Tax Expense'!$K$152:$K$280,'Results Summary (SCH M)'!$B87,'Current Income Tax Expense'!O$152:O$280)</f>
        <v>0</v>
      </c>
      <c r="Q87" s="391"/>
    </row>
    <row r="88" spans="1:17" ht="12.75" customHeight="1">
      <c r="A88" s="547"/>
      <c r="B88" s="17" t="s">
        <v>29</v>
      </c>
      <c r="C88" s="15" t="str">
        <f t="shared" si="31"/>
        <v>SCHMDTIDU</v>
      </c>
      <c r="D88" s="50">
        <f>SUMIF('Current Income Tax Expense'!$K$152:$K$280,'Results Summary (SCH M)'!$B88,'Current Income Tax Expense'!F$152:F$280)</f>
        <v>624974</v>
      </c>
      <c r="E88" s="42">
        <f t="shared" si="32"/>
        <v>624974</v>
      </c>
      <c r="F88" s="50">
        <f>SUMIF('Current Income Tax Expense'!$K$152:$K$280,'Results Summary (SCH M)'!$B88,'Current Income Tax Expense'!I$152:I$280)</f>
        <v>-1536219</v>
      </c>
      <c r="G88" s="42">
        <f t="shared" si="33"/>
        <v>-911245</v>
      </c>
      <c r="H88" s="50">
        <f>SUMIF('Current Income Tax Expense'!$K$152:$K$280,'Results Summary (SCH M)'!$B88,'Current Income Tax Expense'!O$152:O$280)</f>
        <v>0</v>
      </c>
      <c r="Q88" s="391"/>
    </row>
    <row r="89" spans="1:17" ht="12.75" customHeight="1">
      <c r="A89" s="547"/>
      <c r="B89" s="17" t="s">
        <v>30</v>
      </c>
      <c r="C89" s="15" t="str">
        <f t="shared" si="31"/>
        <v>SCHMDTOR</v>
      </c>
      <c r="D89" s="50">
        <f>SUMIF('Current Income Tax Expense'!$K$152:$K$280,'Results Summary (SCH M)'!$B89,'Current Income Tax Expense'!F$152:F$280)</f>
        <v>1271717</v>
      </c>
      <c r="E89" s="42">
        <f t="shared" si="32"/>
        <v>1271717</v>
      </c>
      <c r="F89" s="50">
        <f>SUMIF('Current Income Tax Expense'!$K$152:$K$280,'Results Summary (SCH M)'!$B89,'Current Income Tax Expense'!I$152:I$280)</f>
        <v>-6249548</v>
      </c>
      <c r="G89" s="42">
        <f t="shared" si="33"/>
        <v>-4977831</v>
      </c>
      <c r="H89" s="50">
        <f>SUMIF('Current Income Tax Expense'!$K$152:$K$280,'Results Summary (SCH M)'!$B89,'Current Income Tax Expense'!O$152:O$280)</f>
        <v>0</v>
      </c>
      <c r="Q89" s="391"/>
    </row>
    <row r="90" spans="1:17" ht="12.75" customHeight="1">
      <c r="A90" s="547"/>
      <c r="B90" s="18" t="s">
        <v>15</v>
      </c>
      <c r="C90" s="15" t="str">
        <f t="shared" si="31"/>
        <v>SCHMDTOTHER</v>
      </c>
      <c r="D90" s="50">
        <f>SUMIF('Current Income Tax Expense'!$K$152:$K$280,'Results Summary (SCH M)'!$B90,'Current Income Tax Expense'!F$152:F$280)</f>
        <v>-73250613</v>
      </c>
      <c r="E90" s="42">
        <f t="shared" si="32"/>
        <v>-73250613</v>
      </c>
      <c r="F90" s="50">
        <f>SUMIF('Current Income Tax Expense'!$K$152:$K$280,'Results Summary (SCH M)'!$B90,'Current Income Tax Expense'!I$152:I$280)</f>
        <v>0</v>
      </c>
      <c r="G90" s="42">
        <f t="shared" si="33"/>
        <v>-73250613</v>
      </c>
      <c r="H90" s="50">
        <f>SUMIF('Current Income Tax Expense'!$K$152:$K$280,'Results Summary (SCH M)'!$B90,'Current Income Tax Expense'!O$152:O$280)</f>
        <v>0</v>
      </c>
      <c r="Q90" s="391"/>
    </row>
    <row r="91" spans="1:17" ht="12.75" customHeight="1">
      <c r="A91" s="547"/>
      <c r="B91" s="18" t="s">
        <v>28</v>
      </c>
      <c r="C91" s="15" t="str">
        <f t="shared" si="31"/>
        <v>SCHMDTUT</v>
      </c>
      <c r="D91" s="50">
        <f>SUMIF('Current Income Tax Expense'!$K$152:$K$280,'Results Summary (SCH M)'!$B91,'Current Income Tax Expense'!F$152:F$280)</f>
        <v>547650</v>
      </c>
      <c r="E91" s="42">
        <f t="shared" si="32"/>
        <v>547650</v>
      </c>
      <c r="F91" s="50">
        <f>SUMIF('Current Income Tax Expense'!$K$152:$K$280,'Results Summary (SCH M)'!$B91,'Current Income Tax Expense'!I$152:I$280)</f>
        <v>-14882398</v>
      </c>
      <c r="G91" s="42">
        <f t="shared" si="33"/>
        <v>-14334748</v>
      </c>
      <c r="H91" s="50">
        <f>SUMIF('Current Income Tax Expense'!$K$152:$K$280,'Results Summary (SCH M)'!$B91,'Current Income Tax Expense'!O$152:O$280)</f>
        <v>0</v>
      </c>
      <c r="Q91" s="391"/>
    </row>
    <row r="92" spans="1:17" ht="12.75" customHeight="1">
      <c r="A92" s="547"/>
      <c r="B92" s="17" t="s">
        <v>26</v>
      </c>
      <c r="C92" s="15" t="str">
        <f t="shared" si="31"/>
        <v>SCHMDTWA</v>
      </c>
      <c r="D92" s="50">
        <f>SUMIF('Current Income Tax Expense'!$K$152:$K$280,'Results Summary (SCH M)'!$B92,'Current Income Tax Expense'!F$152:F$280)</f>
        <v>0</v>
      </c>
      <c r="E92" s="42">
        <f t="shared" si="32"/>
        <v>0</v>
      </c>
      <c r="F92" s="50">
        <f>SUMIF('Current Income Tax Expense'!$K$152:$K$280,'Results Summary (SCH M)'!$B92,'Current Income Tax Expense'!I$152:I$280)</f>
        <v>-1309928</v>
      </c>
      <c r="G92" s="42">
        <f t="shared" si="33"/>
        <v>-1309928</v>
      </c>
      <c r="H92" s="50">
        <f>SUMIF('Current Income Tax Expense'!$K$152:$K$280,'Results Summary (SCH M)'!$B92,'Current Income Tax Expense'!O$152:O$280)</f>
        <v>-1309928</v>
      </c>
      <c r="M92" s="382"/>
      <c r="Q92" s="391"/>
    </row>
    <row r="93" spans="1:17" ht="12.75" customHeight="1">
      <c r="A93" s="547"/>
      <c r="B93" s="17" t="s">
        <v>32</v>
      </c>
      <c r="C93" s="15" t="str">
        <f t="shared" si="31"/>
        <v>SCHMDTWYP</v>
      </c>
      <c r="D93" s="50">
        <f>SUMIF('Current Income Tax Expense'!$K$152:$K$280,'Results Summary (SCH M)'!$B93,'Current Income Tax Expense'!F$152:F$280)</f>
        <v>630036</v>
      </c>
      <c r="E93" s="42">
        <f t="shared" si="32"/>
        <v>630036</v>
      </c>
      <c r="F93" s="50">
        <f>SUMIF('Current Income Tax Expense'!$K$152:$K$280,'Results Summary (SCH M)'!$B93,'Current Income Tax Expense'!I$152:I$280)</f>
        <v>-2321726</v>
      </c>
      <c r="G93" s="42">
        <f t="shared" si="33"/>
        <v>-1691690</v>
      </c>
      <c r="H93" s="50">
        <f>SUMIF('Current Income Tax Expense'!$K$152:$K$280,'Results Summary (SCH M)'!$B93,'Current Income Tax Expense'!O$152:O$280)</f>
        <v>0</v>
      </c>
      <c r="L93" s="382"/>
      <c r="Q93" s="391"/>
    </row>
    <row r="94" spans="1:17" ht="12.75" customHeight="1">
      <c r="A94" s="547"/>
      <c r="B94" s="19" t="s">
        <v>80</v>
      </c>
      <c r="C94" s="15" t="str">
        <f t="shared" si="31"/>
        <v>SCHMDTWYU</v>
      </c>
      <c r="D94" s="50">
        <f>SUMIF('Current Income Tax Expense'!$K$152:$K$280,'Results Summary (SCH M)'!$B94,'Current Income Tax Expense'!F$152:F$280)</f>
        <v>0</v>
      </c>
      <c r="E94" s="20">
        <f t="shared" si="32"/>
        <v>0</v>
      </c>
      <c r="F94" s="50">
        <f>SUMIF('Current Income Tax Expense'!$K$152:$K$280,'Results Summary (SCH M)'!$B94,'Current Income Tax Expense'!I$152:I$280)</f>
        <v>0</v>
      </c>
      <c r="G94" s="20">
        <f t="shared" si="33"/>
        <v>0</v>
      </c>
      <c r="H94" s="50">
        <f>SUMIF('Current Income Tax Expense'!$K$152:$K$280,'Results Summary (SCH M)'!$B94,'Current Income Tax Expense'!O$152:O$280)</f>
        <v>0</v>
      </c>
      <c r="Q94" s="391"/>
    </row>
    <row r="95" spans="1:17" ht="12.75" customHeight="1">
      <c r="A95" s="547"/>
      <c r="B95" s="48"/>
      <c r="C95" s="48"/>
      <c r="D95" s="219">
        <f t="shared" ref="D95:H95" si="34">SUBTOTAL(9,D86:D94)</f>
        <v>-72203463</v>
      </c>
      <c r="E95" s="21">
        <f t="shared" si="34"/>
        <v>-72203463</v>
      </c>
      <c r="F95" s="219">
        <f t="shared" si="34"/>
        <v>-27700209</v>
      </c>
      <c r="G95" s="21">
        <f t="shared" si="34"/>
        <v>-99903672</v>
      </c>
      <c r="H95" s="219">
        <f t="shared" si="34"/>
        <v>-1309928</v>
      </c>
      <c r="Q95" s="391"/>
    </row>
    <row r="96" spans="1:17" ht="12.75" customHeight="1">
      <c r="A96" s="547"/>
      <c r="B96" s="12" t="s">
        <v>58</v>
      </c>
      <c r="C96" s="12" t="str">
        <f t="shared" ref="C96:C114" si="35">CONCATENATE("SCHMDT",B96)</f>
        <v>SCHMDTBADDEBT</v>
      </c>
      <c r="D96" s="50">
        <f>SUMIF('Current Income Tax Expense'!$K$152:$K$280,'Results Summary (SCH M)'!$B96,'Current Income Tax Expense'!F$152:F$280)</f>
        <v>0</v>
      </c>
      <c r="E96" s="54">
        <f t="shared" ref="E96:E114" si="36">SUM(D96:D96)</f>
        <v>0</v>
      </c>
      <c r="F96" s="50">
        <f>SUMIF('Current Income Tax Expense'!$K$152:$K$280,'Results Summary (SCH M)'!$B96,'Current Income Tax Expense'!I$152:I$280)</f>
        <v>0</v>
      </c>
      <c r="G96" s="14">
        <f t="shared" ref="G96:G114" si="37">SUM(E96:F96)</f>
        <v>0</v>
      </c>
      <c r="H96" s="50">
        <f>SUMIF('Current Income Tax Expense'!$K$152:$K$280,'Results Summary (SCH M)'!$B96,'Current Income Tax Expense'!O$152:O$280)</f>
        <v>0</v>
      </c>
      <c r="Q96" s="391"/>
    </row>
    <row r="97" spans="1:17" ht="12.75" customHeight="1">
      <c r="A97" s="547"/>
      <c r="B97" s="413" t="s">
        <v>119</v>
      </c>
      <c r="C97" s="413" t="str">
        <f t="shared" si="35"/>
        <v>SCHMDTCAEE</v>
      </c>
      <c r="D97" s="50">
        <f>SUMIF('Current Income Tax Expense'!$K$152:$K$280,'Results Summary (SCH M)'!$B97,'Current Income Tax Expense'!F$152:F$280)</f>
        <v>972443</v>
      </c>
      <c r="E97" s="16">
        <f t="shared" si="36"/>
        <v>972443</v>
      </c>
      <c r="F97" s="50">
        <f>SUMIF('Current Income Tax Expense'!$K$152:$K$280,'Results Summary (SCH M)'!$B97,'Current Income Tax Expense'!I$152:I$280)</f>
        <v>0</v>
      </c>
      <c r="G97" s="16">
        <f t="shared" ref="G97:G99" si="38">SUM(E97:F97)</f>
        <v>972443</v>
      </c>
      <c r="H97" s="50">
        <f>SUMIF('Current Income Tax Expense'!$K$152:$K$280,'Results Summary (SCH M)'!$B97,'Current Income Tax Expense'!O$152:O$280)</f>
        <v>0</v>
      </c>
      <c r="Q97" s="391"/>
    </row>
    <row r="98" spans="1:17" ht="12.75" customHeight="1">
      <c r="A98" s="547"/>
      <c r="B98" s="413" t="s">
        <v>162</v>
      </c>
      <c r="C98" s="413" t="str">
        <f t="shared" si="35"/>
        <v>SCHMDTCAGE</v>
      </c>
      <c r="D98" s="50">
        <f>SUMIF('Current Income Tax Expense'!$K$152:$K$280,'Results Summary (SCH M)'!$B98,'Current Income Tax Expense'!F$152:F$280)</f>
        <v>-339662</v>
      </c>
      <c r="E98" s="16">
        <f t="shared" si="36"/>
        <v>-339662</v>
      </c>
      <c r="F98" s="50">
        <f>SUMIF('Current Income Tax Expense'!$K$152:$K$280,'Results Summary (SCH M)'!$B98,'Current Income Tax Expense'!I$152:I$280)</f>
        <v>-5732699</v>
      </c>
      <c r="G98" s="16">
        <f t="shared" si="38"/>
        <v>-6072361</v>
      </c>
      <c r="H98" s="50">
        <f>SUMIF('Current Income Tax Expense'!$K$152:$K$280,'Results Summary (SCH M)'!$B98,'Current Income Tax Expense'!O$152:O$280)</f>
        <v>0</v>
      </c>
      <c r="Q98" s="391"/>
    </row>
    <row r="99" spans="1:17" ht="12.75" customHeight="1">
      <c r="A99" s="547"/>
      <c r="B99" s="413" t="s">
        <v>160</v>
      </c>
      <c r="C99" s="413" t="str">
        <f t="shared" si="35"/>
        <v>SCHMDTCAGW</v>
      </c>
      <c r="D99" s="50">
        <f>SUMIF('Current Income Tax Expense'!$K$152:$K$280,'Results Summary (SCH M)'!$B99,'Current Income Tax Expense'!F$152:F$280)</f>
        <v>124821</v>
      </c>
      <c r="E99" s="16">
        <f t="shared" si="36"/>
        <v>124821</v>
      </c>
      <c r="F99" s="50">
        <f>SUMIF('Current Income Tax Expense'!$K$152:$K$280,'Results Summary (SCH M)'!$B99,'Current Income Tax Expense'!I$152:I$280)</f>
        <v>-2859040</v>
      </c>
      <c r="G99" s="16">
        <f t="shared" si="38"/>
        <v>-2734219</v>
      </c>
      <c r="H99" s="50">
        <f>SUMIF('Current Income Tax Expense'!$K$152:$K$280,'Results Summary (SCH M)'!$B99,'Current Income Tax Expense'!O$152:O$280)</f>
        <v>-589968</v>
      </c>
      <c r="L99" s="382"/>
      <c r="Q99" s="391"/>
    </row>
    <row r="100" spans="1:17" ht="12.75" customHeight="1">
      <c r="A100" s="547"/>
      <c r="B100" s="18" t="s">
        <v>20</v>
      </c>
      <c r="C100" s="413" t="str">
        <f t="shared" si="35"/>
        <v>SCHMDTCIAC</v>
      </c>
      <c r="D100" s="50">
        <f>SUMIF('Current Income Tax Expense'!$K$152:$K$280,'Results Summary (SCH M)'!$B100,'Current Income Tax Expense'!F$152:F$280)</f>
        <v>0</v>
      </c>
      <c r="E100" s="16">
        <f t="shared" si="36"/>
        <v>0</v>
      </c>
      <c r="F100" s="50">
        <f>SUMIF('Current Income Tax Expense'!$K$152:$K$280,'Results Summary (SCH M)'!$B100,'Current Income Tax Expense'!I$152:I$280)</f>
        <v>0</v>
      </c>
      <c r="G100" s="16">
        <f t="shared" si="37"/>
        <v>0</v>
      </c>
      <c r="H100" s="50">
        <f>SUMIF('Current Income Tax Expense'!$K$152:$K$280,'Results Summary (SCH M)'!$B100,'Current Income Tax Expense'!O$152:O$280)</f>
        <v>0</v>
      </c>
      <c r="Q100" s="391"/>
    </row>
    <row r="101" spans="1:17" ht="12.75" customHeight="1">
      <c r="A101" s="547"/>
      <c r="B101" s="17" t="s">
        <v>60</v>
      </c>
      <c r="C101" s="413" t="str">
        <f t="shared" si="35"/>
        <v>SCHMDTCN</v>
      </c>
      <c r="D101" s="50">
        <f>SUMIF('Current Income Tax Expense'!$K$152:$K$280,'Results Summary (SCH M)'!$B101,'Current Income Tax Expense'!F$152:F$280)</f>
        <v>0</v>
      </c>
      <c r="E101" s="42">
        <f t="shared" si="36"/>
        <v>0</v>
      </c>
      <c r="F101" s="50">
        <f>SUMIF('Current Income Tax Expense'!$K$152:$K$280,'Results Summary (SCH M)'!$B101,'Current Income Tax Expense'!I$152:I$280)</f>
        <v>0</v>
      </c>
      <c r="G101" s="42">
        <f t="shared" si="37"/>
        <v>0</v>
      </c>
      <c r="H101" s="50">
        <f>SUMIF('Current Income Tax Expense'!$K$152:$K$280,'Results Summary (SCH M)'!$B101,'Current Income Tax Expense'!O$152:O$280)</f>
        <v>0</v>
      </c>
      <c r="M101" s="391"/>
      <c r="Q101" s="391"/>
    </row>
    <row r="102" spans="1:17" ht="12.75" customHeight="1">
      <c r="A102" s="547"/>
      <c r="B102" s="17" t="s">
        <v>49</v>
      </c>
      <c r="C102" s="413" t="str">
        <f t="shared" si="35"/>
        <v>SCHMDTGPS</v>
      </c>
      <c r="D102" s="50">
        <f>SUMIF('Current Income Tax Expense'!$K$152:$K$280,'Results Summary (SCH M)'!$B102,'Current Income Tax Expense'!F$152:F$280)</f>
        <v>-68082721</v>
      </c>
      <c r="E102" s="42">
        <f t="shared" si="36"/>
        <v>-68082721</v>
      </c>
      <c r="F102" s="50">
        <f>SUMIF('Current Income Tax Expense'!$K$152:$K$280,'Results Summary (SCH M)'!$B102,'Current Income Tax Expense'!I$152:I$280)</f>
        <v>0</v>
      </c>
      <c r="G102" s="42">
        <f t="shared" si="37"/>
        <v>-68082721</v>
      </c>
      <c r="H102" s="50">
        <f>SUMIF('Current Income Tax Expense'!$K$152:$K$280,'Results Summary (SCH M)'!$B102,'Current Income Tax Expense'!O$152:O$280)</f>
        <v>-4562743</v>
      </c>
      <c r="Q102" s="391"/>
    </row>
    <row r="103" spans="1:17" ht="12.75" customHeight="1">
      <c r="A103" s="547"/>
      <c r="B103" s="17" t="s">
        <v>170</v>
      </c>
      <c r="C103" s="413" t="str">
        <f t="shared" si="35"/>
        <v>SCHMDTJBE</v>
      </c>
      <c r="D103" s="50">
        <f>SUMIF('Current Income Tax Expense'!$K$152:$K$280,'Results Summary (SCH M)'!$B103,'Current Income Tax Expense'!F$152:F$280)</f>
        <v>199146</v>
      </c>
      <c r="E103" s="42">
        <f t="shared" si="36"/>
        <v>199146</v>
      </c>
      <c r="F103" s="50">
        <f>SUMIF('Current Income Tax Expense'!$K$152:$K$280,'Results Summary (SCH M)'!$B103,'Current Income Tax Expense'!I$152:I$280)</f>
        <v>0</v>
      </c>
      <c r="G103" s="42">
        <f t="shared" ref="G103" si="39">SUM(E103:F103)</f>
        <v>199146</v>
      </c>
      <c r="H103" s="50">
        <f>SUMIF('Current Income Tax Expense'!$K$152:$K$280,'Results Summary (SCH M)'!$B103,'Current Income Tax Expense'!O$152:O$280)</f>
        <v>44990</v>
      </c>
      <c r="Q103" s="391"/>
    </row>
    <row r="104" spans="1:17" ht="12.75" customHeight="1">
      <c r="A104" s="547"/>
      <c r="B104" s="17" t="s">
        <v>168</v>
      </c>
      <c r="C104" s="413" t="str">
        <f t="shared" si="35"/>
        <v>SCHMDTJBG</v>
      </c>
      <c r="D104" s="50">
        <f>SUMIF('Current Income Tax Expense'!$K$152:$K$280,'Results Summary (SCH M)'!$B104,'Current Income Tax Expense'!F$152:F$280)</f>
        <v>0</v>
      </c>
      <c r="E104" s="42">
        <f t="shared" si="36"/>
        <v>0</v>
      </c>
      <c r="F104" s="50">
        <f>SUMIF('Current Income Tax Expense'!$K$152:$K$280,'Results Summary (SCH M)'!$B104,'Current Income Tax Expense'!I$152:I$280)</f>
        <v>-1308446</v>
      </c>
      <c r="G104" s="42">
        <f t="shared" ref="G104" si="40">SUM(E104:F104)</f>
        <v>-1308446</v>
      </c>
      <c r="H104" s="50">
        <f>SUMIF('Current Income Tax Expense'!$K$152:$K$280,'Results Summary (SCH M)'!$B104,'Current Income Tax Expense'!O$152:O$280)</f>
        <v>-282326</v>
      </c>
      <c r="Q104" s="391"/>
    </row>
    <row r="105" spans="1:17" ht="12.75" customHeight="1">
      <c r="A105" s="547"/>
      <c r="B105" s="18" t="s">
        <v>331</v>
      </c>
      <c r="C105" s="413" t="str">
        <f t="shared" si="35"/>
        <v>SCHMDTNREG</v>
      </c>
      <c r="D105" s="50">
        <f>SUMIF('Current Income Tax Expense'!$K$152:$K$280,'Results Summary (SCH M)'!$B105,'Current Income Tax Expense'!F$152:F$280)</f>
        <v>26670413</v>
      </c>
      <c r="E105" s="42">
        <f t="shared" si="36"/>
        <v>26670413</v>
      </c>
      <c r="F105" s="50">
        <f>SUMIF('Current Income Tax Expense'!$K$152:$K$280,'Results Summary (SCH M)'!$B105,'Current Income Tax Expense'!I$152:I$280)</f>
        <v>0</v>
      </c>
      <c r="G105" s="42">
        <f t="shared" si="37"/>
        <v>26670413</v>
      </c>
      <c r="H105" s="50">
        <f>SUMIF('Current Income Tax Expense'!$K$152:$K$280,'Results Summary (SCH M)'!$B105,'Current Income Tax Expense'!O$152:O$280)</f>
        <v>0</v>
      </c>
      <c r="Q105" s="391"/>
    </row>
    <row r="106" spans="1:17" ht="12.75" customHeight="1">
      <c r="A106" s="547"/>
      <c r="B106" s="18" t="s">
        <v>11</v>
      </c>
      <c r="C106" s="413" t="str">
        <f t="shared" si="35"/>
        <v>SCHMDTSCHMDEXP</v>
      </c>
      <c r="D106" s="50">
        <f>SUMIF('Current Income Tax Expense'!$K$152:$K$280,'Results Summary (SCH M)'!$B106,'Current Income Tax Expense'!F$152:F$280)</f>
        <v>0</v>
      </c>
      <c r="E106" s="42">
        <f t="shared" si="36"/>
        <v>0</v>
      </c>
      <c r="F106" s="50">
        <f>SUMIF('Current Income Tax Expense'!$K$152:$K$280,'Results Summary (SCH M)'!$B106,'Current Income Tax Expense'!I$152:I$280)</f>
        <v>0</v>
      </c>
      <c r="G106" s="42">
        <f t="shared" si="37"/>
        <v>0</v>
      </c>
      <c r="H106" s="50">
        <f>SUMIF('Current Income Tax Expense'!$K$152:$K$280,'Results Summary (SCH M)'!$B106,'Current Income Tax Expense'!O$152:O$280)</f>
        <v>0</v>
      </c>
      <c r="Q106" s="391"/>
    </row>
    <row r="107" spans="1:17" ht="12.6" customHeight="1">
      <c r="A107" s="547"/>
      <c r="B107" s="18" t="s">
        <v>13</v>
      </c>
      <c r="C107" s="413" t="str">
        <f t="shared" si="35"/>
        <v>SCHMDTSE</v>
      </c>
      <c r="D107" s="50">
        <f>SUMIF('Current Income Tax Expense'!$K$152:$K$280,'Results Summary (SCH M)'!$B107,'Current Income Tax Expense'!F$152:F$280)</f>
        <v>0</v>
      </c>
      <c r="E107" s="42">
        <f t="shared" si="36"/>
        <v>0</v>
      </c>
      <c r="F107" s="50">
        <f>SUMIF('Current Income Tax Expense'!$K$152:$K$280,'Results Summary (SCH M)'!$B107,'Current Income Tax Expense'!I$152:I$280)</f>
        <v>0</v>
      </c>
      <c r="G107" s="42">
        <f t="shared" si="37"/>
        <v>0</v>
      </c>
      <c r="H107" s="50">
        <f>SUMIF('Current Income Tax Expense'!$K$152:$K$280,'Results Summary (SCH M)'!$B107,'Current Income Tax Expense'!O$152:O$280)</f>
        <v>0</v>
      </c>
      <c r="Q107" s="391"/>
    </row>
    <row r="108" spans="1:17" ht="12.75" customHeight="1">
      <c r="A108" s="547"/>
      <c r="B108" s="17" t="s">
        <v>19</v>
      </c>
      <c r="C108" s="413" t="str">
        <f t="shared" si="35"/>
        <v>SCHMDTSG</v>
      </c>
      <c r="D108" s="50">
        <f>SUMIF('Current Income Tax Expense'!$K$152:$K$280,'Results Summary (SCH M)'!$B108,'Current Income Tax Expense'!F$152:F$280)</f>
        <v>-145177627</v>
      </c>
      <c r="E108" s="42">
        <f t="shared" si="36"/>
        <v>-145177627</v>
      </c>
      <c r="F108" s="50">
        <f>SUMIF('Current Income Tax Expense'!$K$152:$K$280,'Results Summary (SCH M)'!$B108,'Current Income Tax Expense'!I$152:I$280)</f>
        <v>-409178395</v>
      </c>
      <c r="G108" s="42">
        <f t="shared" si="37"/>
        <v>-554356022</v>
      </c>
      <c r="H108" s="50">
        <f>SUMIF('Current Income Tax Expense'!$K$152:$K$280,'Results Summary (SCH M)'!$B108,'Current Income Tax Expense'!O$152:O$280)</f>
        <v>-43301326</v>
      </c>
      <c r="Q108" s="391"/>
    </row>
    <row r="109" spans="1:17" ht="12.75" customHeight="1">
      <c r="A109" s="547"/>
      <c r="B109" s="18" t="s">
        <v>31</v>
      </c>
      <c r="C109" s="413" t="str">
        <f t="shared" si="35"/>
        <v>SCHMDTSGCT</v>
      </c>
      <c r="D109" s="50">
        <f>SUMIF('Current Income Tax Expense'!$K$152:$K$280,'Results Summary (SCH M)'!$B109,'Current Income Tax Expense'!F$152:F$280)</f>
        <v>0</v>
      </c>
      <c r="E109" s="42">
        <f t="shared" si="36"/>
        <v>0</v>
      </c>
      <c r="F109" s="50">
        <f>SUMIF('Current Income Tax Expense'!$K$152:$K$280,'Results Summary (SCH M)'!$B109,'Current Income Tax Expense'!I$152:I$280)</f>
        <v>0</v>
      </c>
      <c r="G109" s="42">
        <f t="shared" si="37"/>
        <v>0</v>
      </c>
      <c r="H109" s="50">
        <f>SUMIF('Current Income Tax Expense'!$K$152:$K$280,'Results Summary (SCH M)'!$B109,'Current Income Tax Expense'!O$152:O$280)</f>
        <v>0</v>
      </c>
      <c r="Q109" s="391"/>
    </row>
    <row r="110" spans="1:17" ht="12.75" customHeight="1">
      <c r="A110" s="547"/>
      <c r="B110" s="18" t="s">
        <v>16</v>
      </c>
      <c r="C110" s="413" t="str">
        <f t="shared" si="35"/>
        <v>SCHMDTSNP</v>
      </c>
      <c r="D110" s="50">
        <f>SUMIF('Current Income Tax Expense'!$K$152:$K$280,'Results Summary (SCH M)'!$B110,'Current Income Tax Expense'!F$152:F$280)</f>
        <v>-74705322</v>
      </c>
      <c r="E110" s="42">
        <f t="shared" si="36"/>
        <v>-74705322</v>
      </c>
      <c r="F110" s="50">
        <f>SUMIF('Current Income Tax Expense'!$K$152:$K$280,'Results Summary (SCH M)'!$B110,'Current Income Tax Expense'!I$152:I$280)</f>
        <v>0</v>
      </c>
      <c r="G110" s="42">
        <f t="shared" si="37"/>
        <v>-74705322</v>
      </c>
      <c r="H110" s="50">
        <f>SUMIF('Current Income Tax Expense'!$K$152:$K$280,'Results Summary (SCH M)'!$B110,'Current Income Tax Expense'!O$152:O$280)</f>
        <v>-4549114</v>
      </c>
      <c r="Q110" s="391"/>
    </row>
    <row r="111" spans="1:17" ht="12.75" customHeight="1">
      <c r="A111" s="547"/>
      <c r="B111" s="17" t="s">
        <v>21</v>
      </c>
      <c r="C111" s="413" t="str">
        <f t="shared" si="35"/>
        <v>SCHMDTSNPD</v>
      </c>
      <c r="D111" s="50">
        <f>SUMIF('Current Income Tax Expense'!$K$152:$K$280,'Results Summary (SCH M)'!$B111,'Current Income Tax Expense'!F$152:F$280)</f>
        <v>-1526070</v>
      </c>
      <c r="E111" s="42">
        <f t="shared" si="36"/>
        <v>-1526070</v>
      </c>
      <c r="F111" s="50">
        <f>SUMIF('Current Income Tax Expense'!$K$152:$K$280,'Results Summary (SCH M)'!$B111,'Current Income Tax Expense'!I$152:I$280)</f>
        <v>0</v>
      </c>
      <c r="G111" s="42">
        <f t="shared" si="37"/>
        <v>-1526070</v>
      </c>
      <c r="H111" s="50">
        <f>SUMIF('Current Income Tax Expense'!$K$152:$K$280,'Results Summary (SCH M)'!$B111,'Current Income Tax Expense'!O$152:O$280)</f>
        <v>-98293</v>
      </c>
      <c r="Q111" s="391"/>
    </row>
    <row r="112" spans="1:17" ht="12.75" customHeight="1">
      <c r="A112" s="547"/>
      <c r="B112" s="18" t="s">
        <v>10</v>
      </c>
      <c r="C112" s="413" t="str">
        <f t="shared" si="35"/>
        <v>SCHMDTSO</v>
      </c>
      <c r="D112" s="50">
        <f>SUMIF('Current Income Tax Expense'!$K$152:$K$280,'Results Summary (SCH M)'!$B112,'Current Income Tax Expense'!F$152:F$280)</f>
        <v>3063741</v>
      </c>
      <c r="E112" s="42">
        <f t="shared" si="36"/>
        <v>3063741</v>
      </c>
      <c r="F112" s="50">
        <f>SUMIF('Current Income Tax Expense'!$K$152:$K$280,'Results Summary (SCH M)'!$B112,'Current Income Tax Expense'!I$152:I$280)</f>
        <v>-12543511</v>
      </c>
      <c r="G112" s="42">
        <f t="shared" si="37"/>
        <v>-9479770</v>
      </c>
      <c r="H112" s="50">
        <f>SUMIF('Current Income Tax Expense'!$K$152:$K$280,'Results Summary (SCH M)'!$B112,'Current Income Tax Expense'!O$152:O$280)</f>
        <v>-635312</v>
      </c>
      <c r="Q112" s="391"/>
    </row>
    <row r="113" spans="1:17" ht="12.75" customHeight="1">
      <c r="A113" s="547"/>
      <c r="B113" s="17" t="s">
        <v>45</v>
      </c>
      <c r="C113" s="413" t="str">
        <f t="shared" si="35"/>
        <v>SCHMDTTAXDEPR</v>
      </c>
      <c r="D113" s="50">
        <f>SUMIF('Current Income Tax Expense'!$K$152:$K$280,'Results Summary (SCH M)'!$B113,'Current Income Tax Expense'!F$152:F$280)</f>
        <v>-590717641</v>
      </c>
      <c r="E113" s="42">
        <f t="shared" si="36"/>
        <v>-590717641</v>
      </c>
      <c r="F113" s="50">
        <f>SUMIF('Current Income Tax Expense'!$K$152:$K$280,'Results Summary (SCH M)'!$B113,'Current Income Tax Expense'!I$152:I$280)</f>
        <v>-278447609</v>
      </c>
      <c r="G113" s="42">
        <f t="shared" si="37"/>
        <v>-869165250</v>
      </c>
      <c r="H113" s="50">
        <f>SUMIF('Current Income Tax Expense'!$K$152:$K$280,'Results Summary (SCH M)'!$B113,'Current Income Tax Expense'!O$152:O$280)</f>
        <v>-55937093</v>
      </c>
      <c r="Q113" s="391"/>
    </row>
    <row r="114" spans="1:17" ht="12.75" customHeight="1">
      <c r="A114" s="548"/>
      <c r="B114" s="22" t="s">
        <v>40</v>
      </c>
      <c r="C114" s="413" t="str">
        <f t="shared" si="35"/>
        <v>SCHMDTTROJD</v>
      </c>
      <c r="D114" s="50">
        <f>SUMIF('Current Income Tax Expense'!$K$152:$K$280,'Results Summary (SCH M)'!$B114,'Current Income Tax Expense'!F$152:F$280)</f>
        <v>0</v>
      </c>
      <c r="E114" s="20">
        <f t="shared" si="36"/>
        <v>0</v>
      </c>
      <c r="F114" s="50">
        <f>SUMIF('Current Income Tax Expense'!$K$152:$K$280,'Results Summary (SCH M)'!$B114,'Current Income Tax Expense'!I$152:I$280)</f>
        <v>0</v>
      </c>
      <c r="G114" s="20">
        <f t="shared" si="37"/>
        <v>0</v>
      </c>
      <c r="H114" s="50">
        <f>SUMIF('Current Income Tax Expense'!$K$152:$K$280,'Results Summary (SCH M)'!$B114,'Current Income Tax Expense'!O$152:O$280)</f>
        <v>0</v>
      </c>
      <c r="Q114" s="391"/>
    </row>
    <row r="115" spans="1:17" ht="12.75" customHeight="1">
      <c r="A115" s="52"/>
      <c r="B115" s="48"/>
      <c r="C115" s="48"/>
      <c r="D115" s="23">
        <f t="shared" ref="D115:H115" si="41">SUBTOTAL(9,D86:D114)</f>
        <v>-921721942</v>
      </c>
      <c r="E115" s="23">
        <f t="shared" si="41"/>
        <v>-921721942</v>
      </c>
      <c r="F115" s="23">
        <f t="shared" si="41"/>
        <v>-737769909</v>
      </c>
      <c r="G115" s="23">
        <f>SUBTOTAL(9,G86:G114)</f>
        <v>-1659491851</v>
      </c>
      <c r="H115" s="23">
        <f t="shared" si="41"/>
        <v>-111221113</v>
      </c>
      <c r="Q115" s="391"/>
    </row>
    <row r="116" spans="1:17" ht="12.75" customHeight="1">
      <c r="A116" s="47"/>
      <c r="B116" s="48"/>
      <c r="C116" s="48"/>
      <c r="D116" s="23">
        <f t="shared" ref="D116:H116" si="42">SUBTOTAL(9,D60:D115)</f>
        <v>-926690415</v>
      </c>
      <c r="E116" s="23">
        <f t="shared" si="42"/>
        <v>-926690415</v>
      </c>
      <c r="F116" s="23">
        <f t="shared" si="42"/>
        <v>-740782671</v>
      </c>
      <c r="G116" s="23">
        <f t="shared" si="42"/>
        <v>-1667473086</v>
      </c>
      <c r="H116" s="23">
        <f t="shared" si="42"/>
        <v>-111825410</v>
      </c>
      <c r="Q116" s="391"/>
    </row>
    <row r="117" spans="1:17" ht="12.75" customHeight="1">
      <c r="A117" s="47"/>
      <c r="B117" s="48"/>
      <c r="C117" s="48"/>
      <c r="D117" s="23">
        <f t="shared" ref="D117:H117" si="43">SUBTOTAL(9,D3:D116)</f>
        <v>253383302</v>
      </c>
      <c r="E117" s="23">
        <f t="shared" si="43"/>
        <v>253383302</v>
      </c>
      <c r="F117" s="23">
        <f t="shared" si="43"/>
        <v>-311464948</v>
      </c>
      <c r="G117" s="23">
        <f t="shared" si="43"/>
        <v>-58081646</v>
      </c>
      <c r="H117" s="23">
        <f t="shared" si="43"/>
        <v>43287177</v>
      </c>
      <c r="Q117" s="391"/>
    </row>
    <row r="119" spans="1:17">
      <c r="A119" s="531" t="s">
        <v>747</v>
      </c>
      <c r="B119" s="535"/>
      <c r="C119" s="535"/>
      <c r="D119" s="535"/>
      <c r="E119" s="535"/>
      <c r="F119" s="535"/>
      <c r="G119" s="535"/>
      <c r="H119" s="536"/>
    </row>
    <row r="120" spans="1:17">
      <c r="A120" s="537" t="s">
        <v>338</v>
      </c>
      <c r="B120" s="195"/>
      <c r="C120" s="478"/>
      <c r="D120" s="478">
        <f>D105+D75+D48+D18</f>
        <v>16741123</v>
      </c>
      <c r="E120" s="478">
        <f t="shared" ref="E120:H120" si="44">E105+E75+E48+E18</f>
        <v>16741123</v>
      </c>
      <c r="F120" s="478">
        <f t="shared" si="44"/>
        <v>0</v>
      </c>
      <c r="G120" s="478">
        <f t="shared" si="44"/>
        <v>16741123</v>
      </c>
      <c r="H120" s="538">
        <f t="shared" si="44"/>
        <v>0</v>
      </c>
    </row>
    <row r="121" spans="1:17">
      <c r="A121" s="534" t="s">
        <v>339</v>
      </c>
      <c r="B121" s="528"/>
      <c r="C121" s="539"/>
      <c r="D121" s="539">
        <f>+D117-D120</f>
        <v>236642179</v>
      </c>
      <c r="E121" s="539">
        <f t="shared" ref="E121:H121" si="45">+E117-E120</f>
        <v>236642179</v>
      </c>
      <c r="F121" s="539">
        <f t="shared" si="45"/>
        <v>-311464948</v>
      </c>
      <c r="G121" s="539">
        <f t="shared" si="45"/>
        <v>-74822769</v>
      </c>
      <c r="H121" s="540">
        <f t="shared" si="45"/>
        <v>43287177</v>
      </c>
    </row>
    <row r="123" spans="1:17">
      <c r="H123" s="381"/>
    </row>
  </sheetData>
  <mergeCells count="4">
    <mergeCell ref="A3:A27"/>
    <mergeCell ref="A29:A57"/>
    <mergeCell ref="A60:A84"/>
    <mergeCell ref="A86:A114"/>
  </mergeCells>
  <pageMargins left="0.75" right="0.75" top="1" bottom="0.75" header="0.5" footer="0.5"/>
  <pageSetup scale="45" orientation="portrait" r:id="rId1"/>
  <headerFooter>
    <oddHeader>&amp;L&amp;"Arial,Bold"&amp;10PacifiCorp 
Washington - General Rate Case
Twelve Months Ending 
December 31, 2021</oddHeader>
    <oddFooter>&amp;L&amp;"Arial,Bold"&amp;10RESULTS SUMMARY ~ SCHEDULE M&amp;R&amp;"Arial,Bold"&amp;10Page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0"/>
  <sheetViews>
    <sheetView zoomScale="80" zoomScaleNormal="80" workbookViewId="0"/>
  </sheetViews>
  <sheetFormatPr defaultRowHeight="12.75"/>
  <cols>
    <col min="1" max="1" width="42" style="92" customWidth="1"/>
    <col min="2" max="14" width="15.7109375" style="92" customWidth="1"/>
    <col min="15" max="16384" width="9.140625" style="92"/>
  </cols>
  <sheetData>
    <row r="2" spans="1:13" ht="51">
      <c r="A2" s="443" t="s">
        <v>2</v>
      </c>
      <c r="B2" s="443" t="s">
        <v>672</v>
      </c>
      <c r="C2" s="443" t="s">
        <v>653</v>
      </c>
      <c r="D2" s="443" t="s">
        <v>663</v>
      </c>
      <c r="E2" s="443" t="s">
        <v>664</v>
      </c>
      <c r="F2" s="443" t="s">
        <v>665</v>
      </c>
      <c r="G2" s="443" t="s">
        <v>657</v>
      </c>
      <c r="H2" s="443" t="s">
        <v>666</v>
      </c>
      <c r="I2" s="443" t="s">
        <v>667</v>
      </c>
      <c r="J2" s="443" t="s">
        <v>668</v>
      </c>
      <c r="K2" s="443" t="s">
        <v>669</v>
      </c>
      <c r="L2" s="443" t="s">
        <v>670</v>
      </c>
      <c r="M2" s="443" t="s">
        <v>94</v>
      </c>
    </row>
    <row r="3" spans="1:13">
      <c r="A3" s="463"/>
      <c r="B3" s="444">
        <v>5.3</v>
      </c>
      <c r="C3" s="444">
        <v>5.5</v>
      </c>
      <c r="D3" s="444">
        <v>6.4</v>
      </c>
      <c r="E3" s="445" t="s">
        <v>633</v>
      </c>
      <c r="F3" s="444">
        <v>7.12</v>
      </c>
      <c r="G3" s="444">
        <v>8.4</v>
      </c>
      <c r="H3" s="444">
        <v>8.1199999999999992</v>
      </c>
      <c r="I3" s="444">
        <v>8.1300000000000008</v>
      </c>
      <c r="J3" s="444">
        <v>9.1</v>
      </c>
      <c r="K3" s="444">
        <v>9.1999999999999993</v>
      </c>
      <c r="L3" s="444">
        <v>9.3000000000000007</v>
      </c>
      <c r="M3" s="444"/>
    </row>
    <row r="4" spans="1:13">
      <c r="A4" s="486"/>
      <c r="B4" s="444">
        <v>41010</v>
      </c>
      <c r="C4" s="444">
        <v>41010</v>
      </c>
      <c r="D4" s="444">
        <v>41010</v>
      </c>
      <c r="E4" s="444">
        <v>41010</v>
      </c>
      <c r="F4" s="444">
        <v>41010</v>
      </c>
      <c r="G4" s="444">
        <v>41010</v>
      </c>
      <c r="H4" s="444">
        <v>41010</v>
      </c>
      <c r="I4" s="444">
        <v>41010</v>
      </c>
      <c r="J4" s="444">
        <v>41010</v>
      </c>
      <c r="K4" s="444">
        <v>41010</v>
      </c>
      <c r="L4" s="444">
        <v>41010</v>
      </c>
      <c r="M4" s="444">
        <v>41010</v>
      </c>
    </row>
    <row r="5" spans="1:13">
      <c r="A5" s="467" t="s">
        <v>17</v>
      </c>
      <c r="B5" s="447">
        <v>0</v>
      </c>
      <c r="C5" s="447">
        <v>0</v>
      </c>
      <c r="D5" s="447">
        <v>0</v>
      </c>
      <c r="E5" s="448">
        <v>0</v>
      </c>
      <c r="F5" s="447">
        <v>-129271</v>
      </c>
      <c r="G5" s="447">
        <f>243134+59488</f>
        <v>302622</v>
      </c>
      <c r="H5" s="448">
        <v>0</v>
      </c>
      <c r="I5" s="448">
        <v>0</v>
      </c>
      <c r="J5" s="448">
        <v>0</v>
      </c>
      <c r="K5" s="448">
        <v>0</v>
      </c>
      <c r="L5" s="448">
        <v>0</v>
      </c>
      <c r="M5" s="448">
        <f t="shared" ref="M5:M9" si="0">SUM(B5:L5)</f>
        <v>173351</v>
      </c>
    </row>
    <row r="6" spans="1:13">
      <c r="A6" s="467" t="s">
        <v>119</v>
      </c>
      <c r="B6" s="448">
        <v>0</v>
      </c>
      <c r="C6" s="448">
        <v>0</v>
      </c>
      <c r="D6" s="448">
        <v>0</v>
      </c>
      <c r="E6" s="448">
        <v>0</v>
      </c>
      <c r="F6" s="448">
        <v>-2933</v>
      </c>
      <c r="G6" s="448">
        <v>-2192</v>
      </c>
      <c r="H6" s="448">
        <v>0</v>
      </c>
      <c r="I6" s="448">
        <v>0</v>
      </c>
      <c r="J6" s="448">
        <v>0</v>
      </c>
      <c r="K6" s="448">
        <v>0</v>
      </c>
      <c r="L6" s="448">
        <v>0</v>
      </c>
      <c r="M6" s="448">
        <f t="shared" si="0"/>
        <v>-5125</v>
      </c>
    </row>
    <row r="7" spans="1:13">
      <c r="A7" s="467" t="s">
        <v>162</v>
      </c>
      <c r="B7" s="448">
        <v>0</v>
      </c>
      <c r="C7" s="448">
        <v>0</v>
      </c>
      <c r="D7" s="448">
        <v>0</v>
      </c>
      <c r="E7" s="448">
        <v>0</v>
      </c>
      <c r="F7" s="448">
        <f>-35502055-5392364-1991785</f>
        <v>-42886204</v>
      </c>
      <c r="G7" s="448">
        <f>881515+181491+2164644+1379385-1368972-276470</f>
        <v>2961593</v>
      </c>
      <c r="H7" s="448">
        <v>0</v>
      </c>
      <c r="I7" s="448">
        <v>0</v>
      </c>
      <c r="J7" s="448">
        <v>0</v>
      </c>
      <c r="K7" s="448">
        <v>6553841</v>
      </c>
      <c r="L7" s="448">
        <v>103611</v>
      </c>
      <c r="M7" s="448">
        <f t="shared" si="0"/>
        <v>-33267159</v>
      </c>
    </row>
    <row r="8" spans="1:13">
      <c r="A8" s="467" t="s">
        <v>160</v>
      </c>
      <c r="B8" s="448">
        <v>325158</v>
      </c>
      <c r="C8" s="448">
        <v>0</v>
      </c>
      <c r="D8" s="448">
        <v>0</v>
      </c>
      <c r="E8" s="448">
        <v>0</v>
      </c>
      <c r="F8" s="448">
        <f>-257666-3912330-839308</f>
        <v>-5009304</v>
      </c>
      <c r="G8" s="448">
        <f>384065+160681+1035367+2194601+2520121-678435</f>
        <v>5616400</v>
      </c>
      <c r="H8" s="448">
        <v>0</v>
      </c>
      <c r="I8" s="448">
        <v>0</v>
      </c>
      <c r="J8" s="448">
        <v>-115182</v>
      </c>
      <c r="K8" s="448">
        <v>1290237</v>
      </c>
      <c r="L8" s="448">
        <v>482376</v>
      </c>
      <c r="M8" s="448">
        <f t="shared" si="0"/>
        <v>2589685</v>
      </c>
    </row>
    <row r="9" spans="1:13">
      <c r="A9" s="467" t="s">
        <v>60</v>
      </c>
      <c r="B9" s="448">
        <v>0</v>
      </c>
      <c r="C9" s="448">
        <v>0</v>
      </c>
      <c r="D9" s="448">
        <v>0</v>
      </c>
      <c r="E9" s="448">
        <v>0</v>
      </c>
      <c r="F9" s="448">
        <v>-1855</v>
      </c>
      <c r="G9" s="448">
        <v>-177357</v>
      </c>
      <c r="H9" s="448">
        <v>0</v>
      </c>
      <c r="I9" s="448">
        <v>0</v>
      </c>
      <c r="J9" s="448">
        <v>0</v>
      </c>
      <c r="K9" s="448">
        <v>0</v>
      </c>
      <c r="L9" s="448">
        <v>0</v>
      </c>
      <c r="M9" s="448">
        <f t="shared" si="0"/>
        <v>-179212</v>
      </c>
    </row>
    <row r="10" spans="1:13">
      <c r="A10" s="467" t="s">
        <v>29</v>
      </c>
      <c r="B10" s="448">
        <v>0</v>
      </c>
      <c r="C10" s="448">
        <v>0</v>
      </c>
      <c r="D10" s="448">
        <v>0</v>
      </c>
      <c r="E10" s="448">
        <v>0</v>
      </c>
      <c r="F10" s="448">
        <v>-34780</v>
      </c>
      <c r="G10" s="448">
        <f>305877-722329</f>
        <v>-416452</v>
      </c>
      <c r="H10" s="448">
        <v>0</v>
      </c>
      <c r="I10" s="448">
        <v>0</v>
      </c>
      <c r="J10" s="448">
        <v>0</v>
      </c>
      <c r="K10" s="448">
        <v>0</v>
      </c>
      <c r="L10" s="448">
        <v>0</v>
      </c>
      <c r="M10" s="448">
        <f>SUM(B10:L10)</f>
        <v>-451232</v>
      </c>
    </row>
    <row r="11" spans="1:13">
      <c r="A11" s="467" t="s">
        <v>168</v>
      </c>
      <c r="B11" s="448">
        <v>0</v>
      </c>
      <c r="C11" s="448">
        <v>0</v>
      </c>
      <c r="D11" s="448">
        <v>0</v>
      </c>
      <c r="E11" s="448">
        <v>0</v>
      </c>
      <c r="F11" s="448">
        <f>42321+9816410</f>
        <v>9858731</v>
      </c>
      <c r="G11" s="448">
        <f>243739-49934-8989</f>
        <v>184816</v>
      </c>
      <c r="H11" s="448">
        <v>0</v>
      </c>
      <c r="I11" s="448">
        <v>0</v>
      </c>
      <c r="J11" s="448">
        <v>-5141</v>
      </c>
      <c r="K11" s="448">
        <v>0</v>
      </c>
      <c r="L11" s="448">
        <v>7613</v>
      </c>
      <c r="M11" s="448">
        <f t="shared" ref="M11:M17" si="1">SUM(B11:L11)</f>
        <v>10046019</v>
      </c>
    </row>
    <row r="12" spans="1:13">
      <c r="A12" s="467" t="s">
        <v>30</v>
      </c>
      <c r="B12" s="448">
        <v>0</v>
      </c>
      <c r="C12" s="448">
        <v>0</v>
      </c>
      <c r="D12" s="448">
        <v>0</v>
      </c>
      <c r="E12" s="448">
        <v>0</v>
      </c>
      <c r="F12" s="448">
        <v>-711361</v>
      </c>
      <c r="G12" s="448">
        <f>1192807-508297</f>
        <v>684510</v>
      </c>
      <c r="H12" s="448">
        <v>0</v>
      </c>
      <c r="I12" s="448">
        <v>0</v>
      </c>
      <c r="J12" s="448">
        <v>0</v>
      </c>
      <c r="K12" s="448">
        <v>0</v>
      </c>
      <c r="L12" s="448">
        <v>0</v>
      </c>
      <c r="M12" s="448">
        <f t="shared" si="1"/>
        <v>-26851</v>
      </c>
    </row>
    <row r="13" spans="1:13">
      <c r="A13" s="467" t="s">
        <v>19</v>
      </c>
      <c r="B13" s="448">
        <v>0</v>
      </c>
      <c r="C13" s="448">
        <f>327692-2225</f>
        <v>325467</v>
      </c>
      <c r="D13" s="448">
        <v>0</v>
      </c>
      <c r="E13" s="448">
        <f>390672-18934922-3408849</f>
        <v>-21953099</v>
      </c>
      <c r="F13" s="448">
        <v>-489587</v>
      </c>
      <c r="G13" s="448">
        <v>1236299</v>
      </c>
      <c r="H13" s="448">
        <v>9862218</v>
      </c>
      <c r="I13" s="448">
        <v>87179805</v>
      </c>
      <c r="J13" s="448">
        <v>-1954559</v>
      </c>
      <c r="K13" s="448">
        <v>-7844078</v>
      </c>
      <c r="L13" s="448">
        <v>-593600</v>
      </c>
      <c r="M13" s="448">
        <f t="shared" si="1"/>
        <v>65768866</v>
      </c>
    </row>
    <row r="14" spans="1:13">
      <c r="A14" s="467" t="s">
        <v>10</v>
      </c>
      <c r="B14" s="448">
        <v>0</v>
      </c>
      <c r="C14" s="448">
        <v>0</v>
      </c>
      <c r="D14" s="448">
        <v>0</v>
      </c>
      <c r="E14" s="448">
        <v>0</v>
      </c>
      <c r="F14" s="448">
        <v>-496486</v>
      </c>
      <c r="G14" s="448">
        <f>3429572-1211133</f>
        <v>2218439</v>
      </c>
      <c r="H14" s="448">
        <v>0</v>
      </c>
      <c r="I14" s="448">
        <v>0</v>
      </c>
      <c r="J14" s="448">
        <v>-48584</v>
      </c>
      <c r="K14" s="448">
        <v>0</v>
      </c>
      <c r="L14" s="448">
        <v>0</v>
      </c>
      <c r="M14" s="448">
        <f t="shared" si="1"/>
        <v>1673369</v>
      </c>
    </row>
    <row r="15" spans="1:13">
      <c r="A15" s="467" t="s">
        <v>28</v>
      </c>
      <c r="B15" s="448">
        <v>0</v>
      </c>
      <c r="C15" s="448">
        <v>0</v>
      </c>
      <c r="D15" s="448">
        <v>0</v>
      </c>
      <c r="E15" s="448">
        <v>0</v>
      </c>
      <c r="F15" s="448">
        <v>-982330</v>
      </c>
      <c r="G15" s="448">
        <f>3043820-6331498</f>
        <v>-3287678</v>
      </c>
      <c r="H15" s="448">
        <v>0</v>
      </c>
      <c r="I15" s="448">
        <v>0</v>
      </c>
      <c r="J15" s="448">
        <v>0</v>
      </c>
      <c r="K15" s="448">
        <v>0</v>
      </c>
      <c r="L15" s="448">
        <v>0</v>
      </c>
      <c r="M15" s="448">
        <f t="shared" si="1"/>
        <v>-4270008</v>
      </c>
    </row>
    <row r="16" spans="1:13">
      <c r="A16" s="467" t="s">
        <v>26</v>
      </c>
      <c r="B16" s="448">
        <v>0</v>
      </c>
      <c r="C16" s="448">
        <v>0</v>
      </c>
      <c r="D16" s="448">
        <v>0</v>
      </c>
      <c r="E16" s="448">
        <v>0</v>
      </c>
      <c r="F16" s="448">
        <f>-27411</f>
        <v>-27411</v>
      </c>
      <c r="G16" s="448">
        <f>214103-105091</f>
        <v>109012</v>
      </c>
      <c r="H16" s="448">
        <v>0</v>
      </c>
      <c r="I16" s="448">
        <v>0</v>
      </c>
      <c r="J16" s="448">
        <v>-2387</v>
      </c>
      <c r="K16" s="448">
        <v>0</v>
      </c>
      <c r="L16" s="448">
        <v>0</v>
      </c>
      <c r="M16" s="448">
        <f t="shared" si="1"/>
        <v>79214</v>
      </c>
    </row>
    <row r="17" spans="1:14">
      <c r="A17" s="470" t="s">
        <v>32</v>
      </c>
      <c r="B17" s="450">
        <v>0</v>
      </c>
      <c r="C17" s="450">
        <v>0</v>
      </c>
      <c r="D17" s="450">
        <v>0</v>
      </c>
      <c r="E17" s="448">
        <v>0</v>
      </c>
      <c r="F17" s="450">
        <v>218416</v>
      </c>
      <c r="G17" s="450">
        <f>462830-751696</f>
        <v>-288866</v>
      </c>
      <c r="H17" s="448">
        <v>0</v>
      </c>
      <c r="I17" s="448">
        <v>0</v>
      </c>
      <c r="J17" s="448">
        <v>0</v>
      </c>
      <c r="K17" s="448">
        <v>0</v>
      </c>
      <c r="L17" s="448">
        <v>0</v>
      </c>
      <c r="M17" s="448">
        <f t="shared" si="1"/>
        <v>-70450</v>
      </c>
    </row>
    <row r="18" spans="1:14">
      <c r="A18" s="469" t="s">
        <v>678</v>
      </c>
      <c r="B18" s="456">
        <f t="shared" ref="B18:K18" si="2">SUM(B5:B17)</f>
        <v>325158</v>
      </c>
      <c r="C18" s="456">
        <f t="shared" si="2"/>
        <v>325467</v>
      </c>
      <c r="D18" s="456">
        <f t="shared" si="2"/>
        <v>0</v>
      </c>
      <c r="E18" s="456">
        <f t="shared" si="2"/>
        <v>-21953099</v>
      </c>
      <c r="F18" s="456">
        <f t="shared" si="2"/>
        <v>-40694375</v>
      </c>
      <c r="G18" s="456">
        <f t="shared" si="2"/>
        <v>9141146</v>
      </c>
      <c r="H18" s="456">
        <f t="shared" si="2"/>
        <v>9862218</v>
      </c>
      <c r="I18" s="456">
        <f t="shared" si="2"/>
        <v>87179805</v>
      </c>
      <c r="J18" s="456">
        <f t="shared" si="2"/>
        <v>-2125853</v>
      </c>
      <c r="K18" s="456">
        <f t="shared" si="2"/>
        <v>0</v>
      </c>
      <c r="L18" s="456">
        <f t="shared" ref="L18" si="3">SUM(L5:L17)</f>
        <v>0</v>
      </c>
      <c r="M18" s="456">
        <f>SUM(M5:M17)</f>
        <v>42060467</v>
      </c>
    </row>
    <row r="20" spans="1:14">
      <c r="A20" s="471" t="s">
        <v>45</v>
      </c>
      <c r="B20" s="447">
        <v>0</v>
      </c>
      <c r="C20" s="447">
        <v>0</v>
      </c>
      <c r="D20" s="447">
        <v>0</v>
      </c>
      <c r="E20" s="447">
        <v>0</v>
      </c>
      <c r="F20" s="447">
        <v>68460800</v>
      </c>
      <c r="G20" s="447">
        <v>0</v>
      </c>
      <c r="H20" s="447">
        <v>0</v>
      </c>
      <c r="I20" s="447">
        <v>0</v>
      </c>
      <c r="J20" s="447">
        <v>0</v>
      </c>
      <c r="K20" s="447">
        <v>0</v>
      </c>
      <c r="L20" s="447">
        <v>0</v>
      </c>
      <c r="M20" s="447">
        <f>SUM(B20:L20)</f>
        <v>68460800</v>
      </c>
    </row>
    <row r="21" spans="1:14">
      <c r="A21" s="472" t="s">
        <v>713</v>
      </c>
      <c r="B21" s="448">
        <v>0</v>
      </c>
      <c r="C21" s="448">
        <v>0</v>
      </c>
      <c r="D21" s="448">
        <v>0</v>
      </c>
      <c r="E21" s="448">
        <v>0</v>
      </c>
      <c r="F21" s="448">
        <f>1652647-964865</f>
        <v>687782</v>
      </c>
      <c r="G21" s="448">
        <v>0</v>
      </c>
      <c r="H21" s="448">
        <v>0</v>
      </c>
      <c r="I21" s="448">
        <v>0</v>
      </c>
      <c r="J21" s="448">
        <v>0</v>
      </c>
      <c r="K21" s="448">
        <v>0</v>
      </c>
      <c r="L21" s="448">
        <v>0</v>
      </c>
      <c r="M21" s="448">
        <f>SUM(B21:L21)</f>
        <v>687782</v>
      </c>
    </row>
    <row r="22" spans="1:14">
      <c r="A22" s="472" t="s">
        <v>712</v>
      </c>
      <c r="B22" s="448">
        <v>0</v>
      </c>
      <c r="C22" s="448">
        <v>0</v>
      </c>
      <c r="D22" s="448">
        <v>0</v>
      </c>
      <c r="E22" s="448">
        <v>0</v>
      </c>
      <c r="F22" s="448">
        <v>964865</v>
      </c>
      <c r="G22" s="448">
        <v>0</v>
      </c>
      <c r="H22" s="448">
        <v>0</v>
      </c>
      <c r="I22" s="448">
        <v>0</v>
      </c>
      <c r="J22" s="448">
        <v>0</v>
      </c>
      <c r="K22" s="448">
        <v>0</v>
      </c>
      <c r="L22" s="448">
        <v>0</v>
      </c>
      <c r="M22" s="448">
        <f t="shared" ref="M22:M23" si="4">SUM(B22:L22)</f>
        <v>964865</v>
      </c>
    </row>
    <row r="23" spans="1:14">
      <c r="A23" s="468" t="s">
        <v>750</v>
      </c>
      <c r="B23" s="450">
        <v>0</v>
      </c>
      <c r="C23" s="450">
        <v>0</v>
      </c>
      <c r="D23" s="450">
        <v>0</v>
      </c>
      <c r="E23" s="450">
        <v>0</v>
      </c>
      <c r="F23" s="450">
        <v>0</v>
      </c>
      <c r="G23" s="450">
        <v>0</v>
      </c>
      <c r="H23" s="450">
        <v>10798</v>
      </c>
      <c r="I23" s="450">
        <v>31211</v>
      </c>
      <c r="J23" s="450">
        <v>0</v>
      </c>
      <c r="K23" s="450">
        <v>0</v>
      </c>
      <c r="L23" s="450">
        <v>0</v>
      </c>
      <c r="M23" s="448">
        <f t="shared" si="4"/>
        <v>42009</v>
      </c>
    </row>
    <row r="24" spans="1:14">
      <c r="A24" s="469" t="s">
        <v>680</v>
      </c>
      <c r="B24" s="456">
        <f>B18+B20+B21+B22+B23</f>
        <v>325158</v>
      </c>
      <c r="C24" s="456">
        <f t="shared" ref="C24:M24" si="5">C18+C20+C21+C22+C23</f>
        <v>325467</v>
      </c>
      <c r="D24" s="456">
        <f t="shared" si="5"/>
        <v>0</v>
      </c>
      <c r="E24" s="456">
        <f t="shared" si="5"/>
        <v>-21953099</v>
      </c>
      <c r="F24" s="456">
        <f t="shared" si="5"/>
        <v>29419072</v>
      </c>
      <c r="G24" s="456">
        <f t="shared" si="5"/>
        <v>9141146</v>
      </c>
      <c r="H24" s="456">
        <f t="shared" si="5"/>
        <v>9873016</v>
      </c>
      <c r="I24" s="456">
        <f t="shared" si="5"/>
        <v>87211016</v>
      </c>
      <c r="J24" s="456">
        <f t="shared" si="5"/>
        <v>-2125853</v>
      </c>
      <c r="K24" s="456">
        <f t="shared" si="5"/>
        <v>0</v>
      </c>
      <c r="L24" s="456">
        <f t="shared" si="5"/>
        <v>0</v>
      </c>
      <c r="M24" s="456">
        <f t="shared" si="5"/>
        <v>112215923</v>
      </c>
    </row>
    <row r="28" spans="1:14" ht="51">
      <c r="A28" s="443" t="s">
        <v>659</v>
      </c>
      <c r="B28" s="443" t="s">
        <v>672</v>
      </c>
      <c r="C28" s="443" t="s">
        <v>653</v>
      </c>
      <c r="D28" s="443" t="s">
        <v>663</v>
      </c>
      <c r="E28" s="443" t="s">
        <v>664</v>
      </c>
      <c r="F28" s="443" t="s">
        <v>665</v>
      </c>
      <c r="G28" s="443" t="s">
        <v>657</v>
      </c>
      <c r="H28" s="443" t="s">
        <v>666</v>
      </c>
      <c r="I28" s="443" t="s">
        <v>667</v>
      </c>
      <c r="J28" s="443" t="s">
        <v>668</v>
      </c>
      <c r="K28" s="443" t="s">
        <v>669</v>
      </c>
      <c r="L28" s="443" t="s">
        <v>670</v>
      </c>
      <c r="M28" s="443" t="s">
        <v>94</v>
      </c>
      <c r="N28" s="443" t="s">
        <v>717</v>
      </c>
    </row>
    <row r="29" spans="1:14">
      <c r="A29" s="463"/>
      <c r="B29" s="444">
        <v>5.3</v>
      </c>
      <c r="C29" s="444">
        <v>5.5</v>
      </c>
      <c r="D29" s="444">
        <v>6.4</v>
      </c>
      <c r="E29" s="445" t="s">
        <v>633</v>
      </c>
      <c r="F29" s="444">
        <v>7.12</v>
      </c>
      <c r="G29" s="444">
        <v>8.4</v>
      </c>
      <c r="H29" s="444">
        <v>8.1199999999999992</v>
      </c>
      <c r="I29" s="444">
        <v>8.1300000000000008</v>
      </c>
      <c r="J29" s="444">
        <v>9.1</v>
      </c>
      <c r="K29" s="444">
        <v>9.1999999999999993</v>
      </c>
      <c r="L29" s="444">
        <v>9.3000000000000007</v>
      </c>
      <c r="M29" s="444"/>
      <c r="N29" s="463"/>
    </row>
    <row r="30" spans="1:14">
      <c r="A30" s="486"/>
      <c r="B30" s="444">
        <v>41010</v>
      </c>
      <c r="C30" s="444">
        <v>41010</v>
      </c>
      <c r="D30" s="444">
        <v>41010</v>
      </c>
      <c r="E30" s="444">
        <v>41010</v>
      </c>
      <c r="F30" s="444">
        <v>41010</v>
      </c>
      <c r="G30" s="444">
        <v>41010</v>
      </c>
      <c r="H30" s="444">
        <v>41010</v>
      </c>
      <c r="I30" s="444">
        <v>41010</v>
      </c>
      <c r="J30" s="444">
        <v>41010</v>
      </c>
      <c r="K30" s="444">
        <v>41010</v>
      </c>
      <c r="L30" s="444">
        <v>41010</v>
      </c>
      <c r="M30" s="444">
        <v>41010</v>
      </c>
      <c r="N30" s="444">
        <v>41010</v>
      </c>
    </row>
    <row r="31" spans="1:14">
      <c r="A31" s="467" t="s">
        <v>17</v>
      </c>
      <c r="B31" s="447">
        <v>0</v>
      </c>
      <c r="C31" s="447">
        <v>0</v>
      </c>
      <c r="D31" s="447">
        <v>0</v>
      </c>
      <c r="E31" s="448">
        <v>0</v>
      </c>
      <c r="F31" s="447">
        <v>0</v>
      </c>
      <c r="G31" s="447">
        <v>0</v>
      </c>
      <c r="H31" s="448">
        <v>0</v>
      </c>
      <c r="I31" s="448">
        <v>0</v>
      </c>
      <c r="J31" s="448">
        <v>0</v>
      </c>
      <c r="K31" s="448">
        <v>0</v>
      </c>
      <c r="L31" s="448">
        <v>0</v>
      </c>
      <c r="M31" s="448">
        <f t="shared" ref="M31:M35" si="6">SUM(B31:L31)</f>
        <v>0</v>
      </c>
      <c r="N31" s="473">
        <v>0</v>
      </c>
    </row>
    <row r="32" spans="1:14">
      <c r="A32" s="467" t="s">
        <v>119</v>
      </c>
      <c r="B32" s="448">
        <v>0</v>
      </c>
      <c r="C32" s="448">
        <v>0</v>
      </c>
      <c r="D32" s="448">
        <v>0</v>
      </c>
      <c r="E32" s="448">
        <v>0</v>
      </c>
      <c r="F32" s="448">
        <v>0</v>
      </c>
      <c r="G32" s="448">
        <v>0</v>
      </c>
      <c r="H32" s="448">
        <v>0</v>
      </c>
      <c r="I32" s="448">
        <v>0</v>
      </c>
      <c r="J32" s="448">
        <v>0</v>
      </c>
      <c r="K32" s="448">
        <v>0</v>
      </c>
      <c r="L32" s="448">
        <v>0</v>
      </c>
      <c r="M32" s="448">
        <f t="shared" si="6"/>
        <v>0</v>
      </c>
      <c r="N32" s="464">
        <v>0</v>
      </c>
    </row>
    <row r="33" spans="1:14">
      <c r="A33" s="467" t="s">
        <v>162</v>
      </c>
      <c r="B33" s="448">
        <v>0</v>
      </c>
      <c r="C33" s="448">
        <v>0</v>
      </c>
      <c r="D33" s="448">
        <v>0</v>
      </c>
      <c r="E33" s="448">
        <v>0</v>
      </c>
      <c r="F33" s="448">
        <v>0</v>
      </c>
      <c r="G33" s="448">
        <v>0</v>
      </c>
      <c r="H33" s="448">
        <v>0</v>
      </c>
      <c r="I33" s="448">
        <v>0</v>
      </c>
      <c r="J33" s="448">
        <v>0</v>
      </c>
      <c r="K33" s="448">
        <v>0</v>
      </c>
      <c r="L33" s="448">
        <v>0</v>
      </c>
      <c r="M33" s="448">
        <f t="shared" si="6"/>
        <v>0</v>
      </c>
      <c r="N33" s="464">
        <v>0</v>
      </c>
    </row>
    <row r="34" spans="1:14">
      <c r="A34" s="467" t="s">
        <v>160</v>
      </c>
      <c r="B34" s="448">
        <f>ROUND(B8*$N$34,0)</f>
        <v>70160</v>
      </c>
      <c r="C34" s="448">
        <f t="shared" ref="C34:L34" si="7">ROUND(C8*$N$34,0)</f>
        <v>0</v>
      </c>
      <c r="D34" s="448">
        <f t="shared" si="7"/>
        <v>0</v>
      </c>
      <c r="E34" s="448">
        <f t="shared" si="7"/>
        <v>0</v>
      </c>
      <c r="F34" s="448">
        <f t="shared" si="7"/>
        <v>-1080867</v>
      </c>
      <c r="G34" s="448">
        <f t="shared" si="7"/>
        <v>1211861</v>
      </c>
      <c r="H34" s="448">
        <f t="shared" si="7"/>
        <v>0</v>
      </c>
      <c r="I34" s="448">
        <f t="shared" si="7"/>
        <v>0</v>
      </c>
      <c r="J34" s="448">
        <f t="shared" si="7"/>
        <v>-24853</v>
      </c>
      <c r="K34" s="448">
        <f t="shared" si="7"/>
        <v>278397</v>
      </c>
      <c r="L34" s="448">
        <f t="shared" si="7"/>
        <v>104083</v>
      </c>
      <c r="M34" s="448">
        <f t="shared" si="6"/>
        <v>558781</v>
      </c>
      <c r="N34" s="464">
        <f>VLOOKUP(A34,'Allocation Factors'!$B$3:$N$89,5,FALSE)</f>
        <v>0.21577192756641544</v>
      </c>
    </row>
    <row r="35" spans="1:14">
      <c r="A35" s="467" t="s">
        <v>60</v>
      </c>
      <c r="B35" s="448">
        <f>ROUND(B9*$N$35,0)</f>
        <v>0</v>
      </c>
      <c r="C35" s="448">
        <f t="shared" ref="C35:L35" si="8">ROUND(C9*$N$35,0)</f>
        <v>0</v>
      </c>
      <c r="D35" s="448">
        <f t="shared" si="8"/>
        <v>0</v>
      </c>
      <c r="E35" s="448">
        <f t="shared" si="8"/>
        <v>0</v>
      </c>
      <c r="F35" s="448">
        <f t="shared" si="8"/>
        <v>-129</v>
      </c>
      <c r="G35" s="448">
        <f t="shared" si="8"/>
        <v>-12302</v>
      </c>
      <c r="H35" s="448">
        <f t="shared" si="8"/>
        <v>0</v>
      </c>
      <c r="I35" s="448">
        <f t="shared" si="8"/>
        <v>0</v>
      </c>
      <c r="J35" s="448">
        <f t="shared" si="8"/>
        <v>0</v>
      </c>
      <c r="K35" s="448">
        <f t="shared" si="8"/>
        <v>0</v>
      </c>
      <c r="L35" s="448">
        <f t="shared" si="8"/>
        <v>0</v>
      </c>
      <c r="M35" s="448">
        <f t="shared" si="6"/>
        <v>-12431</v>
      </c>
      <c r="N35" s="464">
        <f>VLOOKUP(A35,'Allocation Factors'!$B$3:$N$89,5,FALSE)</f>
        <v>6.9360885492844845E-2</v>
      </c>
    </row>
    <row r="36" spans="1:14">
      <c r="A36" s="467" t="s">
        <v>29</v>
      </c>
      <c r="B36" s="448">
        <v>0</v>
      </c>
      <c r="C36" s="448">
        <v>0</v>
      </c>
      <c r="D36" s="448">
        <v>0</v>
      </c>
      <c r="E36" s="448">
        <v>0</v>
      </c>
      <c r="F36" s="448">
        <v>0</v>
      </c>
      <c r="G36" s="448">
        <v>0</v>
      </c>
      <c r="H36" s="448">
        <v>0</v>
      </c>
      <c r="I36" s="448">
        <v>0</v>
      </c>
      <c r="J36" s="448">
        <v>0</v>
      </c>
      <c r="K36" s="448">
        <v>0</v>
      </c>
      <c r="L36" s="448">
        <v>0</v>
      </c>
      <c r="M36" s="448">
        <f>SUM(B36:L36)</f>
        <v>0</v>
      </c>
      <c r="N36" s="464">
        <v>0</v>
      </c>
    </row>
    <row r="37" spans="1:14">
      <c r="A37" s="467" t="s">
        <v>168</v>
      </c>
      <c r="B37" s="448">
        <f>ROUND(B11*$N$37,0)</f>
        <v>0</v>
      </c>
      <c r="C37" s="448">
        <f t="shared" ref="C37:L37" si="9">ROUND(C11*$N$37,0)</f>
        <v>0</v>
      </c>
      <c r="D37" s="448">
        <f t="shared" si="9"/>
        <v>0</v>
      </c>
      <c r="E37" s="448">
        <f t="shared" si="9"/>
        <v>0</v>
      </c>
      <c r="F37" s="448">
        <f t="shared" si="9"/>
        <v>2127237</v>
      </c>
      <c r="G37" s="448">
        <f t="shared" si="9"/>
        <v>39878</v>
      </c>
      <c r="H37" s="448">
        <f t="shared" si="9"/>
        <v>0</v>
      </c>
      <c r="I37" s="448">
        <f t="shared" si="9"/>
        <v>0</v>
      </c>
      <c r="J37" s="448">
        <f t="shared" si="9"/>
        <v>-1109</v>
      </c>
      <c r="K37" s="448">
        <f t="shared" si="9"/>
        <v>0</v>
      </c>
      <c r="L37" s="448">
        <f t="shared" si="9"/>
        <v>1643</v>
      </c>
      <c r="M37" s="448">
        <f t="shared" ref="M37:M43" si="10">SUM(B37:L37)</f>
        <v>2167649</v>
      </c>
      <c r="N37" s="464">
        <f>VLOOKUP(A37,'Allocation Factors'!$B$3:$N$89,5,FALSE)</f>
        <v>0.21577192756641544</v>
      </c>
    </row>
    <row r="38" spans="1:14">
      <c r="A38" s="467" t="s">
        <v>30</v>
      </c>
      <c r="B38" s="448">
        <v>0</v>
      </c>
      <c r="C38" s="448">
        <v>0</v>
      </c>
      <c r="D38" s="448">
        <v>0</v>
      </c>
      <c r="E38" s="448">
        <v>0</v>
      </c>
      <c r="F38" s="448">
        <v>0</v>
      </c>
      <c r="G38" s="448">
        <v>0</v>
      </c>
      <c r="H38" s="448">
        <v>0</v>
      </c>
      <c r="I38" s="448">
        <v>0</v>
      </c>
      <c r="J38" s="448">
        <v>0</v>
      </c>
      <c r="K38" s="448">
        <v>0</v>
      </c>
      <c r="L38" s="448">
        <v>0</v>
      </c>
      <c r="M38" s="448">
        <f t="shared" si="10"/>
        <v>0</v>
      </c>
      <c r="N38" s="464">
        <v>0</v>
      </c>
    </row>
    <row r="39" spans="1:14">
      <c r="A39" s="467" t="s">
        <v>19</v>
      </c>
      <c r="B39" s="448">
        <f>ROUND(B13*$N$39,0)</f>
        <v>0</v>
      </c>
      <c r="C39" s="448">
        <f t="shared" ref="C39:L39" si="11">ROUND(C13*$N$39,0)</f>
        <v>25423</v>
      </c>
      <c r="D39" s="448">
        <f t="shared" si="11"/>
        <v>0</v>
      </c>
      <c r="E39" s="448">
        <f t="shared" si="11"/>
        <v>-1714779</v>
      </c>
      <c r="F39" s="448">
        <f t="shared" si="11"/>
        <v>-38242</v>
      </c>
      <c r="G39" s="448">
        <f t="shared" si="11"/>
        <v>96569</v>
      </c>
      <c r="H39" s="448">
        <f t="shared" si="11"/>
        <v>770348</v>
      </c>
      <c r="I39" s="448">
        <f t="shared" si="11"/>
        <v>6809705</v>
      </c>
      <c r="J39" s="448">
        <f t="shared" si="11"/>
        <v>-152673</v>
      </c>
      <c r="K39" s="448">
        <f t="shared" si="11"/>
        <v>-612709</v>
      </c>
      <c r="L39" s="448">
        <f t="shared" si="11"/>
        <v>-46367</v>
      </c>
      <c r="M39" s="448">
        <f t="shared" si="10"/>
        <v>5137275</v>
      </c>
      <c r="N39" s="464">
        <f>VLOOKUP(A39,'Allocation Factors'!$B$3:$N$89,5,FALSE)</f>
        <v>7.8111041399714837E-2</v>
      </c>
    </row>
    <row r="40" spans="1:14">
      <c r="A40" s="467" t="s">
        <v>10</v>
      </c>
      <c r="B40" s="448">
        <f>ROUND(B14*$N$40,0)</f>
        <v>0</v>
      </c>
      <c r="C40" s="448">
        <f t="shared" ref="C40:L40" si="12">ROUND(C14*$N$40,0)</f>
        <v>0</v>
      </c>
      <c r="D40" s="448">
        <f t="shared" si="12"/>
        <v>0</v>
      </c>
      <c r="E40" s="448">
        <f t="shared" si="12"/>
        <v>0</v>
      </c>
      <c r="F40" s="448">
        <f t="shared" si="12"/>
        <v>-33273</v>
      </c>
      <c r="G40" s="448">
        <f t="shared" si="12"/>
        <v>148675</v>
      </c>
      <c r="H40" s="448">
        <f t="shared" si="12"/>
        <v>0</v>
      </c>
      <c r="I40" s="448">
        <f t="shared" si="12"/>
        <v>0</v>
      </c>
      <c r="J40" s="448">
        <f t="shared" si="12"/>
        <v>-3256</v>
      </c>
      <c r="K40" s="448">
        <f t="shared" si="12"/>
        <v>0</v>
      </c>
      <c r="L40" s="448">
        <f t="shared" si="12"/>
        <v>0</v>
      </c>
      <c r="M40" s="448">
        <f t="shared" si="10"/>
        <v>112146</v>
      </c>
      <c r="N40" s="464">
        <f>VLOOKUP(A40,'Allocation Factors'!$B$3:$N$89,5,FALSE)</f>
        <v>6.7017620954721469E-2</v>
      </c>
    </row>
    <row r="41" spans="1:14">
      <c r="A41" s="467" t="s">
        <v>28</v>
      </c>
      <c r="B41" s="448">
        <v>0</v>
      </c>
      <c r="C41" s="448">
        <v>0</v>
      </c>
      <c r="D41" s="448">
        <v>0</v>
      </c>
      <c r="E41" s="448">
        <v>0</v>
      </c>
      <c r="F41" s="448">
        <v>0</v>
      </c>
      <c r="G41" s="448">
        <v>0</v>
      </c>
      <c r="H41" s="448">
        <v>0</v>
      </c>
      <c r="I41" s="448">
        <v>0</v>
      </c>
      <c r="J41" s="448">
        <v>0</v>
      </c>
      <c r="K41" s="448">
        <v>0</v>
      </c>
      <c r="L41" s="448">
        <v>0</v>
      </c>
      <c r="M41" s="448">
        <f t="shared" si="10"/>
        <v>0</v>
      </c>
      <c r="N41" s="464">
        <v>0</v>
      </c>
    </row>
    <row r="42" spans="1:14">
      <c r="A42" s="467" t="s">
        <v>26</v>
      </c>
      <c r="B42" s="448">
        <v>0</v>
      </c>
      <c r="C42" s="448">
        <v>0</v>
      </c>
      <c r="D42" s="448">
        <v>0</v>
      </c>
      <c r="E42" s="448">
        <v>0</v>
      </c>
      <c r="F42" s="448">
        <f>-27411</f>
        <v>-27411</v>
      </c>
      <c r="G42" s="448">
        <f>214103-105091</f>
        <v>109012</v>
      </c>
      <c r="H42" s="448">
        <v>0</v>
      </c>
      <c r="I42" s="448">
        <v>0</v>
      </c>
      <c r="J42" s="448">
        <v>-2387</v>
      </c>
      <c r="K42" s="448">
        <v>0</v>
      </c>
      <c r="L42" s="448">
        <v>0</v>
      </c>
      <c r="M42" s="448">
        <f t="shared" si="10"/>
        <v>79214</v>
      </c>
      <c r="N42" s="464">
        <f>VLOOKUP(A42,'Allocation Factors'!$B$3:$N$89,5,FALSE)</f>
        <v>1</v>
      </c>
    </row>
    <row r="43" spans="1:14">
      <c r="A43" s="470" t="s">
        <v>32</v>
      </c>
      <c r="B43" s="450">
        <v>0</v>
      </c>
      <c r="C43" s="450">
        <v>0</v>
      </c>
      <c r="D43" s="450">
        <v>0</v>
      </c>
      <c r="E43" s="448">
        <v>0</v>
      </c>
      <c r="F43" s="450">
        <v>0</v>
      </c>
      <c r="G43" s="450">
        <v>0</v>
      </c>
      <c r="H43" s="448">
        <v>0</v>
      </c>
      <c r="I43" s="448">
        <v>0</v>
      </c>
      <c r="J43" s="448">
        <v>0</v>
      </c>
      <c r="K43" s="448">
        <v>0</v>
      </c>
      <c r="L43" s="448">
        <v>0</v>
      </c>
      <c r="M43" s="448">
        <f t="shared" si="10"/>
        <v>0</v>
      </c>
      <c r="N43" s="474">
        <v>0</v>
      </c>
    </row>
    <row r="44" spans="1:14">
      <c r="A44" s="475" t="s">
        <v>678</v>
      </c>
      <c r="B44" s="461">
        <f t="shared" ref="B44:K44" si="13">SUM(B31:B43)</f>
        <v>70160</v>
      </c>
      <c r="C44" s="461">
        <f t="shared" si="13"/>
        <v>25423</v>
      </c>
      <c r="D44" s="476">
        <f t="shared" si="13"/>
        <v>0</v>
      </c>
      <c r="E44" s="461">
        <f t="shared" si="13"/>
        <v>-1714779</v>
      </c>
      <c r="F44" s="461">
        <f t="shared" si="13"/>
        <v>947315</v>
      </c>
      <c r="G44" s="461">
        <f t="shared" si="13"/>
        <v>1593693</v>
      </c>
      <c r="H44" s="461">
        <f t="shared" si="13"/>
        <v>770348</v>
      </c>
      <c r="I44" s="461">
        <f t="shared" si="13"/>
        <v>6809705</v>
      </c>
      <c r="J44" s="461">
        <f t="shared" si="13"/>
        <v>-184278</v>
      </c>
      <c r="K44" s="477">
        <f t="shared" si="13"/>
        <v>-334312</v>
      </c>
      <c r="L44" s="477">
        <f t="shared" ref="L44" si="14">SUM(L31:L43)</f>
        <v>59359</v>
      </c>
      <c r="M44" s="461">
        <f>SUM(M31:M43)</f>
        <v>8042634</v>
      </c>
      <c r="N44" s="545"/>
    </row>
    <row r="45" spans="1:14">
      <c r="N45" s="181"/>
    </row>
    <row r="46" spans="1:14">
      <c r="A46" s="471" t="s">
        <v>45</v>
      </c>
      <c r="B46" s="447">
        <f t="shared" ref="B46:L46" si="15">ROUND(B20*$N$46,0)</f>
        <v>0</v>
      </c>
      <c r="C46" s="447">
        <f t="shared" si="15"/>
        <v>0</v>
      </c>
      <c r="D46" s="447">
        <f t="shared" si="15"/>
        <v>0</v>
      </c>
      <c r="E46" s="447">
        <f t="shared" si="15"/>
        <v>0</v>
      </c>
      <c r="F46" s="447">
        <f t="shared" si="15"/>
        <v>4405949</v>
      </c>
      <c r="G46" s="447">
        <f t="shared" si="15"/>
        <v>0</v>
      </c>
      <c r="H46" s="447">
        <f t="shared" si="15"/>
        <v>0</v>
      </c>
      <c r="I46" s="447">
        <f t="shared" si="15"/>
        <v>0</v>
      </c>
      <c r="J46" s="447">
        <f t="shared" si="15"/>
        <v>0</v>
      </c>
      <c r="K46" s="447">
        <f t="shared" si="15"/>
        <v>0</v>
      </c>
      <c r="L46" s="447">
        <f t="shared" si="15"/>
        <v>0</v>
      </c>
      <c r="M46" s="541">
        <f>SUM(B46:L46)</f>
        <v>4405949</v>
      </c>
      <c r="N46" s="473">
        <f>VLOOKUP(A46,'Allocation Factors'!$B$3:$N$89,5,FALSE)</f>
        <v>6.4357257992723779E-2</v>
      </c>
    </row>
    <row r="47" spans="1:14">
      <c r="A47" s="472" t="s">
        <v>713</v>
      </c>
      <c r="B47" s="448">
        <v>0</v>
      </c>
      <c r="C47" s="448">
        <v>0</v>
      </c>
      <c r="D47" s="448">
        <v>0</v>
      </c>
      <c r="E47" s="448">
        <v>0</v>
      </c>
      <c r="F47" s="448">
        <f>1652647-F48</f>
        <v>687782</v>
      </c>
      <c r="G47" s="448">
        <v>0</v>
      </c>
      <c r="H47" s="448">
        <v>0</v>
      </c>
      <c r="I47" s="448">
        <v>0</v>
      </c>
      <c r="J47" s="448">
        <v>0</v>
      </c>
      <c r="K47" s="448">
        <v>0</v>
      </c>
      <c r="L47" s="448">
        <v>0</v>
      </c>
      <c r="M47" s="542">
        <f>SUM(B47:L47)</f>
        <v>687782</v>
      </c>
      <c r="N47" s="464">
        <v>1</v>
      </c>
    </row>
    <row r="48" spans="1:14">
      <c r="A48" s="472" t="s">
        <v>712</v>
      </c>
      <c r="B48" s="448">
        <v>0</v>
      </c>
      <c r="C48" s="448">
        <v>0</v>
      </c>
      <c r="D48" s="448">
        <v>0</v>
      </c>
      <c r="E48" s="448">
        <v>0</v>
      </c>
      <c r="F48" s="448">
        <v>964865</v>
      </c>
      <c r="G48" s="448">
        <v>0</v>
      </c>
      <c r="H48" s="448">
        <v>0</v>
      </c>
      <c r="I48" s="448">
        <v>0</v>
      </c>
      <c r="J48" s="448">
        <v>0</v>
      </c>
      <c r="K48" s="448">
        <v>0</v>
      </c>
      <c r="L48" s="448">
        <v>0</v>
      </c>
      <c r="M48" s="542">
        <f t="shared" ref="M48" si="16">SUM(B48:L48)</f>
        <v>964865</v>
      </c>
      <c r="N48" s="464">
        <v>1</v>
      </c>
    </row>
    <row r="49" spans="1:14">
      <c r="A49" s="468" t="s">
        <v>750</v>
      </c>
      <c r="B49" s="450">
        <v>0</v>
      </c>
      <c r="C49" s="450">
        <v>0</v>
      </c>
      <c r="D49" s="450">
        <v>0</v>
      </c>
      <c r="E49" s="450">
        <v>0</v>
      </c>
      <c r="F49" s="450">
        <v>0</v>
      </c>
      <c r="G49" s="450">
        <v>0</v>
      </c>
      <c r="H49" s="450">
        <f>ROUND(H23*$N$49,0)</f>
        <v>843</v>
      </c>
      <c r="I49" s="450">
        <f>ROUND(I23*$N$49,0)</f>
        <v>2438</v>
      </c>
      <c r="J49" s="450">
        <v>0</v>
      </c>
      <c r="K49" s="450">
        <v>0</v>
      </c>
      <c r="L49" s="450">
        <v>0</v>
      </c>
      <c r="M49" s="543">
        <v>3281</v>
      </c>
      <c r="N49" s="464">
        <f>N39</f>
        <v>7.8111041399714837E-2</v>
      </c>
    </row>
    <row r="50" spans="1:14">
      <c r="A50" s="469" t="s">
        <v>680</v>
      </c>
      <c r="B50" s="456">
        <f>+B46+B44+B47+B48</f>
        <v>70160</v>
      </c>
      <c r="C50" s="456">
        <f t="shared" ref="C50:M50" si="17">+C46+C44+C47+C48</f>
        <v>25423</v>
      </c>
      <c r="D50" s="456">
        <f t="shared" si="17"/>
        <v>0</v>
      </c>
      <c r="E50" s="456">
        <f t="shared" si="17"/>
        <v>-1714779</v>
      </c>
      <c r="F50" s="456">
        <f t="shared" si="17"/>
        <v>7005911</v>
      </c>
      <c r="G50" s="456">
        <f t="shared" si="17"/>
        <v>1593693</v>
      </c>
      <c r="H50" s="456">
        <f t="shared" si="17"/>
        <v>770348</v>
      </c>
      <c r="I50" s="456">
        <f t="shared" si="17"/>
        <v>6809705</v>
      </c>
      <c r="J50" s="456">
        <f t="shared" si="17"/>
        <v>-184278</v>
      </c>
      <c r="K50" s="456">
        <f t="shared" si="17"/>
        <v>-334312</v>
      </c>
      <c r="L50" s="456">
        <f t="shared" si="17"/>
        <v>59359</v>
      </c>
      <c r="M50" s="544">
        <f t="shared" si="17"/>
        <v>14101230</v>
      </c>
      <c r="N50" s="545"/>
    </row>
  </sheetData>
  <pageMargins left="0.7" right="0.7" top="0.75" bottom="0.75" header="0.3" footer="0.3"/>
  <pageSetup scale="54" fitToHeight="0" orientation="landscape" r:id="rId1"/>
  <headerFooter>
    <oddHeader>&amp;L&amp;"Arial,Bold"&amp;10PacifiCorp 
Washington - General Rate Case
Twelve Months Ending December 31, 2021
Summary of Property Related &amp;A Adjustments</oddHeader>
    <oddFooter>&amp;L&amp;"Arial,Bold"&amp;10&amp;A&amp;R&amp;"Arial,Bold"&amp;10Page &amp;P of &amp;N</oddFooter>
  </headerFooter>
  <ignoredErrors>
    <ignoredError sqref="B18 D18 H18:K18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0"/>
  <sheetViews>
    <sheetView zoomScale="80" zoomScaleNormal="80" workbookViewId="0"/>
  </sheetViews>
  <sheetFormatPr defaultRowHeight="12.75"/>
  <cols>
    <col min="1" max="1" width="30.85546875" style="92" bestFit="1" customWidth="1"/>
    <col min="2" max="15" width="15.7109375" style="92" customWidth="1"/>
    <col min="16" max="16384" width="9.140625" style="92"/>
  </cols>
  <sheetData>
    <row r="2" spans="1:14" ht="51">
      <c r="A2" s="443" t="s">
        <v>2</v>
      </c>
      <c r="B2" s="443" t="s">
        <v>672</v>
      </c>
      <c r="C2" s="443" t="s">
        <v>653</v>
      </c>
      <c r="D2" s="443" t="s">
        <v>663</v>
      </c>
      <c r="E2" s="443" t="s">
        <v>664</v>
      </c>
      <c r="F2" s="443" t="s">
        <v>674</v>
      </c>
      <c r="G2" s="443" t="s">
        <v>675</v>
      </c>
      <c r="H2" s="443" t="s">
        <v>665</v>
      </c>
      <c r="I2" s="443" t="s">
        <v>657</v>
      </c>
      <c r="J2" s="443" t="s">
        <v>666</v>
      </c>
      <c r="K2" s="443" t="s">
        <v>667</v>
      </c>
      <c r="L2" s="443" t="s">
        <v>668</v>
      </c>
      <c r="M2" s="443" t="s">
        <v>669</v>
      </c>
      <c r="N2" s="443" t="s">
        <v>94</v>
      </c>
    </row>
    <row r="3" spans="1:14">
      <c r="A3" s="463"/>
      <c r="B3" s="444">
        <v>5.3</v>
      </c>
      <c r="C3" s="444">
        <v>5.5</v>
      </c>
      <c r="D3" s="444">
        <v>6.4</v>
      </c>
      <c r="E3" s="445" t="s">
        <v>633</v>
      </c>
      <c r="F3" s="444">
        <v>7.6</v>
      </c>
      <c r="G3" s="444">
        <v>7.11</v>
      </c>
      <c r="H3" s="444">
        <v>7.12</v>
      </c>
      <c r="I3" s="444">
        <v>8.4</v>
      </c>
      <c r="J3" s="444">
        <v>8.1199999999999992</v>
      </c>
      <c r="K3" s="444">
        <v>8.1300000000000008</v>
      </c>
      <c r="L3" s="444">
        <v>9.1</v>
      </c>
      <c r="M3" s="444">
        <v>9.1999999999999993</v>
      </c>
      <c r="N3" s="444"/>
    </row>
    <row r="4" spans="1:14">
      <c r="A4" s="486"/>
      <c r="B4" s="444">
        <v>41110</v>
      </c>
      <c r="C4" s="444">
        <v>41110</v>
      </c>
      <c r="D4" s="444">
        <v>41110</v>
      </c>
      <c r="E4" s="444">
        <v>41110</v>
      </c>
      <c r="F4" s="444">
        <v>41110</v>
      </c>
      <c r="G4" s="444">
        <v>41110</v>
      </c>
      <c r="H4" s="444">
        <v>41110</v>
      </c>
      <c r="I4" s="444">
        <v>41110</v>
      </c>
      <c r="J4" s="444">
        <v>41110</v>
      </c>
      <c r="K4" s="444">
        <v>41110</v>
      </c>
      <c r="L4" s="444">
        <v>41110</v>
      </c>
      <c r="M4" s="444">
        <v>41110</v>
      </c>
      <c r="N4" s="444">
        <v>41110</v>
      </c>
    </row>
    <row r="5" spans="1:14">
      <c r="A5" s="467" t="s">
        <v>17</v>
      </c>
      <c r="B5" s="447">
        <v>0</v>
      </c>
      <c r="C5" s="447">
        <v>0</v>
      </c>
      <c r="D5" s="447">
        <v>0</v>
      </c>
      <c r="E5" s="448">
        <v>0</v>
      </c>
      <c r="F5" s="447">
        <v>0</v>
      </c>
      <c r="G5" s="447">
        <v>0</v>
      </c>
      <c r="H5" s="447">
        <v>0</v>
      </c>
      <c r="I5" s="447">
        <v>0</v>
      </c>
      <c r="J5" s="448">
        <v>0</v>
      </c>
      <c r="K5" s="448">
        <v>0</v>
      </c>
      <c r="L5" s="448">
        <v>0</v>
      </c>
      <c r="M5" s="448">
        <v>0</v>
      </c>
      <c r="N5" s="448">
        <f t="shared" ref="N5:N10" si="0">SUM(B5:M5)</f>
        <v>0</v>
      </c>
    </row>
    <row r="6" spans="1:14">
      <c r="A6" s="467" t="s">
        <v>119</v>
      </c>
      <c r="B6" s="448">
        <v>0</v>
      </c>
      <c r="C6" s="448">
        <v>0</v>
      </c>
      <c r="D6" s="448">
        <v>0</v>
      </c>
      <c r="E6" s="448">
        <v>0</v>
      </c>
      <c r="F6" s="448">
        <v>0</v>
      </c>
      <c r="G6" s="448">
        <v>0</v>
      </c>
      <c r="H6" s="448">
        <v>0</v>
      </c>
      <c r="I6" s="448">
        <v>0</v>
      </c>
      <c r="J6" s="448">
        <v>0</v>
      </c>
      <c r="K6" s="448">
        <v>0</v>
      </c>
      <c r="L6" s="448">
        <v>0</v>
      </c>
      <c r="M6" s="448">
        <v>0</v>
      </c>
      <c r="N6" s="448">
        <f t="shared" si="0"/>
        <v>0</v>
      </c>
    </row>
    <row r="7" spans="1:14">
      <c r="A7" s="467" t="s">
        <v>162</v>
      </c>
      <c r="B7" s="448">
        <v>0</v>
      </c>
      <c r="C7" s="448">
        <v>0</v>
      </c>
      <c r="D7" s="448">
        <v>0</v>
      </c>
      <c r="E7" s="448">
        <v>0</v>
      </c>
      <c r="F7" s="448">
        <v>0</v>
      </c>
      <c r="G7" s="448">
        <v>0</v>
      </c>
      <c r="H7" s="448">
        <v>0</v>
      </c>
      <c r="I7" s="448">
        <v>0</v>
      </c>
      <c r="J7" s="448">
        <v>0</v>
      </c>
      <c r="K7" s="448">
        <v>0</v>
      </c>
      <c r="L7" s="448">
        <v>0</v>
      </c>
      <c r="M7" s="448">
        <v>0</v>
      </c>
      <c r="N7" s="448">
        <f t="shared" si="0"/>
        <v>0</v>
      </c>
    </row>
    <row r="8" spans="1:14">
      <c r="A8" s="467" t="s">
        <v>160</v>
      </c>
      <c r="B8" s="448">
        <v>0</v>
      </c>
      <c r="C8" s="448">
        <v>0</v>
      </c>
      <c r="D8" s="448">
        <f>-5063162-107957</f>
        <v>-5171119</v>
      </c>
      <c r="E8" s="448">
        <v>0</v>
      </c>
      <c r="F8" s="448">
        <v>0</v>
      </c>
      <c r="G8" s="448">
        <v>0</v>
      </c>
      <c r="H8" s="448">
        <v>0</v>
      </c>
      <c r="I8" s="448">
        <v>0</v>
      </c>
      <c r="J8" s="448">
        <v>0</v>
      </c>
      <c r="K8" s="448">
        <v>0</v>
      </c>
      <c r="L8" s="448">
        <v>0</v>
      </c>
      <c r="M8" s="448">
        <v>0</v>
      </c>
      <c r="N8" s="448">
        <f t="shared" si="0"/>
        <v>-5171119</v>
      </c>
    </row>
    <row r="9" spans="1:14">
      <c r="A9" s="467" t="s">
        <v>60</v>
      </c>
      <c r="B9" s="448">
        <v>0</v>
      </c>
      <c r="C9" s="448">
        <v>0</v>
      </c>
      <c r="D9" s="448">
        <v>0</v>
      </c>
      <c r="E9" s="448">
        <v>0</v>
      </c>
      <c r="F9" s="448">
        <v>0</v>
      </c>
      <c r="G9" s="448">
        <v>0</v>
      </c>
      <c r="H9" s="448">
        <v>0</v>
      </c>
      <c r="I9" s="448">
        <v>0</v>
      </c>
      <c r="J9" s="448">
        <v>0</v>
      </c>
      <c r="K9" s="448">
        <v>0</v>
      </c>
      <c r="L9" s="448">
        <v>0</v>
      </c>
      <c r="M9" s="448">
        <v>0</v>
      </c>
      <c r="N9" s="448">
        <f t="shared" si="0"/>
        <v>0</v>
      </c>
    </row>
    <row r="10" spans="1:14">
      <c r="A10" s="467" t="s">
        <v>29</v>
      </c>
      <c r="B10" s="448">
        <v>0</v>
      </c>
      <c r="C10" s="448">
        <v>0</v>
      </c>
      <c r="D10" s="448">
        <v>0</v>
      </c>
      <c r="E10" s="448">
        <v>0</v>
      </c>
      <c r="F10" s="448">
        <v>0</v>
      </c>
      <c r="G10" s="448">
        <v>0</v>
      </c>
      <c r="H10" s="448">
        <v>0</v>
      </c>
      <c r="I10" s="448">
        <v>0</v>
      </c>
      <c r="J10" s="448">
        <v>0</v>
      </c>
      <c r="K10" s="448">
        <v>0</v>
      </c>
      <c r="L10" s="448">
        <v>0</v>
      </c>
      <c r="M10" s="448">
        <v>0</v>
      </c>
      <c r="N10" s="448">
        <f t="shared" si="0"/>
        <v>0</v>
      </c>
    </row>
    <row r="11" spans="1:14">
      <c r="A11" s="467" t="s">
        <v>168</v>
      </c>
      <c r="B11" s="448">
        <v>0</v>
      </c>
      <c r="C11" s="448">
        <v>0</v>
      </c>
      <c r="D11" s="448">
        <f>-71583593-929787</f>
        <v>-72513380</v>
      </c>
      <c r="E11" s="448">
        <v>0</v>
      </c>
      <c r="F11" s="448">
        <v>0</v>
      </c>
      <c r="G11" s="448">
        <v>0</v>
      </c>
      <c r="H11" s="448">
        <v>0</v>
      </c>
      <c r="I11" s="448">
        <v>0</v>
      </c>
      <c r="J11" s="448">
        <v>0</v>
      </c>
      <c r="K11" s="448">
        <v>0</v>
      </c>
      <c r="L11" s="448">
        <v>0</v>
      </c>
      <c r="M11" s="448">
        <v>0</v>
      </c>
      <c r="N11" s="448">
        <f>SUM(B11:M11)</f>
        <v>-72513380</v>
      </c>
    </row>
    <row r="12" spans="1:14">
      <c r="A12" s="467" t="s">
        <v>30</v>
      </c>
      <c r="B12" s="448">
        <v>0</v>
      </c>
      <c r="C12" s="448">
        <v>0</v>
      </c>
      <c r="D12" s="448">
        <v>0</v>
      </c>
      <c r="E12" s="448">
        <v>0</v>
      </c>
      <c r="F12" s="448">
        <v>0</v>
      </c>
      <c r="G12" s="448">
        <v>0</v>
      </c>
      <c r="H12" s="448">
        <v>0</v>
      </c>
      <c r="I12" s="448">
        <v>0</v>
      </c>
      <c r="J12" s="448">
        <v>0</v>
      </c>
      <c r="K12" s="448">
        <v>0</v>
      </c>
      <c r="L12" s="448">
        <v>0</v>
      </c>
      <c r="M12" s="448">
        <v>0</v>
      </c>
      <c r="N12" s="448">
        <f t="shared" ref="N12:N17" si="1">SUM(B12:M12)</f>
        <v>0</v>
      </c>
    </row>
    <row r="13" spans="1:14">
      <c r="A13" s="467" t="s">
        <v>19</v>
      </c>
      <c r="B13" s="448">
        <v>0</v>
      </c>
      <c r="C13" s="448">
        <v>0</v>
      </c>
      <c r="D13" s="448">
        <v>0</v>
      </c>
      <c r="E13" s="448">
        <v>0</v>
      </c>
      <c r="F13" s="448">
        <v>0</v>
      </c>
      <c r="G13" s="448">
        <v>0</v>
      </c>
      <c r="H13" s="448">
        <v>399444</v>
      </c>
      <c r="I13" s="448">
        <v>0</v>
      </c>
      <c r="J13" s="448">
        <v>0</v>
      </c>
      <c r="K13" s="448">
        <v>0</v>
      </c>
      <c r="L13" s="448">
        <v>0</v>
      </c>
      <c r="M13" s="448">
        <v>0</v>
      </c>
      <c r="N13" s="448">
        <f t="shared" si="1"/>
        <v>399444</v>
      </c>
    </row>
    <row r="14" spans="1:14">
      <c r="A14" s="467" t="s">
        <v>10</v>
      </c>
      <c r="B14" s="448">
        <v>0</v>
      </c>
      <c r="C14" s="448">
        <v>0</v>
      </c>
      <c r="D14" s="448">
        <v>0</v>
      </c>
      <c r="E14" s="448">
        <v>0</v>
      </c>
      <c r="F14" s="448">
        <v>0</v>
      </c>
      <c r="G14" s="448">
        <v>0</v>
      </c>
      <c r="H14" s="448">
        <v>0</v>
      </c>
      <c r="I14" s="448">
        <v>0</v>
      </c>
      <c r="J14" s="448">
        <v>0</v>
      </c>
      <c r="K14" s="448">
        <v>0</v>
      </c>
      <c r="L14" s="448">
        <v>0</v>
      </c>
      <c r="M14" s="448">
        <v>0</v>
      </c>
      <c r="N14" s="448">
        <f t="shared" si="1"/>
        <v>0</v>
      </c>
    </row>
    <row r="15" spans="1:14">
      <c r="A15" s="467" t="s">
        <v>28</v>
      </c>
      <c r="B15" s="448">
        <v>0</v>
      </c>
      <c r="C15" s="448">
        <v>0</v>
      </c>
      <c r="D15" s="448">
        <v>0</v>
      </c>
      <c r="E15" s="448">
        <v>0</v>
      </c>
      <c r="F15" s="448">
        <v>0</v>
      </c>
      <c r="G15" s="448">
        <v>0</v>
      </c>
      <c r="H15" s="448">
        <v>0</v>
      </c>
      <c r="I15" s="448">
        <v>0</v>
      </c>
      <c r="J15" s="448">
        <v>0</v>
      </c>
      <c r="K15" s="448">
        <v>0</v>
      </c>
      <c r="L15" s="448">
        <v>0</v>
      </c>
      <c r="M15" s="448">
        <v>0</v>
      </c>
      <c r="N15" s="448">
        <f t="shared" si="1"/>
        <v>0</v>
      </c>
    </row>
    <row r="16" spans="1:14">
      <c r="A16" s="467" t="s">
        <v>26</v>
      </c>
      <c r="B16" s="448">
        <v>0</v>
      </c>
      <c r="C16" s="448">
        <v>0</v>
      </c>
      <c r="D16" s="448">
        <v>0</v>
      </c>
      <c r="E16" s="448">
        <v>0</v>
      </c>
      <c r="F16" s="448">
        <v>0</v>
      </c>
      <c r="G16" s="448">
        <v>0</v>
      </c>
      <c r="H16" s="448">
        <v>0</v>
      </c>
      <c r="I16" s="448">
        <v>0</v>
      </c>
      <c r="J16" s="448">
        <v>0</v>
      </c>
      <c r="K16" s="448">
        <v>0</v>
      </c>
      <c r="L16" s="448">
        <v>0</v>
      </c>
      <c r="M16" s="448">
        <v>0</v>
      </c>
      <c r="N16" s="448">
        <f t="shared" si="1"/>
        <v>0</v>
      </c>
    </row>
    <row r="17" spans="1:15">
      <c r="A17" s="467" t="s">
        <v>32</v>
      </c>
      <c r="B17" s="450">
        <v>0</v>
      </c>
      <c r="C17" s="450">
        <v>0</v>
      </c>
      <c r="D17" s="450">
        <v>0</v>
      </c>
      <c r="E17" s="448">
        <v>0</v>
      </c>
      <c r="F17" s="450">
        <v>0</v>
      </c>
      <c r="G17" s="450">
        <v>0</v>
      </c>
      <c r="H17" s="450">
        <v>0</v>
      </c>
      <c r="I17" s="450">
        <v>0</v>
      </c>
      <c r="J17" s="448">
        <v>0</v>
      </c>
      <c r="K17" s="448">
        <v>0</v>
      </c>
      <c r="L17" s="448">
        <v>0</v>
      </c>
      <c r="M17" s="448">
        <v>0</v>
      </c>
      <c r="N17" s="448">
        <f t="shared" si="1"/>
        <v>0</v>
      </c>
    </row>
    <row r="18" spans="1:15">
      <c r="A18" s="469" t="s">
        <v>678</v>
      </c>
      <c r="B18" s="460">
        <f t="shared" ref="B18:N18" si="2">SUM(B5:B17)</f>
        <v>0</v>
      </c>
      <c r="C18" s="460">
        <f t="shared" si="2"/>
        <v>0</v>
      </c>
      <c r="D18" s="460">
        <f t="shared" si="2"/>
        <v>-77684499</v>
      </c>
      <c r="E18" s="460">
        <f t="shared" si="2"/>
        <v>0</v>
      </c>
      <c r="F18" s="460">
        <f t="shared" si="2"/>
        <v>0</v>
      </c>
      <c r="G18" s="460">
        <f t="shared" si="2"/>
        <v>0</v>
      </c>
      <c r="H18" s="460">
        <f t="shared" si="2"/>
        <v>399444</v>
      </c>
      <c r="I18" s="460">
        <f t="shared" si="2"/>
        <v>0</v>
      </c>
      <c r="J18" s="460">
        <f t="shared" si="2"/>
        <v>0</v>
      </c>
      <c r="K18" s="460">
        <f t="shared" si="2"/>
        <v>0</v>
      </c>
      <c r="L18" s="460">
        <f t="shared" si="2"/>
        <v>0</v>
      </c>
      <c r="M18" s="460">
        <f t="shared" si="2"/>
        <v>0</v>
      </c>
      <c r="N18" s="460">
        <f t="shared" si="2"/>
        <v>-77285055</v>
      </c>
    </row>
    <row r="20" spans="1:15">
      <c r="A20" s="471" t="s">
        <v>11</v>
      </c>
      <c r="B20" s="447">
        <v>0</v>
      </c>
      <c r="C20" s="447">
        <v>0</v>
      </c>
      <c r="D20" s="447">
        <v>0</v>
      </c>
      <c r="E20" s="447">
        <v>0</v>
      </c>
      <c r="F20" s="447">
        <v>0</v>
      </c>
      <c r="G20" s="447">
        <v>0</v>
      </c>
      <c r="H20" s="447">
        <v>44447316</v>
      </c>
      <c r="I20" s="447">
        <v>0</v>
      </c>
      <c r="J20" s="447">
        <v>0</v>
      </c>
      <c r="K20" s="447">
        <v>0</v>
      </c>
      <c r="L20" s="447">
        <v>0</v>
      </c>
      <c r="M20" s="447">
        <v>0</v>
      </c>
      <c r="N20" s="447">
        <f>SUM(B20:M20)</f>
        <v>44447316</v>
      </c>
    </row>
    <row r="21" spans="1:15">
      <c r="A21" s="472" t="s">
        <v>714</v>
      </c>
      <c r="B21" s="448">
        <v>0</v>
      </c>
      <c r="C21" s="448">
        <v>0</v>
      </c>
      <c r="D21" s="448">
        <f>-3105295-241329</f>
        <v>-3346624</v>
      </c>
      <c r="E21" s="448">
        <v>0</v>
      </c>
      <c r="F21" s="448">
        <v>0</v>
      </c>
      <c r="G21" s="448">
        <v>-3042042</v>
      </c>
      <c r="H21" s="448">
        <v>0</v>
      </c>
      <c r="I21" s="448">
        <v>0</v>
      </c>
      <c r="J21" s="448">
        <v>0</v>
      </c>
      <c r="K21" s="448">
        <v>0</v>
      </c>
      <c r="L21" s="448">
        <v>0</v>
      </c>
      <c r="M21" s="448">
        <v>0</v>
      </c>
      <c r="N21" s="448">
        <f>SUM(B21:M21)</f>
        <v>-6388666</v>
      </c>
    </row>
    <row r="22" spans="1:15">
      <c r="A22" s="472" t="s">
        <v>715</v>
      </c>
      <c r="B22" s="448">
        <v>0</v>
      </c>
      <c r="C22" s="448">
        <v>0</v>
      </c>
      <c r="D22" s="448">
        <v>0</v>
      </c>
      <c r="E22" s="448">
        <v>0</v>
      </c>
      <c r="F22" s="448">
        <v>0</v>
      </c>
      <c r="G22" s="448">
        <v>-1953974</v>
      </c>
      <c r="H22" s="448">
        <v>0</v>
      </c>
      <c r="I22" s="448">
        <v>0</v>
      </c>
      <c r="J22" s="448">
        <v>0</v>
      </c>
      <c r="K22" s="448">
        <v>0</v>
      </c>
      <c r="L22" s="448">
        <v>0</v>
      </c>
      <c r="M22" s="448">
        <v>0</v>
      </c>
      <c r="N22" s="448">
        <f>SUM(B22:M22)</f>
        <v>-1953974</v>
      </c>
    </row>
    <row r="23" spans="1:15">
      <c r="A23" s="472" t="s">
        <v>716</v>
      </c>
      <c r="B23" s="448">
        <v>0</v>
      </c>
      <c r="C23" s="448">
        <v>0</v>
      </c>
      <c r="D23" s="448">
        <v>0</v>
      </c>
      <c r="E23" s="448">
        <v>0</v>
      </c>
      <c r="F23" s="448">
        <v>1412856</v>
      </c>
      <c r="G23" s="448">
        <v>0</v>
      </c>
      <c r="H23" s="448">
        <v>0</v>
      </c>
      <c r="I23" s="448">
        <v>0</v>
      </c>
      <c r="J23" s="448">
        <v>0</v>
      </c>
      <c r="K23" s="448">
        <v>0</v>
      </c>
      <c r="L23" s="448">
        <v>0</v>
      </c>
      <c r="M23" s="448">
        <v>0</v>
      </c>
      <c r="N23" s="448">
        <f>SUM(B23:M23)</f>
        <v>1412856</v>
      </c>
    </row>
    <row r="24" spans="1:15">
      <c r="A24" s="469" t="s">
        <v>679</v>
      </c>
      <c r="B24" s="460">
        <f t="shared" ref="B24:E24" si="3">+B23+B22+B21+B20+B18</f>
        <v>0</v>
      </c>
      <c r="C24" s="460">
        <f t="shared" si="3"/>
        <v>0</v>
      </c>
      <c r="D24" s="460">
        <f t="shared" si="3"/>
        <v>-81031123</v>
      </c>
      <c r="E24" s="460">
        <f t="shared" si="3"/>
        <v>0</v>
      </c>
      <c r="F24" s="460">
        <f>+F23+F22+F21+F20+F18</f>
        <v>1412856</v>
      </c>
      <c r="G24" s="460">
        <f t="shared" ref="G24:N24" si="4">+G23+G22+G21+G20+G18</f>
        <v>-4996016</v>
      </c>
      <c r="H24" s="460">
        <f t="shared" si="4"/>
        <v>44846760</v>
      </c>
      <c r="I24" s="460">
        <f t="shared" si="4"/>
        <v>0</v>
      </c>
      <c r="J24" s="460">
        <f t="shared" si="4"/>
        <v>0</v>
      </c>
      <c r="K24" s="460">
        <f t="shared" si="4"/>
        <v>0</v>
      </c>
      <c r="L24" s="460">
        <f t="shared" si="4"/>
        <v>0</v>
      </c>
      <c r="M24" s="460">
        <f t="shared" si="4"/>
        <v>0</v>
      </c>
      <c r="N24" s="460">
        <f t="shared" si="4"/>
        <v>-39767523</v>
      </c>
    </row>
    <row r="28" spans="1:15" ht="51">
      <c r="A28" s="443" t="s">
        <v>659</v>
      </c>
      <c r="B28" s="443" t="s">
        <v>672</v>
      </c>
      <c r="C28" s="443" t="s">
        <v>653</v>
      </c>
      <c r="D28" s="443" t="s">
        <v>663</v>
      </c>
      <c r="E28" s="443" t="s">
        <v>664</v>
      </c>
      <c r="F28" s="443" t="s">
        <v>674</v>
      </c>
      <c r="G28" s="443" t="s">
        <v>675</v>
      </c>
      <c r="H28" s="443" t="s">
        <v>665</v>
      </c>
      <c r="I28" s="443" t="s">
        <v>657</v>
      </c>
      <c r="J28" s="443" t="s">
        <v>666</v>
      </c>
      <c r="K28" s="443" t="s">
        <v>667</v>
      </c>
      <c r="L28" s="443" t="s">
        <v>668</v>
      </c>
      <c r="M28" s="443" t="s">
        <v>669</v>
      </c>
      <c r="N28" s="443" t="s">
        <v>94</v>
      </c>
      <c r="O28" s="443" t="s">
        <v>717</v>
      </c>
    </row>
    <row r="29" spans="1:15">
      <c r="A29" s="463"/>
      <c r="B29" s="444">
        <v>5.3</v>
      </c>
      <c r="C29" s="444">
        <v>5.5</v>
      </c>
      <c r="D29" s="444">
        <v>6.4</v>
      </c>
      <c r="E29" s="445" t="s">
        <v>633</v>
      </c>
      <c r="F29" s="444">
        <v>7.6</v>
      </c>
      <c r="G29" s="444">
        <v>7.11</v>
      </c>
      <c r="H29" s="444">
        <v>7.12</v>
      </c>
      <c r="I29" s="444">
        <v>8.4</v>
      </c>
      <c r="J29" s="444">
        <v>8.1199999999999992</v>
      </c>
      <c r="K29" s="444">
        <v>8.1300000000000008</v>
      </c>
      <c r="L29" s="444">
        <v>9.1</v>
      </c>
      <c r="M29" s="444">
        <v>9.1999999999999993</v>
      </c>
      <c r="N29" s="444"/>
      <c r="O29" s="463"/>
    </row>
    <row r="30" spans="1:15">
      <c r="A30" s="486"/>
      <c r="B30" s="444">
        <v>41110</v>
      </c>
      <c r="C30" s="444">
        <v>41110</v>
      </c>
      <c r="D30" s="444">
        <v>41110</v>
      </c>
      <c r="E30" s="444">
        <v>41110</v>
      </c>
      <c r="F30" s="444">
        <v>41110</v>
      </c>
      <c r="G30" s="444">
        <v>41110</v>
      </c>
      <c r="H30" s="444">
        <v>41110</v>
      </c>
      <c r="I30" s="444">
        <v>41110</v>
      </c>
      <c r="J30" s="444">
        <v>41110</v>
      </c>
      <c r="K30" s="444">
        <v>41110</v>
      </c>
      <c r="L30" s="444">
        <v>41110</v>
      </c>
      <c r="M30" s="444">
        <v>41110</v>
      </c>
      <c r="N30" s="444">
        <v>41110</v>
      </c>
      <c r="O30" s="444">
        <v>41110</v>
      </c>
    </row>
    <row r="31" spans="1:15">
      <c r="A31" s="467" t="s">
        <v>17</v>
      </c>
      <c r="B31" s="447">
        <v>0</v>
      </c>
      <c r="C31" s="447">
        <v>0</v>
      </c>
      <c r="D31" s="447">
        <v>0</v>
      </c>
      <c r="E31" s="448">
        <v>0</v>
      </c>
      <c r="F31" s="447">
        <v>0</v>
      </c>
      <c r="G31" s="447">
        <v>0</v>
      </c>
      <c r="H31" s="447">
        <v>0</v>
      </c>
      <c r="I31" s="447">
        <v>0</v>
      </c>
      <c r="J31" s="448">
        <v>0</v>
      </c>
      <c r="K31" s="448">
        <v>0</v>
      </c>
      <c r="L31" s="448">
        <v>0</v>
      </c>
      <c r="M31" s="448">
        <v>0</v>
      </c>
      <c r="N31" s="448">
        <f t="shared" ref="N31:N36" si="5">SUM(B31:M31)</f>
        <v>0</v>
      </c>
      <c r="O31" s="473">
        <v>0</v>
      </c>
    </row>
    <row r="32" spans="1:15">
      <c r="A32" s="467" t="s">
        <v>119</v>
      </c>
      <c r="B32" s="448">
        <v>0</v>
      </c>
      <c r="C32" s="448">
        <v>0</v>
      </c>
      <c r="D32" s="448">
        <v>0</v>
      </c>
      <c r="E32" s="448">
        <v>0</v>
      </c>
      <c r="F32" s="448">
        <v>0</v>
      </c>
      <c r="G32" s="448">
        <v>0</v>
      </c>
      <c r="H32" s="448">
        <v>0</v>
      </c>
      <c r="I32" s="448">
        <v>0</v>
      </c>
      <c r="J32" s="448">
        <v>0</v>
      </c>
      <c r="K32" s="448">
        <v>0</v>
      </c>
      <c r="L32" s="448">
        <v>0</v>
      </c>
      <c r="M32" s="448">
        <v>0</v>
      </c>
      <c r="N32" s="448">
        <f t="shared" si="5"/>
        <v>0</v>
      </c>
      <c r="O32" s="464">
        <v>0</v>
      </c>
    </row>
    <row r="33" spans="1:15">
      <c r="A33" s="467" t="s">
        <v>162</v>
      </c>
      <c r="B33" s="448">
        <v>0</v>
      </c>
      <c r="C33" s="448">
        <v>0</v>
      </c>
      <c r="D33" s="448">
        <v>0</v>
      </c>
      <c r="E33" s="448">
        <v>0</v>
      </c>
      <c r="F33" s="448">
        <v>0</v>
      </c>
      <c r="G33" s="448">
        <v>0</v>
      </c>
      <c r="H33" s="448">
        <v>0</v>
      </c>
      <c r="I33" s="448">
        <v>0</v>
      </c>
      <c r="J33" s="448">
        <v>0</v>
      </c>
      <c r="K33" s="448">
        <v>0</v>
      </c>
      <c r="L33" s="448">
        <v>0</v>
      </c>
      <c r="M33" s="448">
        <v>0</v>
      </c>
      <c r="N33" s="448">
        <f t="shared" si="5"/>
        <v>0</v>
      </c>
      <c r="O33" s="464">
        <v>0</v>
      </c>
    </row>
    <row r="34" spans="1:15">
      <c r="A34" s="467" t="s">
        <v>160</v>
      </c>
      <c r="B34" s="448">
        <f>ROUND(B8*$O$34,0)</f>
        <v>0</v>
      </c>
      <c r="C34" s="448">
        <f t="shared" ref="C34:M34" si="6">ROUND(C8*$O$34,0)</f>
        <v>0</v>
      </c>
      <c r="D34" s="448">
        <f t="shared" si="6"/>
        <v>-1115782</v>
      </c>
      <c r="E34" s="448">
        <f t="shared" si="6"/>
        <v>0</v>
      </c>
      <c r="F34" s="448">
        <f t="shared" si="6"/>
        <v>0</v>
      </c>
      <c r="G34" s="448">
        <f t="shared" si="6"/>
        <v>0</v>
      </c>
      <c r="H34" s="448">
        <f t="shared" si="6"/>
        <v>0</v>
      </c>
      <c r="I34" s="448">
        <f t="shared" si="6"/>
        <v>0</v>
      </c>
      <c r="J34" s="448">
        <f t="shared" si="6"/>
        <v>0</v>
      </c>
      <c r="K34" s="448">
        <f t="shared" si="6"/>
        <v>0</v>
      </c>
      <c r="L34" s="448">
        <f t="shared" si="6"/>
        <v>0</v>
      </c>
      <c r="M34" s="448">
        <f t="shared" si="6"/>
        <v>0</v>
      </c>
      <c r="N34" s="448">
        <f t="shared" si="5"/>
        <v>-1115782</v>
      </c>
      <c r="O34" s="464">
        <f>VLOOKUP(A34,'Allocation Factors'!$B$3:$N$89,5,FALSE)</f>
        <v>0.21577192756641544</v>
      </c>
    </row>
    <row r="35" spans="1:15">
      <c r="A35" s="467" t="s">
        <v>60</v>
      </c>
      <c r="B35" s="448">
        <v>0</v>
      </c>
      <c r="C35" s="448">
        <v>0</v>
      </c>
      <c r="D35" s="448">
        <v>0</v>
      </c>
      <c r="E35" s="448">
        <v>0</v>
      </c>
      <c r="F35" s="448">
        <v>0</v>
      </c>
      <c r="G35" s="448">
        <v>0</v>
      </c>
      <c r="H35" s="448">
        <v>0</v>
      </c>
      <c r="I35" s="448">
        <v>0</v>
      </c>
      <c r="J35" s="448">
        <v>0</v>
      </c>
      <c r="K35" s="448">
        <v>0</v>
      </c>
      <c r="L35" s="448">
        <v>0</v>
      </c>
      <c r="M35" s="448">
        <v>0</v>
      </c>
      <c r="N35" s="448">
        <f t="shared" si="5"/>
        <v>0</v>
      </c>
      <c r="O35" s="464">
        <f>VLOOKUP(A35,'Allocation Factors'!$B$3:$N$89,5,FALSE)</f>
        <v>6.9360885492844845E-2</v>
      </c>
    </row>
    <row r="36" spans="1:15">
      <c r="A36" s="467" t="s">
        <v>29</v>
      </c>
      <c r="B36" s="448">
        <v>0</v>
      </c>
      <c r="C36" s="448">
        <v>0</v>
      </c>
      <c r="D36" s="448">
        <v>0</v>
      </c>
      <c r="E36" s="448">
        <v>0</v>
      </c>
      <c r="F36" s="448">
        <v>0</v>
      </c>
      <c r="G36" s="448">
        <v>0</v>
      </c>
      <c r="H36" s="448">
        <v>0</v>
      </c>
      <c r="I36" s="448">
        <v>0</v>
      </c>
      <c r="J36" s="448">
        <v>0</v>
      </c>
      <c r="K36" s="448">
        <v>0</v>
      </c>
      <c r="L36" s="448">
        <v>0</v>
      </c>
      <c r="M36" s="448">
        <v>0</v>
      </c>
      <c r="N36" s="448">
        <f t="shared" si="5"/>
        <v>0</v>
      </c>
      <c r="O36" s="464">
        <v>0</v>
      </c>
    </row>
    <row r="37" spans="1:15">
      <c r="A37" s="467" t="s">
        <v>168</v>
      </c>
      <c r="B37" s="448">
        <f>ROUND(B11*$O$37,0)</f>
        <v>0</v>
      </c>
      <c r="C37" s="448">
        <f t="shared" ref="C37:M37" si="7">ROUND(C11*$O$37,0)</f>
        <v>0</v>
      </c>
      <c r="D37" s="448">
        <f t="shared" si="7"/>
        <v>-15646352</v>
      </c>
      <c r="E37" s="448">
        <f t="shared" si="7"/>
        <v>0</v>
      </c>
      <c r="F37" s="448">
        <f t="shared" si="7"/>
        <v>0</v>
      </c>
      <c r="G37" s="448">
        <f t="shared" si="7"/>
        <v>0</v>
      </c>
      <c r="H37" s="448">
        <f t="shared" si="7"/>
        <v>0</v>
      </c>
      <c r="I37" s="448">
        <f t="shared" si="7"/>
        <v>0</v>
      </c>
      <c r="J37" s="448">
        <f t="shared" si="7"/>
        <v>0</v>
      </c>
      <c r="K37" s="448">
        <f t="shared" si="7"/>
        <v>0</v>
      </c>
      <c r="L37" s="448">
        <f t="shared" si="7"/>
        <v>0</v>
      </c>
      <c r="M37" s="448">
        <f t="shared" si="7"/>
        <v>0</v>
      </c>
      <c r="N37" s="448">
        <f>SUM(B37:M37)</f>
        <v>-15646352</v>
      </c>
      <c r="O37" s="464">
        <f>VLOOKUP(A37,'Allocation Factors'!$B$3:$N$89,5,FALSE)</f>
        <v>0.21577192756641544</v>
      </c>
    </row>
    <row r="38" spans="1:15">
      <c r="A38" s="467" t="s">
        <v>30</v>
      </c>
      <c r="B38" s="448">
        <v>0</v>
      </c>
      <c r="C38" s="448">
        <v>0</v>
      </c>
      <c r="D38" s="448">
        <v>0</v>
      </c>
      <c r="E38" s="448">
        <v>0</v>
      </c>
      <c r="F38" s="448">
        <v>0</v>
      </c>
      <c r="G38" s="448">
        <v>0</v>
      </c>
      <c r="H38" s="448">
        <v>0</v>
      </c>
      <c r="I38" s="448">
        <v>0</v>
      </c>
      <c r="J38" s="448">
        <v>0</v>
      </c>
      <c r="K38" s="448">
        <v>0</v>
      </c>
      <c r="L38" s="448">
        <v>0</v>
      </c>
      <c r="M38" s="448">
        <v>0</v>
      </c>
      <c r="N38" s="448">
        <f t="shared" ref="N38:N43" si="8">SUM(B38:M38)</f>
        <v>0</v>
      </c>
      <c r="O38" s="464">
        <v>0</v>
      </c>
    </row>
    <row r="39" spans="1:15">
      <c r="A39" s="467" t="s">
        <v>19</v>
      </c>
      <c r="B39" s="448">
        <f>ROUND(B13*$O$39,0)</f>
        <v>0</v>
      </c>
      <c r="C39" s="448">
        <f t="shared" ref="C39:M39" si="9">ROUND(C13*$O$39,0)</f>
        <v>0</v>
      </c>
      <c r="D39" s="448">
        <f t="shared" si="9"/>
        <v>0</v>
      </c>
      <c r="E39" s="448">
        <f t="shared" si="9"/>
        <v>0</v>
      </c>
      <c r="F39" s="448">
        <f t="shared" si="9"/>
        <v>0</v>
      </c>
      <c r="G39" s="448">
        <f t="shared" si="9"/>
        <v>0</v>
      </c>
      <c r="H39" s="448">
        <f t="shared" si="9"/>
        <v>31201</v>
      </c>
      <c r="I39" s="448">
        <f t="shared" si="9"/>
        <v>0</v>
      </c>
      <c r="J39" s="448">
        <f t="shared" si="9"/>
        <v>0</v>
      </c>
      <c r="K39" s="448">
        <f t="shared" si="9"/>
        <v>0</v>
      </c>
      <c r="L39" s="448">
        <f t="shared" si="9"/>
        <v>0</v>
      </c>
      <c r="M39" s="448">
        <f t="shared" si="9"/>
        <v>0</v>
      </c>
      <c r="N39" s="448">
        <f t="shared" si="8"/>
        <v>31201</v>
      </c>
      <c r="O39" s="464">
        <f>VLOOKUP(A39,'Allocation Factors'!$B$3:$N$89,5,FALSE)</f>
        <v>7.8111041399714837E-2</v>
      </c>
    </row>
    <row r="40" spans="1:15">
      <c r="A40" s="467" t="s">
        <v>10</v>
      </c>
      <c r="B40" s="448">
        <f>ROUND(B14*$O$40,0)</f>
        <v>0</v>
      </c>
      <c r="C40" s="448">
        <f t="shared" ref="C40:M40" si="10">ROUND(C14*$O$40,0)</f>
        <v>0</v>
      </c>
      <c r="D40" s="448">
        <f t="shared" si="10"/>
        <v>0</v>
      </c>
      <c r="E40" s="448">
        <f t="shared" si="10"/>
        <v>0</v>
      </c>
      <c r="F40" s="448">
        <f t="shared" si="10"/>
        <v>0</v>
      </c>
      <c r="G40" s="448">
        <f t="shared" si="10"/>
        <v>0</v>
      </c>
      <c r="H40" s="448">
        <f t="shared" si="10"/>
        <v>0</v>
      </c>
      <c r="I40" s="448">
        <f t="shared" si="10"/>
        <v>0</v>
      </c>
      <c r="J40" s="448">
        <f t="shared" si="10"/>
        <v>0</v>
      </c>
      <c r="K40" s="448">
        <f t="shared" si="10"/>
        <v>0</v>
      </c>
      <c r="L40" s="448">
        <f t="shared" si="10"/>
        <v>0</v>
      </c>
      <c r="M40" s="448">
        <f t="shared" si="10"/>
        <v>0</v>
      </c>
      <c r="N40" s="448">
        <f t="shared" si="8"/>
        <v>0</v>
      </c>
      <c r="O40" s="464">
        <f>VLOOKUP(A40,'Allocation Factors'!$B$3:$N$89,5,FALSE)</f>
        <v>6.7017620954721469E-2</v>
      </c>
    </row>
    <row r="41" spans="1:15">
      <c r="A41" s="467" t="s">
        <v>28</v>
      </c>
      <c r="B41" s="448">
        <v>0</v>
      </c>
      <c r="C41" s="448">
        <v>0</v>
      </c>
      <c r="D41" s="448">
        <v>0</v>
      </c>
      <c r="E41" s="448">
        <v>0</v>
      </c>
      <c r="F41" s="448">
        <v>0</v>
      </c>
      <c r="G41" s="448">
        <v>0</v>
      </c>
      <c r="H41" s="448">
        <v>0</v>
      </c>
      <c r="I41" s="448">
        <v>0</v>
      </c>
      <c r="J41" s="448">
        <v>0</v>
      </c>
      <c r="K41" s="448">
        <v>0</v>
      </c>
      <c r="L41" s="448">
        <v>0</v>
      </c>
      <c r="M41" s="448">
        <v>0</v>
      </c>
      <c r="N41" s="448">
        <f t="shared" si="8"/>
        <v>0</v>
      </c>
      <c r="O41" s="464">
        <v>0</v>
      </c>
    </row>
    <row r="42" spans="1:15">
      <c r="A42" s="467" t="s">
        <v>26</v>
      </c>
      <c r="B42" s="448">
        <v>0</v>
      </c>
      <c r="C42" s="448">
        <v>0</v>
      </c>
      <c r="D42" s="448">
        <v>0</v>
      </c>
      <c r="E42" s="448">
        <v>0</v>
      </c>
      <c r="F42" s="448">
        <v>0</v>
      </c>
      <c r="G42" s="448">
        <v>0</v>
      </c>
      <c r="H42" s="448">
        <v>0</v>
      </c>
      <c r="I42" s="448">
        <v>0</v>
      </c>
      <c r="J42" s="448">
        <v>0</v>
      </c>
      <c r="K42" s="448">
        <v>0</v>
      </c>
      <c r="L42" s="448">
        <v>0</v>
      </c>
      <c r="M42" s="448">
        <v>0</v>
      </c>
      <c r="N42" s="448">
        <f t="shared" si="8"/>
        <v>0</v>
      </c>
      <c r="O42" s="464">
        <f>VLOOKUP(A42,'Allocation Factors'!$B$3:$N$89,5,FALSE)</f>
        <v>1</v>
      </c>
    </row>
    <row r="43" spans="1:15">
      <c r="A43" s="467" t="s">
        <v>32</v>
      </c>
      <c r="B43" s="450">
        <v>0</v>
      </c>
      <c r="C43" s="450">
        <v>0</v>
      </c>
      <c r="D43" s="450">
        <v>0</v>
      </c>
      <c r="E43" s="448">
        <v>0</v>
      </c>
      <c r="F43" s="450">
        <v>0</v>
      </c>
      <c r="G43" s="450">
        <v>0</v>
      </c>
      <c r="H43" s="450">
        <v>0</v>
      </c>
      <c r="I43" s="450">
        <v>0</v>
      </c>
      <c r="J43" s="448">
        <v>0</v>
      </c>
      <c r="K43" s="448">
        <v>0</v>
      </c>
      <c r="L43" s="448">
        <v>0</v>
      </c>
      <c r="M43" s="448">
        <v>0</v>
      </c>
      <c r="N43" s="448">
        <f t="shared" si="8"/>
        <v>0</v>
      </c>
      <c r="O43" s="474">
        <v>0</v>
      </c>
    </row>
    <row r="44" spans="1:15">
      <c r="A44" s="469" t="s">
        <v>678</v>
      </c>
      <c r="B44" s="460">
        <f t="shared" ref="B44:N44" si="11">SUM(B31:B43)</f>
        <v>0</v>
      </c>
      <c r="C44" s="460">
        <f t="shared" si="11"/>
        <v>0</v>
      </c>
      <c r="D44" s="460">
        <f t="shared" si="11"/>
        <v>-16762134</v>
      </c>
      <c r="E44" s="460">
        <f t="shared" si="11"/>
        <v>0</v>
      </c>
      <c r="F44" s="460">
        <f t="shared" si="11"/>
        <v>0</v>
      </c>
      <c r="G44" s="460">
        <f t="shared" si="11"/>
        <v>0</v>
      </c>
      <c r="H44" s="460">
        <f t="shared" si="11"/>
        <v>31201</v>
      </c>
      <c r="I44" s="460">
        <f t="shared" si="11"/>
        <v>0</v>
      </c>
      <c r="J44" s="460">
        <f t="shared" si="11"/>
        <v>0</v>
      </c>
      <c r="K44" s="460">
        <f t="shared" si="11"/>
        <v>0</v>
      </c>
      <c r="L44" s="460">
        <f t="shared" si="11"/>
        <v>0</v>
      </c>
      <c r="M44" s="460">
        <f t="shared" si="11"/>
        <v>0</v>
      </c>
      <c r="N44" s="460">
        <f t="shared" si="11"/>
        <v>-16730933</v>
      </c>
      <c r="O44" s="545"/>
    </row>
    <row r="46" spans="1:15">
      <c r="A46" s="471" t="s">
        <v>11</v>
      </c>
      <c r="B46" s="447">
        <f>ROUND(B20*$O$46,0)</f>
        <v>0</v>
      </c>
      <c r="C46" s="447">
        <f t="shared" ref="C46:M46" si="12">ROUND(C20*$O$46,0)</f>
        <v>0</v>
      </c>
      <c r="D46" s="447">
        <f t="shared" si="12"/>
        <v>0</v>
      </c>
      <c r="E46" s="447">
        <f t="shared" si="12"/>
        <v>0</v>
      </c>
      <c r="F46" s="447">
        <f t="shared" si="12"/>
        <v>0</v>
      </c>
      <c r="G46" s="447">
        <f t="shared" si="12"/>
        <v>0</v>
      </c>
      <c r="H46" s="447">
        <f t="shared" si="12"/>
        <v>3009204</v>
      </c>
      <c r="I46" s="447">
        <f t="shared" si="12"/>
        <v>0</v>
      </c>
      <c r="J46" s="447">
        <f t="shared" si="12"/>
        <v>0</v>
      </c>
      <c r="K46" s="447">
        <f t="shared" si="12"/>
        <v>0</v>
      </c>
      <c r="L46" s="447">
        <f t="shared" si="12"/>
        <v>0</v>
      </c>
      <c r="M46" s="447">
        <f t="shared" si="12"/>
        <v>0</v>
      </c>
      <c r="N46" s="447">
        <f>SUM(B46:M46)</f>
        <v>3009204</v>
      </c>
      <c r="O46" s="473">
        <f>VLOOKUP(A46,'Allocation Factors'!$B$3:$N$89,5,FALSE)</f>
        <v>6.7702726582684086E-2</v>
      </c>
    </row>
    <row r="47" spans="1:15">
      <c r="A47" s="472" t="s">
        <v>714</v>
      </c>
      <c r="B47" s="448">
        <v>0</v>
      </c>
      <c r="C47" s="448">
        <v>0</v>
      </c>
      <c r="D47" s="448">
        <f>-3105295-241329</f>
        <v>-3346624</v>
      </c>
      <c r="E47" s="448">
        <v>0</v>
      </c>
      <c r="F47" s="448">
        <v>0</v>
      </c>
      <c r="G47" s="448">
        <v>-3042042</v>
      </c>
      <c r="H47" s="448">
        <v>0</v>
      </c>
      <c r="I47" s="448">
        <v>0</v>
      </c>
      <c r="J47" s="448">
        <v>0</v>
      </c>
      <c r="K47" s="448">
        <v>0</v>
      </c>
      <c r="L47" s="448">
        <v>0</v>
      </c>
      <c r="M47" s="448">
        <v>0</v>
      </c>
      <c r="N47" s="448">
        <f>SUM(B47:M47)</f>
        <v>-6388666</v>
      </c>
      <c r="O47" s="464">
        <v>1</v>
      </c>
    </row>
    <row r="48" spans="1:15">
      <c r="A48" s="472" t="s">
        <v>715</v>
      </c>
      <c r="B48" s="448">
        <v>0</v>
      </c>
      <c r="C48" s="448">
        <v>0</v>
      </c>
      <c r="D48" s="448">
        <v>0</v>
      </c>
      <c r="E48" s="448">
        <v>0</v>
      </c>
      <c r="F48" s="448">
        <v>0</v>
      </c>
      <c r="G48" s="448">
        <v>-1953974</v>
      </c>
      <c r="H48" s="448">
        <v>0</v>
      </c>
      <c r="I48" s="448">
        <v>0</v>
      </c>
      <c r="J48" s="448">
        <v>0</v>
      </c>
      <c r="K48" s="448">
        <v>0</v>
      </c>
      <c r="L48" s="448">
        <v>0</v>
      </c>
      <c r="M48" s="448">
        <v>0</v>
      </c>
      <c r="N48" s="448">
        <f>SUM(B48:M48)</f>
        <v>-1953974</v>
      </c>
      <c r="O48" s="464">
        <v>1</v>
      </c>
    </row>
    <row r="49" spans="1:15">
      <c r="A49" s="472" t="s">
        <v>716</v>
      </c>
      <c r="B49" s="448">
        <v>0</v>
      </c>
      <c r="C49" s="448">
        <v>0</v>
      </c>
      <c r="D49" s="448">
        <v>0</v>
      </c>
      <c r="E49" s="448">
        <v>0</v>
      </c>
      <c r="F49" s="448">
        <f>+F23</f>
        <v>1412856</v>
      </c>
      <c r="G49" s="448">
        <v>0</v>
      </c>
      <c r="H49" s="448">
        <v>0</v>
      </c>
      <c r="I49" s="448">
        <v>0</v>
      </c>
      <c r="J49" s="448">
        <v>0</v>
      </c>
      <c r="K49" s="448">
        <v>0</v>
      </c>
      <c r="L49" s="448">
        <v>0</v>
      </c>
      <c r="M49" s="448">
        <v>0</v>
      </c>
      <c r="N49" s="448">
        <f>SUM(B49:M49)</f>
        <v>1412856</v>
      </c>
      <c r="O49" s="474">
        <v>1</v>
      </c>
    </row>
    <row r="50" spans="1:15">
      <c r="A50" s="469" t="s">
        <v>679</v>
      </c>
      <c r="B50" s="460">
        <f t="shared" ref="B50:E50" si="13">+B49+B48+B47+B46+B44</f>
        <v>0</v>
      </c>
      <c r="C50" s="460">
        <f t="shared" si="13"/>
        <v>0</v>
      </c>
      <c r="D50" s="460">
        <f t="shared" si="13"/>
        <v>-20108758</v>
      </c>
      <c r="E50" s="460">
        <f t="shared" si="13"/>
        <v>0</v>
      </c>
      <c r="F50" s="460">
        <f>+F49+F48+F47+F46+F44</f>
        <v>1412856</v>
      </c>
      <c r="G50" s="460">
        <f t="shared" ref="G50:N50" si="14">+G49+G48+G47+G46+G44</f>
        <v>-4996016</v>
      </c>
      <c r="H50" s="460">
        <f t="shared" si="14"/>
        <v>3040405</v>
      </c>
      <c r="I50" s="460">
        <f t="shared" si="14"/>
        <v>0</v>
      </c>
      <c r="J50" s="460">
        <f t="shared" si="14"/>
        <v>0</v>
      </c>
      <c r="K50" s="460">
        <f t="shared" si="14"/>
        <v>0</v>
      </c>
      <c r="L50" s="460">
        <f t="shared" si="14"/>
        <v>0</v>
      </c>
      <c r="M50" s="460">
        <f t="shared" si="14"/>
        <v>0</v>
      </c>
      <c r="N50" s="460">
        <f t="shared" si="14"/>
        <v>-20651513</v>
      </c>
      <c r="O50" s="545"/>
    </row>
  </sheetData>
  <pageMargins left="0.7" right="0.7" top="0.75" bottom="0.75" header="0.3" footer="0.3"/>
  <pageSetup scale="48" fitToHeight="0" orientation="landscape" r:id="rId1"/>
  <headerFooter>
    <oddHeader>&amp;L&amp;"Arial,Bold"&amp;10PacifiCorp 
Washington - General Rate Case
Twelve Months Ending December 31, 2021
Summary of Property Related &amp;A Adjustments</oddHeader>
    <oddFooter>&amp;L&amp;"Arial,Bold"&amp;10&amp;A&amp;R&amp;"Arial,Bold"&amp;10Page &amp;P of &amp;N</oddFooter>
  </headerFooter>
  <ignoredErrors>
    <ignoredError sqref="B18:C18 E18:M18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4"/>
  <sheetViews>
    <sheetView zoomScale="80" zoomScaleNormal="80" workbookViewId="0"/>
  </sheetViews>
  <sheetFormatPr defaultRowHeight="12.75"/>
  <cols>
    <col min="1" max="1" width="22.28515625" style="92" customWidth="1"/>
    <col min="2" max="3" width="15.85546875" style="92" customWidth="1"/>
    <col min="4" max="19" width="15.7109375" style="92" customWidth="1"/>
    <col min="20" max="16384" width="9.140625" style="92"/>
  </cols>
  <sheetData>
    <row r="2" spans="1:18" ht="51">
      <c r="A2" s="443" t="s">
        <v>2</v>
      </c>
      <c r="B2" s="443" t="s">
        <v>672</v>
      </c>
      <c r="C2" s="443" t="s">
        <v>653</v>
      </c>
      <c r="D2" s="443" t="s">
        <v>663</v>
      </c>
      <c r="E2" s="443" t="s">
        <v>664</v>
      </c>
      <c r="F2" s="443" t="s">
        <v>676</v>
      </c>
      <c r="G2" s="443" t="s">
        <v>674</v>
      </c>
      <c r="H2" s="443" t="s">
        <v>675</v>
      </c>
      <c r="I2" s="443" t="s">
        <v>665</v>
      </c>
      <c r="J2" s="443" t="s">
        <v>657</v>
      </c>
      <c r="K2" s="443" t="s">
        <v>658</v>
      </c>
      <c r="L2" s="443" t="s">
        <v>666</v>
      </c>
      <c r="M2" s="443" t="s">
        <v>667</v>
      </c>
      <c r="N2" s="443" t="s">
        <v>668</v>
      </c>
      <c r="O2" s="443" t="s">
        <v>669</v>
      </c>
      <c r="P2" s="443" t="s">
        <v>670</v>
      </c>
      <c r="Q2" s="443" t="s">
        <v>677</v>
      </c>
      <c r="R2" s="443" t="s">
        <v>94</v>
      </c>
    </row>
    <row r="3" spans="1:18">
      <c r="A3" s="463"/>
      <c r="B3" s="444">
        <v>5.3</v>
      </c>
      <c r="C3" s="444">
        <v>5.5</v>
      </c>
      <c r="D3" s="444">
        <v>6.4</v>
      </c>
      <c r="E3" s="445" t="s">
        <v>633</v>
      </c>
      <c r="F3" s="445">
        <v>7.4</v>
      </c>
      <c r="G3" s="445">
        <v>7.6</v>
      </c>
      <c r="H3" s="445">
        <v>7.11</v>
      </c>
      <c r="I3" s="444">
        <v>7.12</v>
      </c>
      <c r="J3" s="444">
        <v>8.4</v>
      </c>
      <c r="K3" s="444">
        <v>8.9</v>
      </c>
      <c r="L3" s="444">
        <v>8.1199999999999992</v>
      </c>
      <c r="M3" s="444">
        <v>8.1300000000000008</v>
      </c>
      <c r="N3" s="444">
        <v>9.1</v>
      </c>
      <c r="O3" s="444">
        <v>9.1999999999999993</v>
      </c>
      <c r="P3" s="444">
        <v>9.3000000000000007</v>
      </c>
      <c r="Q3" s="444">
        <v>9.4</v>
      </c>
      <c r="R3" s="444"/>
    </row>
    <row r="4" spans="1:18">
      <c r="A4" s="486"/>
      <c r="B4" s="444">
        <v>282</v>
      </c>
      <c r="C4" s="444">
        <v>282</v>
      </c>
      <c r="D4" s="444">
        <v>282</v>
      </c>
      <c r="E4" s="444">
        <v>282</v>
      </c>
      <c r="F4" s="444">
        <v>282</v>
      </c>
      <c r="G4" s="444">
        <v>282</v>
      </c>
      <c r="H4" s="444">
        <v>282</v>
      </c>
      <c r="I4" s="444">
        <v>282</v>
      </c>
      <c r="J4" s="444">
        <v>282</v>
      </c>
      <c r="K4" s="444">
        <v>282</v>
      </c>
      <c r="L4" s="444">
        <v>282</v>
      </c>
      <c r="M4" s="444">
        <v>282</v>
      </c>
      <c r="N4" s="444">
        <v>282</v>
      </c>
      <c r="O4" s="444">
        <v>282</v>
      </c>
      <c r="P4" s="444">
        <v>282</v>
      </c>
      <c r="Q4" s="444">
        <v>282</v>
      </c>
      <c r="R4" s="444">
        <v>282</v>
      </c>
    </row>
    <row r="5" spans="1:18">
      <c r="A5" s="446" t="s">
        <v>17</v>
      </c>
      <c r="B5" s="447">
        <v>0</v>
      </c>
      <c r="C5" s="447">
        <v>0</v>
      </c>
      <c r="D5" s="447">
        <v>0</v>
      </c>
      <c r="E5" s="448">
        <v>0</v>
      </c>
      <c r="F5" s="447">
        <v>0</v>
      </c>
      <c r="G5" s="447">
        <v>0</v>
      </c>
      <c r="H5" s="447">
        <v>0</v>
      </c>
      <c r="I5" s="447">
        <v>64636</v>
      </c>
      <c r="J5" s="447">
        <f>-243134-29744</f>
        <v>-272878</v>
      </c>
      <c r="K5" s="448">
        <v>0</v>
      </c>
      <c r="L5" s="448">
        <v>0</v>
      </c>
      <c r="M5" s="448">
        <v>0</v>
      </c>
      <c r="N5" s="448">
        <v>0</v>
      </c>
      <c r="O5" s="448">
        <v>0</v>
      </c>
      <c r="P5" s="448">
        <v>0</v>
      </c>
      <c r="Q5" s="448">
        <v>0</v>
      </c>
      <c r="R5" s="448">
        <f t="shared" ref="R5:R21" si="0">SUM(B5:Q5)</f>
        <v>-208242</v>
      </c>
    </row>
    <row r="6" spans="1:18">
      <c r="A6" s="446" t="s">
        <v>119</v>
      </c>
      <c r="B6" s="448">
        <v>0</v>
      </c>
      <c r="C6" s="448">
        <v>0</v>
      </c>
      <c r="D6" s="448">
        <v>0</v>
      </c>
      <c r="E6" s="448">
        <v>0</v>
      </c>
      <c r="F6" s="448">
        <v>0</v>
      </c>
      <c r="G6" s="448">
        <v>0</v>
      </c>
      <c r="H6" s="448">
        <v>0</v>
      </c>
      <c r="I6" s="448">
        <v>1467</v>
      </c>
      <c r="J6" s="448">
        <v>1096</v>
      </c>
      <c r="K6" s="448">
        <v>0</v>
      </c>
      <c r="L6" s="448">
        <v>0</v>
      </c>
      <c r="M6" s="448">
        <v>0</v>
      </c>
      <c r="N6" s="448">
        <v>0</v>
      </c>
      <c r="O6" s="448">
        <v>0</v>
      </c>
      <c r="P6" s="448">
        <v>0</v>
      </c>
      <c r="Q6" s="448">
        <v>0</v>
      </c>
      <c r="R6" s="448">
        <f t="shared" si="0"/>
        <v>2563</v>
      </c>
    </row>
    <row r="7" spans="1:18">
      <c r="A7" s="446" t="s">
        <v>162</v>
      </c>
      <c r="B7" s="448">
        <v>0</v>
      </c>
      <c r="C7" s="448">
        <v>0</v>
      </c>
      <c r="D7" s="448">
        <v>0</v>
      </c>
      <c r="E7" s="448">
        <v>0</v>
      </c>
      <c r="F7" s="448">
        <v>0</v>
      </c>
      <c r="G7" s="448">
        <v>0</v>
      </c>
      <c r="H7" s="448">
        <v>0</v>
      </c>
      <c r="I7" s="448">
        <f>17751028+2696182+995893</f>
        <v>21443103</v>
      </c>
      <c r="J7" s="448">
        <f>-881515-181491-2164644-689693+684486+138235</f>
        <v>-3094622</v>
      </c>
      <c r="K7" s="448">
        <v>0</v>
      </c>
      <c r="L7" s="448">
        <v>0</v>
      </c>
      <c r="M7" s="448">
        <v>0</v>
      </c>
      <c r="N7" s="448">
        <v>0</v>
      </c>
      <c r="O7" s="448">
        <v>-3188162</v>
      </c>
      <c r="P7" s="448">
        <v>1030516</v>
      </c>
      <c r="Q7" s="448">
        <v>0</v>
      </c>
      <c r="R7" s="448">
        <f t="shared" si="0"/>
        <v>16190835</v>
      </c>
    </row>
    <row r="8" spans="1:18">
      <c r="A8" s="446" t="s">
        <v>160</v>
      </c>
      <c r="B8" s="448">
        <v>8495028</v>
      </c>
      <c r="C8" s="448">
        <v>0</v>
      </c>
      <c r="D8" s="448">
        <f>2531581+53979</f>
        <v>2585560</v>
      </c>
      <c r="E8" s="448">
        <v>0</v>
      </c>
      <c r="F8" s="448">
        <v>0</v>
      </c>
      <c r="G8" s="448">
        <v>0</v>
      </c>
      <c r="H8" s="448">
        <v>0</v>
      </c>
      <c r="I8" s="448">
        <f>128833+1956165+419654</f>
        <v>2504652</v>
      </c>
      <c r="J8" s="448">
        <f>-384065-160681-1035367-1097301-1260061+339218</f>
        <v>-3598257</v>
      </c>
      <c r="K8" s="448">
        <v>0</v>
      </c>
      <c r="L8" s="448">
        <v>0</v>
      </c>
      <c r="M8" s="448">
        <v>0</v>
      </c>
      <c r="N8" s="448">
        <v>63556</v>
      </c>
      <c r="O8" s="448">
        <v>-566537</v>
      </c>
      <c r="P8" s="448">
        <v>276495</v>
      </c>
      <c r="Q8" s="448">
        <v>0</v>
      </c>
      <c r="R8" s="448">
        <f t="shared" si="0"/>
        <v>9760497</v>
      </c>
    </row>
    <row r="9" spans="1:18">
      <c r="A9" s="446" t="s">
        <v>20</v>
      </c>
      <c r="B9" s="448">
        <v>0</v>
      </c>
      <c r="C9" s="448">
        <v>0</v>
      </c>
      <c r="D9" s="448">
        <v>0</v>
      </c>
      <c r="E9" s="448">
        <v>0</v>
      </c>
      <c r="F9" s="448">
        <v>-35987</v>
      </c>
      <c r="G9" s="448">
        <v>0</v>
      </c>
      <c r="H9" s="448">
        <v>0</v>
      </c>
      <c r="I9" s="448">
        <v>0</v>
      </c>
      <c r="J9" s="448">
        <v>0</v>
      </c>
      <c r="K9" s="448">
        <v>0</v>
      </c>
      <c r="L9" s="448">
        <v>0</v>
      </c>
      <c r="M9" s="448">
        <v>0</v>
      </c>
      <c r="N9" s="448">
        <v>0</v>
      </c>
      <c r="O9" s="448">
        <v>0</v>
      </c>
      <c r="P9" s="448">
        <v>0</v>
      </c>
      <c r="Q9" s="448">
        <v>0</v>
      </c>
      <c r="R9" s="448">
        <f t="shared" si="0"/>
        <v>-35987</v>
      </c>
    </row>
    <row r="10" spans="1:18">
      <c r="A10" s="446" t="s">
        <v>60</v>
      </c>
      <c r="B10" s="448">
        <v>0</v>
      </c>
      <c r="C10" s="448">
        <v>0</v>
      </c>
      <c r="D10" s="448">
        <v>0</v>
      </c>
      <c r="E10" s="448">
        <v>0</v>
      </c>
      <c r="F10" s="448">
        <v>0</v>
      </c>
      <c r="G10" s="448">
        <v>0</v>
      </c>
      <c r="H10" s="448">
        <v>0</v>
      </c>
      <c r="I10" s="448">
        <v>928</v>
      </c>
      <c r="J10" s="448">
        <v>88679</v>
      </c>
      <c r="K10" s="448">
        <v>0</v>
      </c>
      <c r="L10" s="448">
        <v>0</v>
      </c>
      <c r="M10" s="448">
        <v>0</v>
      </c>
      <c r="N10" s="448">
        <v>0</v>
      </c>
      <c r="O10" s="448">
        <v>0</v>
      </c>
      <c r="P10" s="448">
        <v>0</v>
      </c>
      <c r="Q10" s="448">
        <v>0</v>
      </c>
      <c r="R10" s="448">
        <f t="shared" si="0"/>
        <v>89607</v>
      </c>
    </row>
    <row r="11" spans="1:18">
      <c r="A11" s="446" t="s">
        <v>29</v>
      </c>
      <c r="B11" s="448">
        <v>0</v>
      </c>
      <c r="C11" s="448">
        <v>0</v>
      </c>
      <c r="D11" s="448">
        <v>0</v>
      </c>
      <c r="E11" s="448">
        <v>0</v>
      </c>
      <c r="F11" s="448">
        <v>0</v>
      </c>
      <c r="G11" s="448">
        <v>0</v>
      </c>
      <c r="H11" s="448">
        <v>0</v>
      </c>
      <c r="I11" s="448">
        <v>17390</v>
      </c>
      <c r="J11" s="448">
        <f>-305877+361165</f>
        <v>55288</v>
      </c>
      <c r="K11" s="448">
        <v>0</v>
      </c>
      <c r="L11" s="448">
        <v>0</v>
      </c>
      <c r="M11" s="448">
        <v>0</v>
      </c>
      <c r="N11" s="448">
        <v>0</v>
      </c>
      <c r="O11" s="448">
        <v>0</v>
      </c>
      <c r="P11" s="448">
        <v>0</v>
      </c>
      <c r="Q11" s="448">
        <v>0</v>
      </c>
      <c r="R11" s="448">
        <f t="shared" si="0"/>
        <v>72678</v>
      </c>
    </row>
    <row r="12" spans="1:18">
      <c r="A12" s="446" t="s">
        <v>168</v>
      </c>
      <c r="B12" s="448">
        <v>0</v>
      </c>
      <c r="C12" s="448">
        <v>0</v>
      </c>
      <c r="D12" s="448">
        <f>35791797+464894</f>
        <v>36256691</v>
      </c>
      <c r="E12" s="448">
        <v>0</v>
      </c>
      <c r="F12" s="448">
        <v>-2786</v>
      </c>
      <c r="G12" s="448">
        <v>0</v>
      </c>
      <c r="H12" s="448">
        <v>0</v>
      </c>
      <c r="I12" s="448">
        <f>-21161-4908205</f>
        <v>-4929366</v>
      </c>
      <c r="J12" s="448">
        <f>-243739+24967+4495</f>
        <v>-214277</v>
      </c>
      <c r="K12" s="448">
        <f>10555779+450465</f>
        <v>11006244</v>
      </c>
      <c r="L12" s="448">
        <v>0</v>
      </c>
      <c r="M12" s="448">
        <v>0</v>
      </c>
      <c r="N12" s="448">
        <v>-4626</v>
      </c>
      <c r="O12" s="448">
        <v>0</v>
      </c>
      <c r="P12" s="448">
        <v>-3806</v>
      </c>
      <c r="Q12" s="448">
        <v>0</v>
      </c>
      <c r="R12" s="448">
        <f t="shared" si="0"/>
        <v>42108074</v>
      </c>
    </row>
    <row r="13" spans="1:18">
      <c r="A13" s="446" t="s">
        <v>30</v>
      </c>
      <c r="B13" s="448">
        <v>0</v>
      </c>
      <c r="C13" s="448">
        <v>0</v>
      </c>
      <c r="D13" s="448">
        <v>0</v>
      </c>
      <c r="E13" s="448">
        <v>0</v>
      </c>
      <c r="F13" s="448">
        <v>0</v>
      </c>
      <c r="G13" s="448">
        <v>0</v>
      </c>
      <c r="H13" s="448">
        <v>0</v>
      </c>
      <c r="I13" s="448">
        <v>355681</v>
      </c>
      <c r="J13" s="448">
        <f>-1192807+254149</f>
        <v>-938658</v>
      </c>
      <c r="K13" s="448">
        <v>0</v>
      </c>
      <c r="L13" s="448">
        <v>0</v>
      </c>
      <c r="M13" s="448">
        <v>0</v>
      </c>
      <c r="N13" s="448">
        <v>0</v>
      </c>
      <c r="O13" s="448">
        <v>0</v>
      </c>
      <c r="P13" s="448">
        <v>0</v>
      </c>
      <c r="Q13" s="448">
        <v>0</v>
      </c>
      <c r="R13" s="448">
        <f t="shared" si="0"/>
        <v>-582977</v>
      </c>
    </row>
    <row r="14" spans="1:18">
      <c r="A14" s="446" t="s">
        <v>15</v>
      </c>
      <c r="B14" s="448">
        <v>0</v>
      </c>
      <c r="C14" s="448">
        <v>0</v>
      </c>
      <c r="D14" s="448">
        <v>0</v>
      </c>
      <c r="E14" s="448">
        <v>0</v>
      </c>
      <c r="F14" s="448">
        <v>0</v>
      </c>
      <c r="G14" s="448">
        <v>0</v>
      </c>
      <c r="H14" s="448">
        <v>0</v>
      </c>
      <c r="I14" s="448">
        <v>0</v>
      </c>
      <c r="J14" s="448">
        <v>0</v>
      </c>
      <c r="K14" s="448">
        <v>0</v>
      </c>
      <c r="L14" s="448">
        <v>0</v>
      </c>
      <c r="M14" s="448">
        <v>0</v>
      </c>
      <c r="N14" s="448">
        <v>0</v>
      </c>
      <c r="O14" s="448">
        <v>0</v>
      </c>
      <c r="P14" s="448">
        <v>0</v>
      </c>
      <c r="Q14" s="448">
        <v>0</v>
      </c>
      <c r="R14" s="448">
        <f t="shared" si="0"/>
        <v>0</v>
      </c>
    </row>
    <row r="15" spans="1:18">
      <c r="A15" s="446" t="s">
        <v>19</v>
      </c>
      <c r="B15" s="448">
        <v>0</v>
      </c>
      <c r="C15" s="448">
        <f>-327692+1113</f>
        <v>-326579</v>
      </c>
      <c r="D15" s="448">
        <v>0</v>
      </c>
      <c r="E15" s="448">
        <f>-195336+9467461+1704425</f>
        <v>10976550</v>
      </c>
      <c r="F15" s="448">
        <v>-16021889</v>
      </c>
      <c r="G15" s="448">
        <v>0</v>
      </c>
      <c r="H15" s="448">
        <v>0</v>
      </c>
      <c r="I15" s="448">
        <f>244794+1658854</f>
        <v>1903648</v>
      </c>
      <c r="J15" s="448">
        <v>-618150</v>
      </c>
      <c r="K15" s="448">
        <v>0</v>
      </c>
      <c r="L15" s="448">
        <v>-9526702</v>
      </c>
      <c r="M15" s="448">
        <v>-81922875</v>
      </c>
      <c r="N15" s="448">
        <v>1874083</v>
      </c>
      <c r="O15" s="448">
        <v>3754699</v>
      </c>
      <c r="P15" s="448">
        <v>-1303205</v>
      </c>
      <c r="Q15" s="448">
        <v>0</v>
      </c>
      <c r="R15" s="448">
        <f t="shared" si="0"/>
        <v>-91210420</v>
      </c>
    </row>
    <row r="16" spans="1:18">
      <c r="A16" s="446" t="s">
        <v>10</v>
      </c>
      <c r="B16" s="448">
        <v>0</v>
      </c>
      <c r="C16" s="448">
        <v>0</v>
      </c>
      <c r="D16" s="448">
        <v>0</v>
      </c>
      <c r="E16" s="448">
        <v>0</v>
      </c>
      <c r="F16" s="448">
        <v>404815</v>
      </c>
      <c r="G16" s="448">
        <v>0</v>
      </c>
      <c r="H16" s="448">
        <v>0</v>
      </c>
      <c r="I16" s="448">
        <v>248243</v>
      </c>
      <c r="J16" s="448">
        <f>-3429572+605567</f>
        <v>-2824005</v>
      </c>
      <c r="K16" s="448">
        <v>0</v>
      </c>
      <c r="L16" s="448">
        <v>0</v>
      </c>
      <c r="M16" s="448">
        <v>0</v>
      </c>
      <c r="N16" s="448">
        <v>61846</v>
      </c>
      <c r="O16" s="448">
        <v>0</v>
      </c>
      <c r="P16" s="448">
        <v>0</v>
      </c>
      <c r="Q16" s="448">
        <v>0</v>
      </c>
      <c r="R16" s="448">
        <f t="shared" si="0"/>
        <v>-2109101</v>
      </c>
    </row>
    <row r="17" spans="1:19">
      <c r="A17" s="446" t="s">
        <v>16</v>
      </c>
      <c r="B17" s="448">
        <v>0</v>
      </c>
      <c r="C17" s="448">
        <v>0</v>
      </c>
      <c r="D17" s="448">
        <v>0</v>
      </c>
      <c r="E17" s="448">
        <v>0</v>
      </c>
      <c r="F17" s="448">
        <v>2682998</v>
      </c>
      <c r="G17" s="448">
        <v>0</v>
      </c>
      <c r="H17" s="448">
        <v>0</v>
      </c>
      <c r="I17" s="448">
        <v>0</v>
      </c>
      <c r="J17" s="448">
        <v>0</v>
      </c>
      <c r="K17" s="448">
        <v>0</v>
      </c>
      <c r="L17" s="448">
        <v>0</v>
      </c>
      <c r="M17" s="448">
        <v>0</v>
      </c>
      <c r="N17" s="448">
        <v>0</v>
      </c>
      <c r="O17" s="448">
        <v>0</v>
      </c>
      <c r="P17" s="448">
        <v>0</v>
      </c>
      <c r="Q17" s="448">
        <v>0</v>
      </c>
      <c r="R17" s="448">
        <f t="shared" si="0"/>
        <v>2682998</v>
      </c>
    </row>
    <row r="18" spans="1:19">
      <c r="A18" s="446" t="s">
        <v>21</v>
      </c>
      <c r="B18" s="448">
        <v>0</v>
      </c>
      <c r="C18" s="448">
        <v>0</v>
      </c>
      <c r="D18" s="448">
        <v>0</v>
      </c>
      <c r="E18" s="448">
        <v>0</v>
      </c>
      <c r="F18" s="448">
        <v>405626</v>
      </c>
      <c r="G18" s="448">
        <v>0</v>
      </c>
      <c r="H18" s="448">
        <v>0</v>
      </c>
      <c r="I18" s="448">
        <v>0</v>
      </c>
      <c r="J18" s="448">
        <v>0</v>
      </c>
      <c r="K18" s="448">
        <v>0</v>
      </c>
      <c r="L18" s="448">
        <v>0</v>
      </c>
      <c r="M18" s="448">
        <v>0</v>
      </c>
      <c r="N18" s="448">
        <v>0</v>
      </c>
      <c r="O18" s="448">
        <v>0</v>
      </c>
      <c r="P18" s="448">
        <v>0</v>
      </c>
      <c r="Q18" s="448">
        <v>0</v>
      </c>
      <c r="R18" s="448">
        <f t="shared" si="0"/>
        <v>405626</v>
      </c>
    </row>
    <row r="19" spans="1:19">
      <c r="A19" s="446" t="s">
        <v>28</v>
      </c>
      <c r="B19" s="448">
        <v>0</v>
      </c>
      <c r="C19" s="448">
        <v>0</v>
      </c>
      <c r="D19" s="448">
        <v>0</v>
      </c>
      <c r="E19" s="448">
        <v>0</v>
      </c>
      <c r="F19" s="448">
        <v>0</v>
      </c>
      <c r="G19" s="448">
        <v>0</v>
      </c>
      <c r="H19" s="448">
        <v>0</v>
      </c>
      <c r="I19" s="448">
        <v>491165</v>
      </c>
      <c r="J19" s="448">
        <f>-3043820+3165749</f>
        <v>121929</v>
      </c>
      <c r="K19" s="448">
        <v>0</v>
      </c>
      <c r="L19" s="448">
        <v>0</v>
      </c>
      <c r="M19" s="448">
        <v>0</v>
      </c>
      <c r="N19" s="448">
        <v>0</v>
      </c>
      <c r="O19" s="448">
        <v>0</v>
      </c>
      <c r="P19" s="448">
        <v>0</v>
      </c>
      <c r="Q19" s="448">
        <v>0</v>
      </c>
      <c r="R19" s="448">
        <f t="shared" si="0"/>
        <v>613094</v>
      </c>
    </row>
    <row r="20" spans="1:19">
      <c r="A20" s="446" t="s">
        <v>26</v>
      </c>
      <c r="B20" s="448">
        <v>0</v>
      </c>
      <c r="C20" s="448">
        <v>0</v>
      </c>
      <c r="D20" s="448">
        <v>0</v>
      </c>
      <c r="E20" s="448">
        <v>0</v>
      </c>
      <c r="F20" s="448">
        <v>8675778</v>
      </c>
      <c r="G20" s="448">
        <v>28098099</v>
      </c>
      <c r="H20" s="448">
        <v>0</v>
      </c>
      <c r="I20" s="448">
        <v>13706</v>
      </c>
      <c r="J20" s="448">
        <f>-214103+52546</f>
        <v>-161557</v>
      </c>
      <c r="K20" s="448">
        <v>0</v>
      </c>
      <c r="L20" s="448">
        <v>0</v>
      </c>
      <c r="M20" s="448">
        <v>0</v>
      </c>
      <c r="N20" s="448">
        <v>3538</v>
      </c>
      <c r="O20" s="448">
        <f>7469341-1965000-1205864</f>
        <v>4298477</v>
      </c>
      <c r="P20" s="448">
        <v>0</v>
      </c>
      <c r="Q20" s="448">
        <v>-7914497</v>
      </c>
      <c r="R20" s="448">
        <f t="shared" si="0"/>
        <v>33013544</v>
      </c>
    </row>
    <row r="21" spans="1:19">
      <c r="A21" s="446" t="s">
        <v>32</v>
      </c>
      <c r="B21" s="450">
        <v>0</v>
      </c>
      <c r="C21" s="450">
        <v>0</v>
      </c>
      <c r="D21" s="450">
        <v>0</v>
      </c>
      <c r="E21" s="448">
        <v>0</v>
      </c>
      <c r="F21" s="450">
        <v>0</v>
      </c>
      <c r="G21" s="450">
        <v>0</v>
      </c>
      <c r="H21" s="450">
        <v>0</v>
      </c>
      <c r="I21" s="450">
        <v>-109208</v>
      </c>
      <c r="J21" s="450">
        <f>-462830+375848</f>
        <v>-86982</v>
      </c>
      <c r="K21" s="448">
        <v>0</v>
      </c>
      <c r="L21" s="448">
        <v>0</v>
      </c>
      <c r="M21" s="448">
        <v>0</v>
      </c>
      <c r="N21" s="448">
        <v>0</v>
      </c>
      <c r="O21" s="448">
        <v>0</v>
      </c>
      <c r="P21" s="448">
        <v>0</v>
      </c>
      <c r="Q21" s="448">
        <v>0</v>
      </c>
      <c r="R21" s="448">
        <f t="shared" si="0"/>
        <v>-196190</v>
      </c>
    </row>
    <row r="22" spans="1:19">
      <c r="A22" s="487" t="s">
        <v>700</v>
      </c>
      <c r="B22" s="461">
        <f t="shared" ref="B22:P22" si="1">SUM(B5:B21)</f>
        <v>8495028</v>
      </c>
      <c r="C22" s="461">
        <f t="shared" si="1"/>
        <v>-326579</v>
      </c>
      <c r="D22" s="461">
        <f t="shared" si="1"/>
        <v>38842251</v>
      </c>
      <c r="E22" s="461">
        <f t="shared" si="1"/>
        <v>10976550</v>
      </c>
      <c r="F22" s="461">
        <f t="shared" si="1"/>
        <v>-3891445</v>
      </c>
      <c r="G22" s="461">
        <f t="shared" si="1"/>
        <v>28098099</v>
      </c>
      <c r="H22" s="461">
        <f t="shared" si="1"/>
        <v>0</v>
      </c>
      <c r="I22" s="461">
        <f t="shared" si="1"/>
        <v>22006045</v>
      </c>
      <c r="J22" s="461">
        <f t="shared" si="1"/>
        <v>-11542394</v>
      </c>
      <c r="K22" s="461">
        <f t="shared" si="1"/>
        <v>11006244</v>
      </c>
      <c r="L22" s="461">
        <f t="shared" si="1"/>
        <v>-9526702</v>
      </c>
      <c r="M22" s="461">
        <f t="shared" si="1"/>
        <v>-81922875</v>
      </c>
      <c r="N22" s="461">
        <f t="shared" si="1"/>
        <v>1998397</v>
      </c>
      <c r="O22" s="461">
        <f t="shared" si="1"/>
        <v>4298477</v>
      </c>
      <c r="P22" s="461">
        <f t="shared" si="1"/>
        <v>0</v>
      </c>
      <c r="Q22" s="461">
        <f t="shared" ref="Q22" si="2">SUM(Q5:Q21)</f>
        <v>-7914497</v>
      </c>
      <c r="R22" s="461">
        <f>SUM(R5:R21)</f>
        <v>10596599</v>
      </c>
    </row>
    <row r="23" spans="1:19">
      <c r="A23" s="488"/>
    </row>
    <row r="24" spans="1:19">
      <c r="A24" s="487" t="s">
        <v>701</v>
      </c>
      <c r="B24" s="453">
        <v>0</v>
      </c>
      <c r="C24" s="453">
        <v>0</v>
      </c>
      <c r="D24" s="453">
        <v>0</v>
      </c>
      <c r="E24" s="453">
        <v>0</v>
      </c>
      <c r="F24" s="453">
        <v>0</v>
      </c>
      <c r="G24" s="453">
        <v>0</v>
      </c>
      <c r="H24" s="453">
        <v>11302222</v>
      </c>
      <c r="I24" s="453">
        <v>0</v>
      </c>
      <c r="J24" s="453">
        <v>0</v>
      </c>
      <c r="K24" s="453">
        <v>0</v>
      </c>
      <c r="L24" s="453">
        <v>0</v>
      </c>
      <c r="M24" s="453">
        <v>0</v>
      </c>
      <c r="N24" s="453">
        <v>0</v>
      </c>
      <c r="O24" s="453">
        <v>0</v>
      </c>
      <c r="P24" s="453">
        <v>0</v>
      </c>
      <c r="Q24" s="453">
        <v>0</v>
      </c>
      <c r="R24" s="453">
        <f>SUM(B24:Q24)</f>
        <v>11302222</v>
      </c>
    </row>
    <row r="25" spans="1:19">
      <c r="A25" s="489"/>
    </row>
    <row r="26" spans="1:19">
      <c r="A26" s="487" t="s">
        <v>699</v>
      </c>
      <c r="B26" s="461">
        <f>+B24+B22</f>
        <v>8495028</v>
      </c>
      <c r="C26" s="461">
        <f t="shared" ref="C26:R26" si="3">+C24+C22</f>
        <v>-326579</v>
      </c>
      <c r="D26" s="461">
        <f t="shared" si="3"/>
        <v>38842251</v>
      </c>
      <c r="E26" s="461">
        <f t="shared" si="3"/>
        <v>10976550</v>
      </c>
      <c r="F26" s="461">
        <f t="shared" si="3"/>
        <v>-3891445</v>
      </c>
      <c r="G26" s="461">
        <f t="shared" si="3"/>
        <v>28098099</v>
      </c>
      <c r="H26" s="461">
        <f t="shared" si="3"/>
        <v>11302222</v>
      </c>
      <c r="I26" s="461">
        <f t="shared" si="3"/>
        <v>22006045</v>
      </c>
      <c r="J26" s="461">
        <f t="shared" si="3"/>
        <v>-11542394</v>
      </c>
      <c r="K26" s="461">
        <f t="shared" si="3"/>
        <v>11006244</v>
      </c>
      <c r="L26" s="461">
        <f t="shared" si="3"/>
        <v>-9526702</v>
      </c>
      <c r="M26" s="461">
        <f t="shared" si="3"/>
        <v>-81922875</v>
      </c>
      <c r="N26" s="461">
        <f t="shared" si="3"/>
        <v>1998397</v>
      </c>
      <c r="O26" s="461">
        <f t="shared" si="3"/>
        <v>4298477</v>
      </c>
      <c r="P26" s="461">
        <f t="shared" si="3"/>
        <v>0</v>
      </c>
      <c r="Q26" s="461">
        <f t="shared" si="3"/>
        <v>-7914497</v>
      </c>
      <c r="R26" s="461">
        <f t="shared" si="3"/>
        <v>21898821</v>
      </c>
    </row>
    <row r="27" spans="1:19">
      <c r="B27" s="462"/>
      <c r="C27" s="462"/>
      <c r="D27" s="462"/>
      <c r="F27" s="462"/>
      <c r="G27" s="462"/>
    </row>
    <row r="30" spans="1:19" ht="51">
      <c r="A30" s="443" t="s">
        <v>659</v>
      </c>
      <c r="B30" s="443" t="s">
        <v>672</v>
      </c>
      <c r="C30" s="443" t="s">
        <v>653</v>
      </c>
      <c r="D30" s="443" t="s">
        <v>663</v>
      </c>
      <c r="E30" s="443" t="s">
        <v>664</v>
      </c>
      <c r="F30" s="443" t="s">
        <v>676</v>
      </c>
      <c r="G30" s="443" t="s">
        <v>674</v>
      </c>
      <c r="H30" s="443" t="s">
        <v>675</v>
      </c>
      <c r="I30" s="443" t="s">
        <v>665</v>
      </c>
      <c r="J30" s="443" t="s">
        <v>657</v>
      </c>
      <c r="K30" s="443" t="s">
        <v>658</v>
      </c>
      <c r="L30" s="443" t="s">
        <v>666</v>
      </c>
      <c r="M30" s="443" t="s">
        <v>667</v>
      </c>
      <c r="N30" s="443" t="s">
        <v>668</v>
      </c>
      <c r="O30" s="443" t="s">
        <v>669</v>
      </c>
      <c r="P30" s="443" t="s">
        <v>670</v>
      </c>
      <c r="Q30" s="443" t="s">
        <v>677</v>
      </c>
      <c r="R30" s="443" t="s">
        <v>94</v>
      </c>
      <c r="S30" s="443" t="s">
        <v>717</v>
      </c>
    </row>
    <row r="31" spans="1:19">
      <c r="A31" s="463"/>
      <c r="B31" s="444">
        <v>5.3</v>
      </c>
      <c r="C31" s="444">
        <v>5.5</v>
      </c>
      <c r="D31" s="444">
        <v>6.4</v>
      </c>
      <c r="E31" s="445" t="s">
        <v>633</v>
      </c>
      <c r="F31" s="445">
        <v>7.4</v>
      </c>
      <c r="G31" s="445">
        <v>7.6</v>
      </c>
      <c r="H31" s="445">
        <v>7.11</v>
      </c>
      <c r="I31" s="444">
        <v>7.12</v>
      </c>
      <c r="J31" s="444">
        <v>8.4</v>
      </c>
      <c r="K31" s="444">
        <v>8.9</v>
      </c>
      <c r="L31" s="444">
        <v>8.1199999999999992</v>
      </c>
      <c r="M31" s="444">
        <v>8.1300000000000008</v>
      </c>
      <c r="N31" s="444">
        <v>9.1</v>
      </c>
      <c r="O31" s="444">
        <v>9.1999999999999993</v>
      </c>
      <c r="P31" s="444">
        <v>9.3000000000000007</v>
      </c>
      <c r="Q31" s="444">
        <v>9.4</v>
      </c>
      <c r="R31" s="444"/>
      <c r="S31" s="463"/>
    </row>
    <row r="32" spans="1:19">
      <c r="A32" s="486"/>
      <c r="B32" s="444">
        <v>282</v>
      </c>
      <c r="C32" s="444">
        <v>282</v>
      </c>
      <c r="D32" s="444">
        <v>282</v>
      </c>
      <c r="E32" s="444">
        <v>282</v>
      </c>
      <c r="F32" s="444">
        <v>282</v>
      </c>
      <c r="G32" s="444">
        <v>282</v>
      </c>
      <c r="H32" s="444">
        <v>282</v>
      </c>
      <c r="I32" s="444">
        <v>282</v>
      </c>
      <c r="J32" s="444">
        <v>282</v>
      </c>
      <c r="K32" s="444">
        <v>282</v>
      </c>
      <c r="L32" s="444">
        <v>282</v>
      </c>
      <c r="M32" s="444">
        <v>282</v>
      </c>
      <c r="N32" s="444">
        <v>282</v>
      </c>
      <c r="O32" s="444">
        <v>282</v>
      </c>
      <c r="P32" s="444">
        <v>282</v>
      </c>
      <c r="Q32" s="444">
        <v>282</v>
      </c>
      <c r="R32" s="444">
        <v>282</v>
      </c>
      <c r="S32" s="444">
        <v>282</v>
      </c>
    </row>
    <row r="33" spans="1:19">
      <c r="A33" s="446" t="s">
        <v>17</v>
      </c>
      <c r="B33" s="447">
        <v>0</v>
      </c>
      <c r="C33" s="447">
        <v>0</v>
      </c>
      <c r="D33" s="447">
        <v>0</v>
      </c>
      <c r="E33" s="448">
        <v>0</v>
      </c>
      <c r="F33" s="447">
        <v>0</v>
      </c>
      <c r="G33" s="447">
        <v>0</v>
      </c>
      <c r="H33" s="447">
        <v>0</v>
      </c>
      <c r="I33" s="447">
        <v>0</v>
      </c>
      <c r="J33" s="447">
        <v>0</v>
      </c>
      <c r="K33" s="448">
        <v>0</v>
      </c>
      <c r="L33" s="448">
        <v>0</v>
      </c>
      <c r="M33" s="448">
        <v>0</v>
      </c>
      <c r="N33" s="448">
        <v>0</v>
      </c>
      <c r="O33" s="448">
        <v>0</v>
      </c>
      <c r="P33" s="448">
        <v>0</v>
      </c>
      <c r="Q33" s="448">
        <v>0</v>
      </c>
      <c r="R33" s="448">
        <f t="shared" ref="R33:R49" si="4">SUM(B33:Q33)</f>
        <v>0</v>
      </c>
      <c r="S33" s="464">
        <v>0</v>
      </c>
    </row>
    <row r="34" spans="1:19">
      <c r="A34" s="446" t="s">
        <v>119</v>
      </c>
      <c r="B34" s="448">
        <v>0</v>
      </c>
      <c r="C34" s="448">
        <v>0</v>
      </c>
      <c r="D34" s="448">
        <v>0</v>
      </c>
      <c r="E34" s="448">
        <v>0</v>
      </c>
      <c r="F34" s="448">
        <v>0</v>
      </c>
      <c r="G34" s="448">
        <v>0</v>
      </c>
      <c r="H34" s="448">
        <v>0</v>
      </c>
      <c r="I34" s="448">
        <v>0</v>
      </c>
      <c r="J34" s="448">
        <v>0</v>
      </c>
      <c r="K34" s="448">
        <v>0</v>
      </c>
      <c r="L34" s="448">
        <v>0</v>
      </c>
      <c r="M34" s="448">
        <v>0</v>
      </c>
      <c r="N34" s="448">
        <v>0</v>
      </c>
      <c r="O34" s="448">
        <v>0</v>
      </c>
      <c r="P34" s="448">
        <v>0</v>
      </c>
      <c r="Q34" s="448">
        <v>0</v>
      </c>
      <c r="R34" s="448">
        <f t="shared" si="4"/>
        <v>0</v>
      </c>
      <c r="S34" s="464">
        <f>VLOOKUP(A34,'Allocation Factors'!$B$3:$N$89,5,FALSE)</f>
        <v>0</v>
      </c>
    </row>
    <row r="35" spans="1:19">
      <c r="A35" s="446" t="s">
        <v>162</v>
      </c>
      <c r="B35" s="448">
        <v>0</v>
      </c>
      <c r="C35" s="448">
        <v>0</v>
      </c>
      <c r="D35" s="448">
        <v>0</v>
      </c>
      <c r="E35" s="448">
        <v>0</v>
      </c>
      <c r="F35" s="448">
        <v>0</v>
      </c>
      <c r="G35" s="448">
        <v>0</v>
      </c>
      <c r="H35" s="448">
        <v>0</v>
      </c>
      <c r="I35" s="448">
        <v>0</v>
      </c>
      <c r="J35" s="448">
        <v>0</v>
      </c>
      <c r="K35" s="448">
        <v>0</v>
      </c>
      <c r="L35" s="448">
        <v>0</v>
      </c>
      <c r="M35" s="448">
        <v>0</v>
      </c>
      <c r="N35" s="448">
        <v>0</v>
      </c>
      <c r="O35" s="448">
        <v>0</v>
      </c>
      <c r="P35" s="448">
        <v>0</v>
      </c>
      <c r="Q35" s="448">
        <v>0</v>
      </c>
      <c r="R35" s="448">
        <f t="shared" si="4"/>
        <v>0</v>
      </c>
      <c r="S35" s="464">
        <f>VLOOKUP(A35,'Allocation Factors'!$B$3:$N$89,5,FALSE)</f>
        <v>0</v>
      </c>
    </row>
    <row r="36" spans="1:19">
      <c r="A36" s="446" t="s">
        <v>160</v>
      </c>
      <c r="B36" s="448">
        <f>ROUND(B8*S36,0)</f>
        <v>1832989</v>
      </c>
      <c r="C36" s="448">
        <v>0</v>
      </c>
      <c r="D36" s="448">
        <f>ROUND(D8*S36,0)</f>
        <v>557891</v>
      </c>
      <c r="E36" s="448">
        <v>0</v>
      </c>
      <c r="F36" s="448">
        <v>0</v>
      </c>
      <c r="G36" s="448">
        <v>0</v>
      </c>
      <c r="H36" s="448">
        <v>0</v>
      </c>
      <c r="I36" s="448">
        <f>ROUND(I8*S36,0)</f>
        <v>540434</v>
      </c>
      <c r="J36" s="448">
        <f>ROUND(J8*S36,0)</f>
        <v>-776403</v>
      </c>
      <c r="K36" s="448">
        <v>0</v>
      </c>
      <c r="L36" s="448">
        <v>0</v>
      </c>
      <c r="M36" s="448">
        <v>0</v>
      </c>
      <c r="N36" s="448">
        <f>ROUND(N8*S36,0)</f>
        <v>13714</v>
      </c>
      <c r="O36" s="448">
        <f>ROUND(O8*S36,0)</f>
        <v>-122243</v>
      </c>
      <c r="P36" s="448">
        <f>ROUND(P8*S36,0)</f>
        <v>59660</v>
      </c>
      <c r="Q36" s="448">
        <v>0</v>
      </c>
      <c r="R36" s="448">
        <f t="shared" si="4"/>
        <v>2106042</v>
      </c>
      <c r="S36" s="464">
        <f>VLOOKUP(A36,'Allocation Factors'!$B$3:$N$89,5,FALSE)</f>
        <v>0.21577192756641544</v>
      </c>
    </row>
    <row r="37" spans="1:19">
      <c r="A37" s="446" t="s">
        <v>20</v>
      </c>
      <c r="B37" s="448">
        <v>0</v>
      </c>
      <c r="C37" s="448">
        <v>0</v>
      </c>
      <c r="D37" s="448">
        <v>0</v>
      </c>
      <c r="E37" s="448">
        <v>0</v>
      </c>
      <c r="F37" s="448">
        <f>ROUND(F9*S37,0)</f>
        <v>-2318</v>
      </c>
      <c r="G37" s="448">
        <v>0</v>
      </c>
      <c r="H37" s="448">
        <v>0</v>
      </c>
      <c r="I37" s="448">
        <v>0</v>
      </c>
      <c r="J37" s="448">
        <v>0</v>
      </c>
      <c r="K37" s="448">
        <v>0</v>
      </c>
      <c r="L37" s="448">
        <v>0</v>
      </c>
      <c r="M37" s="448">
        <v>0</v>
      </c>
      <c r="N37" s="448">
        <v>0</v>
      </c>
      <c r="O37" s="448">
        <v>0</v>
      </c>
      <c r="P37" s="448">
        <v>0</v>
      </c>
      <c r="Q37" s="448">
        <v>0</v>
      </c>
      <c r="R37" s="448">
        <f t="shared" si="4"/>
        <v>-2318</v>
      </c>
      <c r="S37" s="464">
        <f>VLOOKUP(A37,'Allocation Factors'!$B$3:$N$89,5,FALSE)</f>
        <v>6.4409240866138473E-2</v>
      </c>
    </row>
    <row r="38" spans="1:19">
      <c r="A38" s="446" t="s">
        <v>60</v>
      </c>
      <c r="B38" s="448">
        <v>0</v>
      </c>
      <c r="C38" s="448">
        <v>0</v>
      </c>
      <c r="D38" s="448">
        <v>0</v>
      </c>
      <c r="E38" s="448">
        <v>0</v>
      </c>
      <c r="F38" s="448">
        <v>0</v>
      </c>
      <c r="G38" s="448">
        <v>0</v>
      </c>
      <c r="H38" s="448">
        <v>0</v>
      </c>
      <c r="I38" s="448">
        <f>ROUND(I10*S38,0)</f>
        <v>64</v>
      </c>
      <c r="J38" s="448">
        <f>ROUND(J10*S38,0)</f>
        <v>6151</v>
      </c>
      <c r="K38" s="448">
        <v>0</v>
      </c>
      <c r="L38" s="448">
        <v>0</v>
      </c>
      <c r="M38" s="448">
        <v>0</v>
      </c>
      <c r="N38" s="448">
        <v>0</v>
      </c>
      <c r="O38" s="448">
        <v>0</v>
      </c>
      <c r="P38" s="448">
        <v>0</v>
      </c>
      <c r="Q38" s="448">
        <v>0</v>
      </c>
      <c r="R38" s="448">
        <f t="shared" si="4"/>
        <v>6215</v>
      </c>
      <c r="S38" s="464">
        <f>VLOOKUP(A38,'Allocation Factors'!$B$3:$N$89,5,FALSE)</f>
        <v>6.9360885492844845E-2</v>
      </c>
    </row>
    <row r="39" spans="1:19">
      <c r="A39" s="446" t="s">
        <v>29</v>
      </c>
      <c r="B39" s="448">
        <v>0</v>
      </c>
      <c r="C39" s="448">
        <v>0</v>
      </c>
      <c r="D39" s="448">
        <v>0</v>
      </c>
      <c r="E39" s="448">
        <v>0</v>
      </c>
      <c r="F39" s="448">
        <v>0</v>
      </c>
      <c r="G39" s="448">
        <v>0</v>
      </c>
      <c r="H39" s="448">
        <v>0</v>
      </c>
      <c r="I39" s="448">
        <v>0</v>
      </c>
      <c r="J39" s="448">
        <v>0</v>
      </c>
      <c r="K39" s="448">
        <v>0</v>
      </c>
      <c r="L39" s="448">
        <v>0</v>
      </c>
      <c r="M39" s="448">
        <v>0</v>
      </c>
      <c r="N39" s="448">
        <v>0</v>
      </c>
      <c r="O39" s="448">
        <v>0</v>
      </c>
      <c r="P39" s="448">
        <v>0</v>
      </c>
      <c r="Q39" s="448">
        <v>0</v>
      </c>
      <c r="R39" s="448">
        <f t="shared" si="4"/>
        <v>0</v>
      </c>
      <c r="S39" s="464">
        <v>0</v>
      </c>
    </row>
    <row r="40" spans="1:19">
      <c r="A40" s="446" t="s">
        <v>168</v>
      </c>
      <c r="B40" s="448">
        <v>0</v>
      </c>
      <c r="C40" s="448">
        <v>0</v>
      </c>
      <c r="D40" s="448">
        <f>ROUND(D12*S40,0)</f>
        <v>7823176</v>
      </c>
      <c r="E40" s="448">
        <v>0</v>
      </c>
      <c r="F40" s="448">
        <f>ROUND(F12*S40,0)</f>
        <v>-601</v>
      </c>
      <c r="G40" s="448">
        <v>0</v>
      </c>
      <c r="H40" s="448">
        <v>0</v>
      </c>
      <c r="I40" s="448">
        <f>ROUND(I12*S40,0)</f>
        <v>-1063619</v>
      </c>
      <c r="J40" s="448">
        <f>ROUND(J12*S40,0)</f>
        <v>-46235</v>
      </c>
      <c r="K40" s="448">
        <f>ROUND(K12*S40,0)</f>
        <v>2374838</v>
      </c>
      <c r="L40" s="448">
        <v>0</v>
      </c>
      <c r="M40" s="448">
        <v>0</v>
      </c>
      <c r="N40" s="448">
        <f>ROUND(N12*S40,0)</f>
        <v>-998</v>
      </c>
      <c r="O40" s="448">
        <v>0</v>
      </c>
      <c r="P40" s="448">
        <f>ROUND(P12*S40,0)</f>
        <v>-821</v>
      </c>
      <c r="Q40" s="448">
        <v>0</v>
      </c>
      <c r="R40" s="448">
        <f t="shared" si="4"/>
        <v>9085740</v>
      </c>
      <c r="S40" s="464">
        <f>VLOOKUP(A40,'Allocation Factors'!$B$3:$N$89,5,FALSE)</f>
        <v>0.21577192756641544</v>
      </c>
    </row>
    <row r="41" spans="1:19">
      <c r="A41" s="446" t="s">
        <v>30</v>
      </c>
      <c r="B41" s="448">
        <v>0</v>
      </c>
      <c r="C41" s="448">
        <v>0</v>
      </c>
      <c r="D41" s="448">
        <v>0</v>
      </c>
      <c r="E41" s="448">
        <v>0</v>
      </c>
      <c r="F41" s="448">
        <v>0</v>
      </c>
      <c r="G41" s="448">
        <v>0</v>
      </c>
      <c r="H41" s="448">
        <v>0</v>
      </c>
      <c r="I41" s="448">
        <v>0</v>
      </c>
      <c r="J41" s="448">
        <v>0</v>
      </c>
      <c r="K41" s="448">
        <v>0</v>
      </c>
      <c r="L41" s="448">
        <v>0</v>
      </c>
      <c r="M41" s="448">
        <v>0</v>
      </c>
      <c r="N41" s="448">
        <v>0</v>
      </c>
      <c r="O41" s="448">
        <v>0</v>
      </c>
      <c r="P41" s="448">
        <v>0</v>
      </c>
      <c r="Q41" s="448">
        <v>0</v>
      </c>
      <c r="R41" s="448">
        <f t="shared" si="4"/>
        <v>0</v>
      </c>
      <c r="S41" s="464">
        <v>0</v>
      </c>
    </row>
    <row r="42" spans="1:19">
      <c r="A42" s="446" t="s">
        <v>15</v>
      </c>
      <c r="B42" s="448">
        <v>0</v>
      </c>
      <c r="C42" s="448">
        <v>0</v>
      </c>
      <c r="D42" s="448">
        <v>0</v>
      </c>
      <c r="E42" s="448">
        <v>0</v>
      </c>
      <c r="F42" s="448">
        <v>0</v>
      </c>
      <c r="G42" s="448">
        <v>0</v>
      </c>
      <c r="H42" s="448">
        <v>0</v>
      </c>
      <c r="I42" s="448">
        <v>0</v>
      </c>
      <c r="J42" s="448">
        <v>0</v>
      </c>
      <c r="K42" s="448">
        <v>0</v>
      </c>
      <c r="L42" s="448">
        <v>0</v>
      </c>
      <c r="M42" s="448">
        <v>0</v>
      </c>
      <c r="N42" s="448">
        <v>0</v>
      </c>
      <c r="O42" s="448">
        <v>0</v>
      </c>
      <c r="P42" s="448">
        <v>0</v>
      </c>
      <c r="Q42" s="448">
        <v>0</v>
      </c>
      <c r="R42" s="448">
        <f t="shared" si="4"/>
        <v>0</v>
      </c>
      <c r="S42" s="464">
        <f>VLOOKUP(A42,'Allocation Factors'!$B$3:$N$89,5,FALSE)</f>
        <v>0</v>
      </c>
    </row>
    <row r="43" spans="1:19">
      <c r="A43" s="446" t="s">
        <v>19</v>
      </c>
      <c r="B43" s="448">
        <v>0</v>
      </c>
      <c r="C43" s="448">
        <f>ROUND(C15*$S$43,0)</f>
        <v>-25509</v>
      </c>
      <c r="D43" s="448">
        <v>0</v>
      </c>
      <c r="E43" s="448">
        <f t="shared" ref="E43:F43" si="5">ROUND(E15*$S$43,0)</f>
        <v>857390</v>
      </c>
      <c r="F43" s="448">
        <f t="shared" si="5"/>
        <v>-1251486</v>
      </c>
      <c r="G43" s="448">
        <v>0</v>
      </c>
      <c r="H43" s="448">
        <v>0</v>
      </c>
      <c r="I43" s="448">
        <f t="shared" ref="I43:J43" si="6">ROUND(I15*$S$43,0)</f>
        <v>148696</v>
      </c>
      <c r="J43" s="448">
        <f t="shared" si="6"/>
        <v>-48284</v>
      </c>
      <c r="K43" s="448">
        <v>0</v>
      </c>
      <c r="L43" s="448">
        <f t="shared" ref="L43:O43" si="7">ROUND(L15*$S$43,0)</f>
        <v>-744141</v>
      </c>
      <c r="M43" s="448">
        <f t="shared" si="7"/>
        <v>-6399081</v>
      </c>
      <c r="N43" s="448">
        <f t="shared" si="7"/>
        <v>146387</v>
      </c>
      <c r="O43" s="448">
        <f t="shared" si="7"/>
        <v>293283</v>
      </c>
      <c r="P43" s="448">
        <f>ROUND(P15*$S$43,0)</f>
        <v>-101795</v>
      </c>
      <c r="Q43" s="448">
        <v>0</v>
      </c>
      <c r="R43" s="448">
        <f t="shared" si="4"/>
        <v>-7124540</v>
      </c>
      <c r="S43" s="464">
        <f>VLOOKUP(A43,'Allocation Factors'!$B$3:$N$89,5,FALSE)</f>
        <v>7.8111041399714837E-2</v>
      </c>
    </row>
    <row r="44" spans="1:19">
      <c r="A44" s="446" t="s">
        <v>10</v>
      </c>
      <c r="B44" s="448">
        <v>0</v>
      </c>
      <c r="C44" s="448">
        <v>0</v>
      </c>
      <c r="D44" s="448">
        <v>0</v>
      </c>
      <c r="E44" s="448">
        <v>0</v>
      </c>
      <c r="F44" s="448">
        <f>ROUND(F16*$S$44,0)</f>
        <v>27130</v>
      </c>
      <c r="G44" s="448">
        <v>0</v>
      </c>
      <c r="H44" s="448">
        <v>0</v>
      </c>
      <c r="I44" s="448">
        <f t="shared" ref="I44:J44" si="8">ROUND(I16*$S$44,0)</f>
        <v>16637</v>
      </c>
      <c r="J44" s="448">
        <f t="shared" si="8"/>
        <v>-189258</v>
      </c>
      <c r="K44" s="448">
        <v>0</v>
      </c>
      <c r="L44" s="448">
        <v>0</v>
      </c>
      <c r="M44" s="448">
        <v>0</v>
      </c>
      <c r="N44" s="448">
        <f>ROUND(N16*$S$44,0)</f>
        <v>4145</v>
      </c>
      <c r="O44" s="448">
        <v>0</v>
      </c>
      <c r="P44" s="448">
        <v>0</v>
      </c>
      <c r="Q44" s="448">
        <v>0</v>
      </c>
      <c r="R44" s="448">
        <f t="shared" si="4"/>
        <v>-141346</v>
      </c>
      <c r="S44" s="464">
        <f>VLOOKUP(A44,'Allocation Factors'!$B$3:$N$89,5,FALSE)</f>
        <v>6.7017620954721469E-2</v>
      </c>
    </row>
    <row r="45" spans="1:19">
      <c r="A45" s="446" t="s">
        <v>16</v>
      </c>
      <c r="B45" s="448">
        <v>0</v>
      </c>
      <c r="C45" s="448">
        <v>0</v>
      </c>
      <c r="D45" s="448">
        <v>0</v>
      </c>
      <c r="E45" s="448">
        <v>0</v>
      </c>
      <c r="F45" s="448">
        <f>ROUND(F17*S45,0)</f>
        <v>163379</v>
      </c>
      <c r="G45" s="448">
        <v>0</v>
      </c>
      <c r="H45" s="448">
        <v>0</v>
      </c>
      <c r="I45" s="448">
        <v>0</v>
      </c>
      <c r="J45" s="448">
        <v>0</v>
      </c>
      <c r="K45" s="448">
        <v>0</v>
      </c>
      <c r="L45" s="448">
        <v>0</v>
      </c>
      <c r="M45" s="448">
        <v>0</v>
      </c>
      <c r="N45" s="448">
        <v>0</v>
      </c>
      <c r="O45" s="448">
        <v>0</v>
      </c>
      <c r="P45" s="448">
        <v>0</v>
      </c>
      <c r="Q45" s="448">
        <v>0</v>
      </c>
      <c r="R45" s="448">
        <f t="shared" si="4"/>
        <v>163379</v>
      </c>
      <c r="S45" s="464">
        <f>VLOOKUP(A45,'Allocation Factors'!$B$3:$N$89,5,FALSE)</f>
        <v>6.0894111271351227E-2</v>
      </c>
    </row>
    <row r="46" spans="1:19">
      <c r="A46" s="446" t="s">
        <v>21</v>
      </c>
      <c r="B46" s="448">
        <v>0</v>
      </c>
      <c r="C46" s="448">
        <v>0</v>
      </c>
      <c r="D46" s="448">
        <v>0</v>
      </c>
      <c r="E46" s="448">
        <v>0</v>
      </c>
      <c r="F46" s="448">
        <f>ROUND(F18*S46,0)</f>
        <v>26126</v>
      </c>
      <c r="G46" s="448">
        <v>0</v>
      </c>
      <c r="H46" s="448">
        <v>0</v>
      </c>
      <c r="I46" s="448">
        <v>0</v>
      </c>
      <c r="J46" s="448">
        <v>0</v>
      </c>
      <c r="K46" s="448">
        <v>0</v>
      </c>
      <c r="L46" s="448">
        <v>0</v>
      </c>
      <c r="M46" s="448">
        <v>0</v>
      </c>
      <c r="N46" s="448">
        <v>0</v>
      </c>
      <c r="O46" s="448">
        <v>0</v>
      </c>
      <c r="P46" s="448">
        <v>0</v>
      </c>
      <c r="Q46" s="448">
        <v>0</v>
      </c>
      <c r="R46" s="448">
        <f t="shared" si="4"/>
        <v>26126</v>
      </c>
      <c r="S46" s="464">
        <f>VLOOKUP(A46,'Allocation Factors'!$B$3:$N$89,5,FALSE)</f>
        <v>6.4409240866138473E-2</v>
      </c>
    </row>
    <row r="47" spans="1:19">
      <c r="A47" s="446" t="s">
        <v>28</v>
      </c>
      <c r="B47" s="448">
        <v>0</v>
      </c>
      <c r="C47" s="448">
        <v>0</v>
      </c>
      <c r="D47" s="448">
        <v>0</v>
      </c>
      <c r="E47" s="448">
        <v>0</v>
      </c>
      <c r="F47" s="448">
        <v>0</v>
      </c>
      <c r="G47" s="448">
        <v>0</v>
      </c>
      <c r="H47" s="448">
        <v>0</v>
      </c>
      <c r="I47" s="448">
        <v>0</v>
      </c>
      <c r="J47" s="448">
        <v>0</v>
      </c>
      <c r="K47" s="448">
        <v>0</v>
      </c>
      <c r="L47" s="448">
        <v>0</v>
      </c>
      <c r="M47" s="448">
        <v>0</v>
      </c>
      <c r="N47" s="448">
        <v>0</v>
      </c>
      <c r="O47" s="448">
        <v>0</v>
      </c>
      <c r="P47" s="448">
        <v>0</v>
      </c>
      <c r="Q47" s="448">
        <v>0</v>
      </c>
      <c r="R47" s="448">
        <f t="shared" si="4"/>
        <v>0</v>
      </c>
      <c r="S47" s="464">
        <v>0</v>
      </c>
    </row>
    <row r="48" spans="1:19">
      <c r="A48" s="446" t="s">
        <v>26</v>
      </c>
      <c r="B48" s="448">
        <v>0</v>
      </c>
      <c r="C48" s="448">
        <v>0</v>
      </c>
      <c r="D48" s="448">
        <v>0</v>
      </c>
      <c r="E48" s="448">
        <v>0</v>
      </c>
      <c r="F48" s="448">
        <v>8675778</v>
      </c>
      <c r="G48" s="448">
        <f>+G20</f>
        <v>28098099</v>
      </c>
      <c r="H48" s="448">
        <v>0</v>
      </c>
      <c r="I48" s="448">
        <v>13706</v>
      </c>
      <c r="J48" s="448">
        <f>-214103+52546</f>
        <v>-161557</v>
      </c>
      <c r="K48" s="448">
        <v>0</v>
      </c>
      <c r="L48" s="448">
        <v>0</v>
      </c>
      <c r="M48" s="448">
        <v>0</v>
      </c>
      <c r="N48" s="448">
        <v>3538</v>
      </c>
      <c r="O48" s="448">
        <f>7469341-1965000-1205864</f>
        <v>4298477</v>
      </c>
      <c r="P48" s="448">
        <v>0</v>
      </c>
      <c r="Q48" s="448">
        <v>-7914497</v>
      </c>
      <c r="R48" s="448">
        <f t="shared" si="4"/>
        <v>33013544</v>
      </c>
      <c r="S48" s="464">
        <f>VLOOKUP(A48,'Allocation Factors'!$B$3:$N$89,5,FALSE)</f>
        <v>1</v>
      </c>
    </row>
    <row r="49" spans="1:19">
      <c r="A49" s="446" t="s">
        <v>32</v>
      </c>
      <c r="B49" s="450">
        <v>0</v>
      </c>
      <c r="C49" s="450">
        <v>0</v>
      </c>
      <c r="D49" s="450">
        <v>0</v>
      </c>
      <c r="E49" s="448">
        <v>0</v>
      </c>
      <c r="F49" s="450">
        <v>0</v>
      </c>
      <c r="G49" s="450">
        <v>0</v>
      </c>
      <c r="H49" s="450">
        <v>0</v>
      </c>
      <c r="I49" s="450">
        <v>0</v>
      </c>
      <c r="J49" s="450">
        <v>0</v>
      </c>
      <c r="K49" s="448">
        <v>0</v>
      </c>
      <c r="L49" s="448">
        <v>0</v>
      </c>
      <c r="M49" s="448">
        <v>0</v>
      </c>
      <c r="N49" s="448">
        <v>0</v>
      </c>
      <c r="O49" s="448">
        <v>0</v>
      </c>
      <c r="P49" s="448">
        <v>0</v>
      </c>
      <c r="Q49" s="448">
        <v>0</v>
      </c>
      <c r="R49" s="448">
        <f t="shared" si="4"/>
        <v>0</v>
      </c>
      <c r="S49" s="464">
        <v>0</v>
      </c>
    </row>
    <row r="50" spans="1:19">
      <c r="A50" s="487" t="s">
        <v>700</v>
      </c>
      <c r="B50" s="461">
        <f t="shared" ref="B50:P50" si="9">SUM(B33:B49)</f>
        <v>1832989</v>
      </c>
      <c r="C50" s="461">
        <f t="shared" si="9"/>
        <v>-25509</v>
      </c>
      <c r="D50" s="461">
        <f t="shared" si="9"/>
        <v>8381067</v>
      </c>
      <c r="E50" s="461">
        <f t="shared" si="9"/>
        <v>857390</v>
      </c>
      <c r="F50" s="461">
        <f t="shared" si="9"/>
        <v>7638008</v>
      </c>
      <c r="G50" s="461">
        <f t="shared" si="9"/>
        <v>28098099</v>
      </c>
      <c r="H50" s="461">
        <f t="shared" si="9"/>
        <v>0</v>
      </c>
      <c r="I50" s="461">
        <f t="shared" si="9"/>
        <v>-344082</v>
      </c>
      <c r="J50" s="461">
        <f t="shared" si="9"/>
        <v>-1215586</v>
      </c>
      <c r="K50" s="461">
        <f t="shared" si="9"/>
        <v>2374838</v>
      </c>
      <c r="L50" s="461">
        <f t="shared" si="9"/>
        <v>-744141</v>
      </c>
      <c r="M50" s="461">
        <f t="shared" si="9"/>
        <v>-6399081</v>
      </c>
      <c r="N50" s="461">
        <f t="shared" si="9"/>
        <v>166786</v>
      </c>
      <c r="O50" s="461">
        <f t="shared" si="9"/>
        <v>4469517</v>
      </c>
      <c r="P50" s="461">
        <f t="shared" si="9"/>
        <v>-42956</v>
      </c>
      <c r="Q50" s="461">
        <f t="shared" ref="Q50" si="10">SUM(Q33:Q49)</f>
        <v>-7914497</v>
      </c>
      <c r="R50" s="461">
        <f>SUM(R33:R49)</f>
        <v>37132842</v>
      </c>
      <c r="S50" s="545"/>
    </row>
    <row r="51" spans="1:19">
      <c r="A51" s="488"/>
      <c r="S51" s="466"/>
    </row>
    <row r="52" spans="1:19">
      <c r="A52" s="487" t="s">
        <v>701</v>
      </c>
      <c r="B52" s="453">
        <v>0</v>
      </c>
      <c r="C52" s="453">
        <v>0</v>
      </c>
      <c r="D52" s="453">
        <v>0</v>
      </c>
      <c r="E52" s="453">
        <v>0</v>
      </c>
      <c r="F52" s="453">
        <v>0</v>
      </c>
      <c r="G52" s="453">
        <v>0</v>
      </c>
      <c r="H52" s="453">
        <v>11302222</v>
      </c>
      <c r="I52" s="453">
        <v>0</v>
      </c>
      <c r="J52" s="453">
        <v>0</v>
      </c>
      <c r="K52" s="453">
        <v>0</v>
      </c>
      <c r="L52" s="453">
        <v>0</v>
      </c>
      <c r="M52" s="453">
        <v>0</v>
      </c>
      <c r="N52" s="453">
        <v>0</v>
      </c>
      <c r="O52" s="453">
        <v>0</v>
      </c>
      <c r="P52" s="453">
        <v>0</v>
      </c>
      <c r="Q52" s="453">
        <v>0</v>
      </c>
      <c r="R52" s="453">
        <f>SUM(B52:Q52)</f>
        <v>11302222</v>
      </c>
      <c r="S52" s="465">
        <v>1</v>
      </c>
    </row>
    <row r="53" spans="1:19">
      <c r="A53" s="489"/>
    </row>
    <row r="54" spans="1:19">
      <c r="A54" s="487" t="s">
        <v>699</v>
      </c>
      <c r="B54" s="461">
        <f>+B52+B50</f>
        <v>1832989</v>
      </c>
      <c r="C54" s="461">
        <f t="shared" ref="C54:R54" si="11">+C52+C50</f>
        <v>-25509</v>
      </c>
      <c r="D54" s="461">
        <f t="shared" si="11"/>
        <v>8381067</v>
      </c>
      <c r="E54" s="461">
        <f t="shared" si="11"/>
        <v>857390</v>
      </c>
      <c r="F54" s="461">
        <f t="shared" si="11"/>
        <v>7638008</v>
      </c>
      <c r="G54" s="461">
        <f t="shared" si="11"/>
        <v>28098099</v>
      </c>
      <c r="H54" s="461">
        <f t="shared" si="11"/>
        <v>11302222</v>
      </c>
      <c r="I54" s="461">
        <f t="shared" si="11"/>
        <v>-344082</v>
      </c>
      <c r="J54" s="461">
        <f t="shared" si="11"/>
        <v>-1215586</v>
      </c>
      <c r="K54" s="461">
        <f t="shared" si="11"/>
        <v>2374838</v>
      </c>
      <c r="L54" s="461">
        <f t="shared" si="11"/>
        <v>-744141</v>
      </c>
      <c r="M54" s="461">
        <f t="shared" si="11"/>
        <v>-6399081</v>
      </c>
      <c r="N54" s="461">
        <f t="shared" si="11"/>
        <v>166786</v>
      </c>
      <c r="O54" s="461">
        <f t="shared" si="11"/>
        <v>4469517</v>
      </c>
      <c r="P54" s="461">
        <f t="shared" si="11"/>
        <v>-42956</v>
      </c>
      <c r="Q54" s="461">
        <f t="shared" si="11"/>
        <v>-7914497</v>
      </c>
      <c r="R54" s="461">
        <f t="shared" si="11"/>
        <v>48435064</v>
      </c>
      <c r="S54" s="545"/>
    </row>
  </sheetData>
  <pageMargins left="0.7" right="0.7" top="0.75" bottom="0.75" header="0.3" footer="0.3"/>
  <pageSetup scale="39" fitToHeight="0" orientation="landscape" r:id="rId1"/>
  <headerFooter>
    <oddHeader>&amp;L&amp;"Arial,Bold"&amp;10PacifiCorp 
Washington - General Rate Case
Twelve Months Ending December 31, 2021
Summary of Property Related &amp;A Adjustments</oddHeader>
    <oddFooter>&amp;L&amp;"Arial,Bold"&amp;10&amp;A&amp;R&amp;"Arial,Bold"&amp;10Page &amp;P of &amp;N</oddFooter>
  </headerFooter>
  <ignoredErrors>
    <ignoredError sqref="B22 F22:H22 L22:N22 P22 H50 Q50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28"/>
  <sheetViews>
    <sheetView zoomScale="80" zoomScaleNormal="80" workbookViewId="0"/>
  </sheetViews>
  <sheetFormatPr defaultRowHeight="12.75"/>
  <cols>
    <col min="1" max="1" width="5.7109375" style="382" customWidth="1"/>
    <col min="2" max="2" width="2.7109375" style="382" customWidth="1"/>
    <col min="3" max="3" width="45.7109375" style="382" customWidth="1"/>
    <col min="4" max="4" width="2.28515625" style="382" customWidth="1"/>
    <col min="5" max="5" width="11.5703125" style="382" bestFit="1" customWidth="1"/>
    <col min="6" max="6" width="2.7109375" style="382" customWidth="1"/>
    <col min="7" max="7" width="20.7109375" style="382" customWidth="1"/>
    <col min="8" max="8" width="2.7109375" style="382" customWidth="1"/>
    <col min="9" max="9" width="20.7109375" style="382" customWidth="1"/>
    <col min="10" max="10" width="2.7109375" style="382" customWidth="1"/>
    <col min="11" max="11" width="9.140625" style="382"/>
    <col min="12" max="12" width="11.5703125" style="382" bestFit="1" customWidth="1"/>
    <col min="13" max="13" width="10.85546875" style="382" bestFit="1" customWidth="1"/>
    <col min="14" max="16384" width="9.140625" style="382"/>
  </cols>
  <sheetData>
    <row r="3" spans="1:10">
      <c r="A3" s="490"/>
      <c r="B3" s="490"/>
      <c r="C3" s="490"/>
      <c r="D3" s="490"/>
      <c r="E3" s="490"/>
      <c r="F3" s="490"/>
      <c r="G3" s="499" t="s">
        <v>268</v>
      </c>
      <c r="I3" s="499" t="s">
        <v>418</v>
      </c>
    </row>
    <row r="4" spans="1:10">
      <c r="A4" s="492" t="s">
        <v>723</v>
      </c>
      <c r="B4" s="492"/>
      <c r="C4" s="492"/>
      <c r="D4" s="492"/>
      <c r="E4" s="491" t="s">
        <v>736</v>
      </c>
      <c r="F4" s="492"/>
      <c r="G4" s="491" t="s">
        <v>724</v>
      </c>
      <c r="I4" s="491" t="s">
        <v>279</v>
      </c>
    </row>
    <row r="5" spans="1:10">
      <c r="A5" s="493" t="s">
        <v>725</v>
      </c>
      <c r="B5" s="493"/>
      <c r="C5" s="493"/>
      <c r="D5" s="493"/>
      <c r="E5" s="493"/>
      <c r="F5" s="493"/>
      <c r="G5" s="500"/>
      <c r="I5" s="493">
        <v>-191862573</v>
      </c>
    </row>
    <row r="6" spans="1:10">
      <c r="A6" s="494" t="s">
        <v>726</v>
      </c>
      <c r="B6" s="494"/>
      <c r="C6" s="494"/>
      <c r="D6" s="494"/>
      <c r="E6" s="494"/>
      <c r="F6" s="494"/>
      <c r="G6" s="501"/>
      <c r="I6" s="494">
        <v>4470705</v>
      </c>
    </row>
    <row r="7" spans="1:10">
      <c r="A7" s="495" t="s">
        <v>727</v>
      </c>
      <c r="B7" s="495"/>
      <c r="C7" s="495"/>
      <c r="D7" s="495"/>
      <c r="E7" s="495"/>
      <c r="F7" s="495"/>
      <c r="G7" s="502"/>
      <c r="I7" s="495">
        <v>-70649378</v>
      </c>
    </row>
    <row r="8" spans="1:10">
      <c r="A8" s="498" t="s">
        <v>728</v>
      </c>
      <c r="B8" s="498"/>
      <c r="C8" s="496"/>
      <c r="D8" s="496"/>
      <c r="E8" s="496"/>
      <c r="F8" s="496"/>
      <c r="G8" s="496"/>
      <c r="I8" s="503">
        <f>SUBTOTAL(9,I5:I7)</f>
        <v>-258041246</v>
      </c>
      <c r="J8" s="382" t="s">
        <v>737</v>
      </c>
    </row>
    <row r="9" spans="1:10">
      <c r="A9" s="504">
        <v>5.3</v>
      </c>
      <c r="B9" s="505"/>
      <c r="C9" s="493" t="s">
        <v>672</v>
      </c>
      <c r="D9" s="493"/>
      <c r="E9" s="493" t="s">
        <v>722</v>
      </c>
      <c r="F9" s="493"/>
      <c r="G9" s="493">
        <f>'282'!$B$22</f>
        <v>8495028</v>
      </c>
      <c r="I9" s="506">
        <f>'282'!$B$50</f>
        <v>1832989</v>
      </c>
    </row>
    <row r="10" spans="1:10">
      <c r="A10" s="507">
        <v>5.5</v>
      </c>
      <c r="B10" s="508"/>
      <c r="C10" s="494" t="s">
        <v>653</v>
      </c>
      <c r="D10" s="494"/>
      <c r="E10" s="494" t="s">
        <v>722</v>
      </c>
      <c r="F10" s="494"/>
      <c r="G10" s="494">
        <f>'282'!$C$22</f>
        <v>-326579</v>
      </c>
      <c r="I10" s="494">
        <f>'282'!$C$50</f>
        <v>-25509</v>
      </c>
    </row>
    <row r="11" spans="1:10">
      <c r="A11" s="507">
        <v>6.4</v>
      </c>
      <c r="B11" s="508"/>
      <c r="C11" s="494" t="s">
        <v>746</v>
      </c>
      <c r="D11" s="494"/>
      <c r="E11" s="494" t="s">
        <v>722</v>
      </c>
      <c r="F11" s="494"/>
      <c r="G11" s="494">
        <f>'282'!$D$22</f>
        <v>38842251</v>
      </c>
      <c r="I11" s="494">
        <f>'282'!$D$50</f>
        <v>8381067</v>
      </c>
    </row>
    <row r="12" spans="1:10">
      <c r="A12" s="507">
        <v>6.5</v>
      </c>
      <c r="B12" s="508"/>
      <c r="C12" s="494" t="s">
        <v>729</v>
      </c>
      <c r="D12" s="494"/>
      <c r="E12" s="494" t="s">
        <v>722</v>
      </c>
      <c r="F12" s="494"/>
      <c r="G12" s="494">
        <f>'282'!$E$22</f>
        <v>10976550</v>
      </c>
      <c r="I12" s="494">
        <f>'282'!$E$50</f>
        <v>857390</v>
      </c>
    </row>
    <row r="13" spans="1:10">
      <c r="A13" s="507">
        <v>7.6</v>
      </c>
      <c r="B13" s="508"/>
      <c r="C13" s="494" t="s">
        <v>730</v>
      </c>
      <c r="D13" s="494"/>
      <c r="E13" s="494" t="s">
        <v>722</v>
      </c>
      <c r="F13" s="494"/>
      <c r="G13" s="494">
        <f>'282'!$G$22</f>
        <v>28098099</v>
      </c>
      <c r="I13" s="494">
        <f>'282'!$G$50</f>
        <v>28098099</v>
      </c>
    </row>
    <row r="14" spans="1:10">
      <c r="A14" s="509">
        <v>7.12</v>
      </c>
      <c r="B14" s="510"/>
      <c r="C14" s="494" t="s">
        <v>731</v>
      </c>
      <c r="D14" s="494"/>
      <c r="E14" s="494" t="s">
        <v>722</v>
      </c>
      <c r="F14" s="494"/>
      <c r="G14" s="494">
        <f>'282'!$I$22</f>
        <v>22006045</v>
      </c>
      <c r="I14" s="494">
        <f>'282'!$I$50</f>
        <v>-344082</v>
      </c>
    </row>
    <row r="15" spans="1:10">
      <c r="A15" s="507">
        <v>8.4</v>
      </c>
      <c r="B15" s="508"/>
      <c r="C15" s="494" t="s">
        <v>657</v>
      </c>
      <c r="D15" s="494"/>
      <c r="E15" s="494" t="s">
        <v>722</v>
      </c>
      <c r="F15" s="494"/>
      <c r="G15" s="494">
        <f>'282'!$J$22</f>
        <v>-11542394</v>
      </c>
      <c r="I15" s="494">
        <f>'282'!$J$50</f>
        <v>-1215586</v>
      </c>
    </row>
    <row r="16" spans="1:10">
      <c r="A16" s="507">
        <v>8.9</v>
      </c>
      <c r="B16" s="508"/>
      <c r="C16" s="494" t="s">
        <v>658</v>
      </c>
      <c r="D16" s="494"/>
      <c r="E16" s="494" t="s">
        <v>722</v>
      </c>
      <c r="F16" s="494"/>
      <c r="G16" s="494">
        <f>'282'!$K$22</f>
        <v>11006244</v>
      </c>
      <c r="I16" s="494">
        <f>'282'!$K$50</f>
        <v>2374838</v>
      </c>
    </row>
    <row r="17" spans="1:9">
      <c r="A17" s="509">
        <v>8.1199999999999992</v>
      </c>
      <c r="B17" s="510"/>
      <c r="C17" s="494" t="s">
        <v>732</v>
      </c>
      <c r="D17" s="494"/>
      <c r="E17" s="494" t="s">
        <v>722</v>
      </c>
      <c r="F17" s="494"/>
      <c r="G17" s="494">
        <f>'282'!$L$22</f>
        <v>-9526702</v>
      </c>
      <c r="I17" s="494">
        <f>'282'!$L$50</f>
        <v>-744141</v>
      </c>
    </row>
    <row r="18" spans="1:9">
      <c r="A18" s="507">
        <v>8.1300000000000008</v>
      </c>
      <c r="B18" s="508"/>
      <c r="C18" s="494" t="s">
        <v>667</v>
      </c>
      <c r="D18" s="494"/>
      <c r="E18" s="494" t="s">
        <v>722</v>
      </c>
      <c r="F18" s="494"/>
      <c r="G18" s="494">
        <f>'282'!$M$22</f>
        <v>-81922875</v>
      </c>
      <c r="I18" s="494">
        <f>'282'!$M$50</f>
        <v>-6399081</v>
      </c>
    </row>
    <row r="19" spans="1:9">
      <c r="A19" s="507">
        <v>9.1</v>
      </c>
      <c r="B19" s="508"/>
      <c r="C19" s="494" t="s">
        <v>668</v>
      </c>
      <c r="D19" s="494"/>
      <c r="E19" s="494" t="s">
        <v>722</v>
      </c>
      <c r="F19" s="494"/>
      <c r="G19" s="494">
        <f>'282'!$N$22</f>
        <v>1998397</v>
      </c>
      <c r="I19" s="494">
        <f>'282'!$N$50</f>
        <v>166786</v>
      </c>
    </row>
    <row r="20" spans="1:9">
      <c r="A20" s="507">
        <v>9.1999999999999993</v>
      </c>
      <c r="B20" s="508"/>
      <c r="C20" s="494" t="s">
        <v>733</v>
      </c>
      <c r="D20" s="494"/>
      <c r="E20" s="494" t="s">
        <v>722</v>
      </c>
      <c r="F20" s="494"/>
      <c r="G20" s="494">
        <f>'282'!$O$22</f>
        <v>4298477</v>
      </c>
      <c r="I20" s="494">
        <f>'282'!$O$50</f>
        <v>4469517</v>
      </c>
    </row>
    <row r="21" spans="1:9">
      <c r="A21" s="507">
        <v>9.3000000000000007</v>
      </c>
      <c r="B21" s="508"/>
      <c r="C21" s="494" t="s">
        <v>670</v>
      </c>
      <c r="D21" s="494"/>
      <c r="E21" s="494" t="s">
        <v>722</v>
      </c>
      <c r="F21" s="494"/>
      <c r="G21" s="494">
        <f>'282'!$P$22</f>
        <v>0</v>
      </c>
      <c r="I21" s="494">
        <f>'282'!$P$50</f>
        <v>-42956</v>
      </c>
    </row>
    <row r="22" spans="1:9">
      <c r="A22" s="511">
        <v>9.4</v>
      </c>
      <c r="B22" s="508"/>
      <c r="C22" s="497" t="s">
        <v>677</v>
      </c>
      <c r="D22" s="497"/>
      <c r="E22" s="497" t="s">
        <v>722</v>
      </c>
      <c r="F22" s="497"/>
      <c r="G22" s="497">
        <f>'282'!$Q$22</f>
        <v>-7914497</v>
      </c>
      <c r="I22" s="495">
        <f>'282'!$Q$50</f>
        <v>-7914497</v>
      </c>
    </row>
    <row r="23" spans="1:9">
      <c r="A23" s="512" t="s">
        <v>734</v>
      </c>
      <c r="B23" s="512"/>
      <c r="C23" s="498"/>
      <c r="D23" s="498"/>
      <c r="E23" s="498"/>
      <c r="F23" s="498"/>
      <c r="G23" s="498"/>
      <c r="I23" s="503">
        <f>SUBTOTAL(9,I9:I22)</f>
        <v>29494834</v>
      </c>
    </row>
    <row r="24" spans="1:9">
      <c r="A24" s="512" t="s">
        <v>735</v>
      </c>
      <c r="B24" s="512"/>
      <c r="C24" s="498"/>
      <c r="D24" s="498"/>
      <c r="E24" s="498"/>
      <c r="F24" s="498"/>
      <c r="G24" s="498"/>
      <c r="I24" s="503">
        <f>SUBTOTAL(9,I5:I23)</f>
        <v>-228546412</v>
      </c>
    </row>
    <row r="25" spans="1:9">
      <c r="A25" s="513"/>
      <c r="B25" s="513"/>
      <c r="G25" s="514" t="s">
        <v>739</v>
      </c>
      <c r="I25" s="382">
        <f>'Accumulated Deferred Income Tax'!AE201-I24</f>
        <v>-4</v>
      </c>
    </row>
    <row r="28" spans="1:9">
      <c r="A28" s="382" t="s">
        <v>738</v>
      </c>
    </row>
  </sheetData>
  <pageMargins left="0.7" right="0.7" top="0.75" bottom="0.75" header="0.3" footer="0.3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zoomScale="80" zoomScaleNormal="80" zoomScaleSheetLayoutView="80" workbookViewId="0">
      <pane xSplit="1" ySplit="2" topLeftCell="B3" activePane="bottomRight" state="frozen"/>
      <selection activeCell="G5" sqref="G5"/>
      <selection pane="topRight" activeCell="G5" sqref="G5"/>
      <selection pane="bottomLeft" activeCell="G5" sqref="G5"/>
      <selection pane="bottomRight"/>
    </sheetView>
  </sheetViews>
  <sheetFormatPr defaultColWidth="9.140625" defaultRowHeight="12.75"/>
  <cols>
    <col min="1" max="1" width="4.7109375" style="3" customWidth="1"/>
    <col min="2" max="8" width="20.7109375" style="3" customWidth="1"/>
    <col min="9" max="9" width="9.140625" style="3"/>
    <col min="10" max="10" width="16.5703125" style="436" bestFit="1" customWidth="1"/>
    <col min="11" max="11" width="14" style="436" bestFit="1" customWidth="1"/>
    <col min="12" max="13" width="9.140625" style="3"/>
    <col min="14" max="14" width="12.28515625" style="3" bestFit="1" customWidth="1"/>
    <col min="15" max="15" width="15.7109375" style="3" bestFit="1" customWidth="1"/>
    <col min="16" max="16" width="23.5703125" style="3" bestFit="1" customWidth="1"/>
    <col min="17" max="18" width="10.28515625" style="3" bestFit="1" customWidth="1"/>
    <col min="19" max="21" width="9.140625" style="3"/>
    <col min="22" max="22" width="10.28515625" style="3" bestFit="1" customWidth="1"/>
    <col min="23" max="23" width="11.5703125" style="3" bestFit="1" customWidth="1"/>
    <col min="24" max="25" width="10.28515625" style="3" bestFit="1" customWidth="1"/>
    <col min="26" max="16384" width="9.140625" style="3"/>
  </cols>
  <sheetData>
    <row r="1" spans="1:34">
      <c r="A1" s="142" t="s">
        <v>6</v>
      </c>
      <c r="B1" s="143"/>
      <c r="C1" s="144"/>
      <c r="D1" s="145" t="s">
        <v>2</v>
      </c>
      <c r="E1" s="146"/>
      <c r="F1" s="146"/>
      <c r="G1" s="147"/>
      <c r="H1" s="63" t="s">
        <v>323</v>
      </c>
      <c r="O1" s="195"/>
      <c r="P1" s="195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  <c r="AG1" s="436"/>
      <c r="AH1" s="436"/>
    </row>
    <row r="2" spans="1:34">
      <c r="A2" s="148"/>
      <c r="B2" s="149"/>
      <c r="C2" s="140"/>
      <c r="D2" s="11" t="s">
        <v>280</v>
      </c>
      <c r="E2" s="11" t="s">
        <v>329</v>
      </c>
      <c r="F2" s="141" t="s">
        <v>278</v>
      </c>
      <c r="G2" s="141" t="s">
        <v>88</v>
      </c>
      <c r="H2" s="64" t="s">
        <v>279</v>
      </c>
      <c r="O2" s="436"/>
      <c r="P2" s="436"/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</row>
    <row r="3" spans="1:34" ht="12.75" customHeight="1">
      <c r="A3" s="546" t="s">
        <v>251</v>
      </c>
      <c r="B3" s="12" t="s">
        <v>17</v>
      </c>
      <c r="C3" s="12" t="str">
        <f t="shared" ref="C3:C11" si="0">CONCATENATE("41010",B3)</f>
        <v>41010CA</v>
      </c>
      <c r="D3" s="59">
        <f>SUMIF('Deferred Income Tax Expense'!$K$117:$K$246,'Results Summary (DIT EXP)'!$B3,'Deferred Income Tax Expense'!F$117:F$246)</f>
        <v>498426</v>
      </c>
      <c r="E3" s="54">
        <f t="shared" ref="E3:E11" si="1">SUM(D3:D3)</f>
        <v>498426</v>
      </c>
      <c r="F3" s="59">
        <f>SUMIF('Deferred Income Tax Expense'!$K$117:$K$246,'Results Summary (DIT EXP)'!$B3,'Deferred Income Tax Expense'!I$117:I$246)</f>
        <v>173351</v>
      </c>
      <c r="G3" s="14">
        <f t="shared" ref="G3:G11" si="2">SUM(E3:F3)</f>
        <v>671777</v>
      </c>
      <c r="H3" s="59">
        <f>SUMIF('Deferred Income Tax Expense'!$K$117:$K$246,'Results Summary (DIT EXP)'!$B3,'Deferred Income Tax Expense'!O$117:O$246)</f>
        <v>0</v>
      </c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</row>
    <row r="4" spans="1:34">
      <c r="A4" s="547"/>
      <c r="B4" s="15" t="s">
        <v>72</v>
      </c>
      <c r="C4" s="130" t="str">
        <f t="shared" si="0"/>
        <v>41010FERC</v>
      </c>
      <c r="D4" s="59">
        <f>SUMIF('Deferred Income Tax Expense'!$K$117:$K$246,'Results Summary (DIT EXP)'!$B4,'Deferred Income Tax Expense'!F$117:F$246)</f>
        <v>0</v>
      </c>
      <c r="E4" s="42">
        <f t="shared" si="1"/>
        <v>0</v>
      </c>
      <c r="F4" s="59">
        <f>SUMIF('Deferred Income Tax Expense'!$K$117:$K$246,'Results Summary (DIT EXP)'!$B4,'Deferred Income Tax Expense'!I$117:I$246)</f>
        <v>0</v>
      </c>
      <c r="G4" s="42">
        <f t="shared" si="2"/>
        <v>0</v>
      </c>
      <c r="H4" s="59">
        <f>SUMIF('Deferred Income Tax Expense'!$K$117:$K$246,'Results Summary (DIT EXP)'!$B4,'Deferred Income Tax Expense'!O$117:O$246)</f>
        <v>0</v>
      </c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6"/>
      <c r="AD4" s="436"/>
      <c r="AE4" s="436"/>
      <c r="AF4" s="436"/>
      <c r="AG4" s="436"/>
      <c r="AH4" s="436"/>
    </row>
    <row r="5" spans="1:34">
      <c r="A5" s="547"/>
      <c r="B5" s="17" t="s">
        <v>29</v>
      </c>
      <c r="C5" s="121" t="str">
        <f t="shared" si="0"/>
        <v>41010IDU</v>
      </c>
      <c r="D5" s="59">
        <f>SUMIF('Deferred Income Tax Expense'!$K$117:$K$246,'Results Summary (DIT EXP)'!$B5,'Deferred Income Tax Expense'!F$117:F$246)</f>
        <v>-153659</v>
      </c>
      <c r="E5" s="42">
        <f t="shared" si="1"/>
        <v>-153659</v>
      </c>
      <c r="F5" s="59">
        <f>SUMIF('Deferred Income Tax Expense'!$K$117:$K$246,'Results Summary (DIT EXP)'!$B5,'Deferred Income Tax Expense'!I$117:I$246)</f>
        <v>-451232</v>
      </c>
      <c r="G5" s="42">
        <f t="shared" si="2"/>
        <v>-604891</v>
      </c>
      <c r="H5" s="59">
        <f>SUMIF('Deferred Income Tax Expense'!$K$117:$K$246,'Results Summary (DIT EXP)'!$B5,'Deferred Income Tax Expense'!O$117:O$246)</f>
        <v>0</v>
      </c>
      <c r="O5" s="436"/>
      <c r="P5" s="436"/>
      <c r="Q5" s="436"/>
      <c r="R5" s="436"/>
      <c r="S5" s="436"/>
      <c r="T5" s="436"/>
      <c r="U5" s="436"/>
      <c r="V5" s="436"/>
      <c r="W5" s="436"/>
      <c r="X5" s="436"/>
      <c r="Y5" s="436"/>
      <c r="Z5" s="436"/>
      <c r="AA5" s="436"/>
      <c r="AB5" s="436"/>
      <c r="AC5" s="436"/>
      <c r="AD5" s="436"/>
      <c r="AE5" s="436"/>
      <c r="AF5" s="436"/>
      <c r="AG5" s="436"/>
      <c r="AH5" s="436"/>
    </row>
    <row r="6" spans="1:34">
      <c r="A6" s="547"/>
      <c r="B6" s="17" t="s">
        <v>30</v>
      </c>
      <c r="C6" s="121" t="str">
        <f t="shared" si="0"/>
        <v>41010OR</v>
      </c>
      <c r="D6" s="59">
        <f>SUMIF('Deferred Income Tax Expense'!$K$117:$K$246,'Results Summary (DIT EXP)'!$B6,'Deferred Income Tax Expense'!F$117:F$246)</f>
        <v>-312672</v>
      </c>
      <c r="E6" s="42">
        <f t="shared" si="1"/>
        <v>-312672</v>
      </c>
      <c r="F6" s="59">
        <f>SUMIF('Deferred Income Tax Expense'!$K$117:$K$246,'Results Summary (DIT EXP)'!$B6,'Deferred Income Tax Expense'!I$117:I$246)</f>
        <v>-26851</v>
      </c>
      <c r="G6" s="42">
        <f t="shared" si="2"/>
        <v>-339523</v>
      </c>
      <c r="H6" s="59">
        <f>SUMIF('Deferred Income Tax Expense'!$K$117:$K$246,'Results Summary (DIT EXP)'!$B6,'Deferred Income Tax Expense'!O$117:O$246)</f>
        <v>0</v>
      </c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</row>
    <row r="7" spans="1:34">
      <c r="A7" s="547"/>
      <c r="B7" s="18" t="s">
        <v>15</v>
      </c>
      <c r="C7" s="123" t="str">
        <f t="shared" si="0"/>
        <v>41010OTHER</v>
      </c>
      <c r="D7" s="59">
        <f>SUMIF('Deferred Income Tax Expense'!$K$117:$K$246,'Results Summary (DIT EXP)'!$B7,'Deferred Income Tax Expense'!F$117:F$246)</f>
        <v>18009832</v>
      </c>
      <c r="E7" s="42">
        <f t="shared" si="1"/>
        <v>18009832</v>
      </c>
      <c r="F7" s="59">
        <f>SUMIF('Deferred Income Tax Expense'!$K$117:$K$246,'Results Summary (DIT EXP)'!$B7,'Deferred Income Tax Expense'!I$117:I$246)</f>
        <v>0</v>
      </c>
      <c r="G7" s="42">
        <f t="shared" si="2"/>
        <v>18009832</v>
      </c>
      <c r="H7" s="59">
        <f>SUMIF('Deferred Income Tax Expense'!$K$117:$K$246,'Results Summary (DIT EXP)'!$B7,'Deferred Income Tax Expense'!O$117:O$246)</f>
        <v>0</v>
      </c>
      <c r="O7" s="436"/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</row>
    <row r="8" spans="1:34">
      <c r="A8" s="547"/>
      <c r="B8" s="18" t="s">
        <v>28</v>
      </c>
      <c r="C8" s="123" t="str">
        <f t="shared" si="0"/>
        <v>41010UT</v>
      </c>
      <c r="D8" s="59">
        <f>SUMIF('Deferred Income Tax Expense'!$K$117:$K$246,'Results Summary (DIT EXP)'!$B8,'Deferred Income Tax Expense'!F$117:F$246)</f>
        <v>-134648</v>
      </c>
      <c r="E8" s="42">
        <f t="shared" si="1"/>
        <v>-134648</v>
      </c>
      <c r="F8" s="59">
        <f>SUMIF('Deferred Income Tax Expense'!$K$117:$K$246,'Results Summary (DIT EXP)'!$B8,'Deferred Income Tax Expense'!I$117:I$246)</f>
        <v>-4270008</v>
      </c>
      <c r="G8" s="42">
        <f t="shared" si="2"/>
        <v>-4404656</v>
      </c>
      <c r="H8" s="59">
        <f>SUMIF('Deferred Income Tax Expense'!$K$117:$K$246,'Results Summary (DIT EXP)'!$B8,'Deferred Income Tax Expense'!O$117:O$246)</f>
        <v>0</v>
      </c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6"/>
      <c r="AG8" s="436"/>
      <c r="AH8" s="436"/>
    </row>
    <row r="9" spans="1:34">
      <c r="A9" s="547"/>
      <c r="B9" s="17" t="s">
        <v>26</v>
      </c>
      <c r="C9" s="121" t="str">
        <f t="shared" si="0"/>
        <v>41010WA</v>
      </c>
      <c r="D9" s="59">
        <f>SUMIF('Deferred Income Tax Expense'!$K$117:$K$246,'Results Summary (DIT EXP)'!$B9,'Deferred Income Tax Expense'!F$117:F$246)</f>
        <v>0</v>
      </c>
      <c r="E9" s="42">
        <f t="shared" si="1"/>
        <v>0</v>
      </c>
      <c r="F9" s="59">
        <f>SUMIF('Deferred Income Tax Expense'!$K$117:$K$246,'Results Summary (DIT EXP)'!$B9,'Deferred Income Tax Expense'!I$117:I$246)</f>
        <v>79214</v>
      </c>
      <c r="G9" s="42">
        <f t="shared" si="2"/>
        <v>79214</v>
      </c>
      <c r="H9" s="59">
        <f>SUMIF('Deferred Income Tax Expense'!$K$117:$K$246,'Results Summary (DIT EXP)'!$B9,'Deferred Income Tax Expense'!O$117:O$246)</f>
        <v>79214</v>
      </c>
      <c r="M9" s="382"/>
      <c r="O9" s="436"/>
      <c r="P9" s="436"/>
      <c r="Q9" s="436"/>
      <c r="R9" s="436"/>
      <c r="S9" s="436"/>
      <c r="T9" s="436"/>
      <c r="U9" s="436"/>
      <c r="V9" s="436"/>
      <c r="W9" s="436"/>
      <c r="X9" s="436"/>
      <c r="Y9" s="436"/>
      <c r="Z9" s="436"/>
      <c r="AA9" s="436"/>
      <c r="AB9" s="436"/>
      <c r="AC9" s="436"/>
      <c r="AD9" s="436"/>
      <c r="AE9" s="436"/>
      <c r="AF9" s="436"/>
      <c r="AG9" s="436"/>
      <c r="AH9" s="436"/>
    </row>
    <row r="10" spans="1:34">
      <c r="A10" s="547"/>
      <c r="B10" s="17" t="s">
        <v>32</v>
      </c>
      <c r="C10" s="121" t="str">
        <f t="shared" si="0"/>
        <v>41010WYP</v>
      </c>
      <c r="D10" s="59">
        <f>SUMIF('Deferred Income Tax Expense'!$K$117:$K$246,'Results Summary (DIT EXP)'!$B10,'Deferred Income Tax Expense'!F$117:F$246)</f>
        <v>-154904</v>
      </c>
      <c r="E10" s="42">
        <f t="shared" si="1"/>
        <v>-154904</v>
      </c>
      <c r="F10" s="59">
        <f>SUMIF('Deferred Income Tax Expense'!$K$117:$K$246,'Results Summary (DIT EXP)'!$B10,'Deferred Income Tax Expense'!I$117:I$246)</f>
        <v>-70450</v>
      </c>
      <c r="G10" s="42">
        <f t="shared" si="2"/>
        <v>-225354</v>
      </c>
      <c r="H10" s="59">
        <f>SUMIF('Deferred Income Tax Expense'!$K$117:$K$246,'Results Summary (DIT EXP)'!$B10,'Deferred Income Tax Expense'!O$117:O$246)</f>
        <v>0</v>
      </c>
      <c r="K10" s="479"/>
      <c r="O10" s="436"/>
      <c r="P10" s="436"/>
      <c r="Q10" s="436"/>
      <c r="R10" s="436"/>
      <c r="S10" s="436"/>
      <c r="T10" s="436"/>
      <c r="U10" s="436"/>
      <c r="V10" s="436"/>
      <c r="W10" s="436"/>
      <c r="X10" s="436"/>
      <c r="Y10" s="436"/>
      <c r="Z10" s="436"/>
      <c r="AA10" s="436"/>
      <c r="AB10" s="436"/>
      <c r="AC10" s="436"/>
      <c r="AD10" s="436"/>
      <c r="AE10" s="436"/>
      <c r="AF10" s="436"/>
      <c r="AG10" s="436"/>
      <c r="AH10" s="436"/>
    </row>
    <row r="11" spans="1:34">
      <c r="A11" s="547"/>
      <c r="B11" s="19" t="s">
        <v>80</v>
      </c>
      <c r="C11" s="124" t="str">
        <f t="shared" si="0"/>
        <v>41010WYU</v>
      </c>
      <c r="D11" s="59">
        <f>SUMIF('Deferred Income Tax Expense'!$K$117:$K$246,'Results Summary (DIT EXP)'!$B11,'Deferred Income Tax Expense'!F$117:F$246)</f>
        <v>0</v>
      </c>
      <c r="E11" s="43">
        <f t="shared" si="1"/>
        <v>0</v>
      </c>
      <c r="F11" s="59">
        <f>SUMIF('Deferred Income Tax Expense'!$K$117:$K$246,'Results Summary (DIT EXP)'!$B11,'Deferred Income Tax Expense'!I$117:I$246)</f>
        <v>0</v>
      </c>
      <c r="G11" s="43">
        <f t="shared" si="2"/>
        <v>0</v>
      </c>
      <c r="H11" s="59">
        <f>SUMIF('Deferred Income Tax Expense'!$K$117:$K$246,'Results Summary (DIT EXP)'!$B11,'Deferred Income Tax Expense'!O$117:O$246)</f>
        <v>0</v>
      </c>
      <c r="K11" s="479"/>
      <c r="O11" s="436"/>
      <c r="P11" s="436"/>
      <c r="Q11" s="436"/>
      <c r="R11" s="436"/>
      <c r="S11" s="436"/>
      <c r="T11" s="436"/>
      <c r="U11" s="436"/>
      <c r="V11" s="436"/>
      <c r="W11" s="436"/>
      <c r="X11" s="436"/>
      <c r="Y11" s="436"/>
      <c r="Z11" s="436"/>
      <c r="AA11" s="436"/>
      <c r="AB11" s="436"/>
      <c r="AC11" s="436"/>
      <c r="AD11" s="436"/>
      <c r="AE11" s="436"/>
      <c r="AF11" s="436"/>
      <c r="AG11" s="436"/>
      <c r="AH11" s="436"/>
    </row>
    <row r="12" spans="1:34">
      <c r="A12" s="547"/>
      <c r="B12" s="10"/>
      <c r="C12" s="10"/>
      <c r="D12" s="392">
        <f t="shared" ref="D12:H12" si="3">SUBTOTAL(9,D3:D11)</f>
        <v>17752375</v>
      </c>
      <c r="E12" s="61">
        <f t="shared" si="3"/>
        <v>17752375</v>
      </c>
      <c r="F12" s="369">
        <f t="shared" si="3"/>
        <v>-4565976</v>
      </c>
      <c r="G12" s="61">
        <f t="shared" si="3"/>
        <v>13186399</v>
      </c>
      <c r="H12" s="369">
        <f t="shared" si="3"/>
        <v>79214</v>
      </c>
      <c r="J12" s="480"/>
      <c r="K12" s="479"/>
      <c r="O12" s="436"/>
      <c r="P12" s="436"/>
      <c r="Q12" s="436"/>
      <c r="R12" s="436"/>
      <c r="S12" s="436"/>
      <c r="T12" s="436"/>
      <c r="U12" s="436"/>
      <c r="V12" s="436"/>
      <c r="W12" s="436"/>
      <c r="X12" s="436"/>
      <c r="Y12" s="436"/>
      <c r="Z12" s="436"/>
      <c r="AA12" s="436"/>
      <c r="AB12" s="436"/>
      <c r="AC12" s="436"/>
      <c r="AD12" s="436"/>
      <c r="AE12" s="436"/>
      <c r="AF12" s="436"/>
      <c r="AG12" s="436"/>
      <c r="AH12" s="436"/>
    </row>
    <row r="13" spans="1:34">
      <c r="A13" s="547"/>
      <c r="B13" s="12" t="s">
        <v>58</v>
      </c>
      <c r="C13" s="128" t="str">
        <f t="shared" ref="C13:C31" si="4">CONCATENATE("41010",B13)</f>
        <v>41010BADDEBT</v>
      </c>
      <c r="D13" s="59">
        <f>SUMIF('Deferred Income Tax Expense'!$K$117:$K$246,'Results Summary (DIT EXP)'!$B13,'Deferred Income Tax Expense'!F$117:F$246)</f>
        <v>0</v>
      </c>
      <c r="E13" s="56">
        <f t="shared" ref="E13:E31" si="5">SUM(D13:D13)</f>
        <v>0</v>
      </c>
      <c r="F13" s="59">
        <f>SUMIF('Deferred Income Tax Expense'!$K$117:$K$246,'Results Summary (DIT EXP)'!$B13,'Deferred Income Tax Expense'!I$117:I$246)</f>
        <v>0</v>
      </c>
      <c r="G13" s="58">
        <f t="shared" ref="G13:G31" si="6">SUM(E13:F13)</f>
        <v>0</v>
      </c>
      <c r="H13" s="59">
        <f>SUMIF('Deferred Income Tax Expense'!$K$117:$K$246,'Results Summary (DIT EXP)'!$B13,'Deferred Income Tax Expense'!O$117:O$246)</f>
        <v>0</v>
      </c>
      <c r="O13" s="437"/>
      <c r="P13" s="436"/>
      <c r="Q13" s="436"/>
      <c r="R13" s="436"/>
      <c r="S13" s="436"/>
      <c r="T13" s="436"/>
      <c r="U13" s="436"/>
      <c r="V13" s="436"/>
      <c r="W13" s="436"/>
      <c r="X13" s="436"/>
      <c r="Y13" s="436"/>
      <c r="Z13" s="436"/>
      <c r="AA13" s="436"/>
      <c r="AB13" s="436"/>
      <c r="AC13" s="436"/>
      <c r="AD13" s="436"/>
      <c r="AE13" s="436"/>
      <c r="AF13" s="436"/>
      <c r="AG13" s="436"/>
      <c r="AH13" s="436"/>
    </row>
    <row r="14" spans="1:34">
      <c r="A14" s="547"/>
      <c r="B14" s="413" t="s">
        <v>119</v>
      </c>
      <c r="C14" s="422" t="str">
        <f t="shared" si="4"/>
        <v>41010CAEE</v>
      </c>
      <c r="D14" s="59">
        <f>SUMIF('Deferred Income Tax Expense'!$K$117:$K$246,'Results Summary (DIT EXP)'!$B14,'Deferred Income Tax Expense'!F$117:F$246)</f>
        <v>-239091</v>
      </c>
      <c r="E14" s="42">
        <f t="shared" si="5"/>
        <v>-239091</v>
      </c>
      <c r="F14" s="59">
        <f>SUMIF('Deferred Income Tax Expense'!$K$117:$K$246,'Results Summary (DIT EXP)'!$B14,'Deferred Income Tax Expense'!I$117:I$246)</f>
        <v>-5125</v>
      </c>
      <c r="G14" s="42">
        <f t="shared" si="6"/>
        <v>-244216</v>
      </c>
      <c r="H14" s="59">
        <f>SUMIF('Deferred Income Tax Expense'!$K$117:$K$246,'Results Summary (DIT EXP)'!$B14,'Deferred Income Tax Expense'!O$117:O$246)</f>
        <v>0</v>
      </c>
      <c r="O14" s="437"/>
      <c r="P14" s="436"/>
      <c r="Q14" s="436"/>
      <c r="R14" s="436"/>
      <c r="S14" s="436"/>
      <c r="T14" s="436"/>
      <c r="U14" s="436"/>
      <c r="V14" s="436"/>
      <c r="W14" s="436"/>
      <c r="X14" s="436"/>
      <c r="Y14" s="436"/>
      <c r="Z14" s="436"/>
      <c r="AA14" s="436"/>
      <c r="AB14" s="436"/>
      <c r="AC14" s="436"/>
      <c r="AD14" s="436"/>
      <c r="AE14" s="436"/>
      <c r="AF14" s="436"/>
      <c r="AG14" s="436"/>
      <c r="AH14" s="436"/>
    </row>
    <row r="15" spans="1:34">
      <c r="A15" s="547"/>
      <c r="B15" s="413" t="s">
        <v>162</v>
      </c>
      <c r="C15" s="422" t="str">
        <f t="shared" si="4"/>
        <v>41010CAGE</v>
      </c>
      <c r="D15" s="59">
        <f>SUMIF('Deferred Income Tax Expense'!$K$117:$K$246,'Results Summary (DIT EXP)'!$B15,'Deferred Income Tax Expense'!F$117:F$246)</f>
        <v>83511</v>
      </c>
      <c r="E15" s="42">
        <f t="shared" si="5"/>
        <v>83511</v>
      </c>
      <c r="F15" s="59">
        <f>SUMIF('Deferred Income Tax Expense'!$K$117:$K$246,'Results Summary (DIT EXP)'!$B15,'Deferred Income Tax Expense'!I$117:I$246)</f>
        <v>-33267159</v>
      </c>
      <c r="G15" s="42">
        <f t="shared" si="6"/>
        <v>-33183648</v>
      </c>
      <c r="H15" s="59">
        <f>SUMIF('Deferred Income Tax Expense'!$K$117:$K$246,'Results Summary (DIT EXP)'!$B15,'Deferred Income Tax Expense'!O$117:O$246)</f>
        <v>0</v>
      </c>
      <c r="O15" s="437"/>
      <c r="P15" s="436"/>
      <c r="Q15" s="436"/>
      <c r="R15" s="436"/>
      <c r="S15" s="436"/>
      <c r="T15" s="436"/>
      <c r="U15" s="436"/>
      <c r="V15" s="436"/>
      <c r="W15" s="436"/>
      <c r="X15" s="436"/>
      <c r="Y15" s="436"/>
      <c r="Z15" s="436"/>
      <c r="AA15" s="436"/>
      <c r="AB15" s="436"/>
      <c r="AC15" s="436"/>
      <c r="AD15" s="436"/>
      <c r="AE15" s="436"/>
      <c r="AF15" s="436"/>
      <c r="AG15" s="436"/>
      <c r="AH15" s="436"/>
    </row>
    <row r="16" spans="1:34">
      <c r="A16" s="547"/>
      <c r="B16" s="413" t="s">
        <v>160</v>
      </c>
      <c r="C16" s="422" t="str">
        <f t="shared" si="4"/>
        <v>41010CAGW</v>
      </c>
      <c r="D16" s="59">
        <f>SUMIF('Deferred Income Tax Expense'!$K$117:$K$246,'Results Summary (DIT EXP)'!$B16,'Deferred Income Tax Expense'!F$117:F$246)</f>
        <v>-30689</v>
      </c>
      <c r="E16" s="42">
        <f t="shared" si="5"/>
        <v>-30689</v>
      </c>
      <c r="F16" s="59">
        <f>SUMIF('Deferred Income Tax Expense'!$K$117:$K$246,'Results Summary (DIT EXP)'!$B16,'Deferred Income Tax Expense'!I$117:I$246)</f>
        <v>2589685</v>
      </c>
      <c r="G16" s="42">
        <f t="shared" si="6"/>
        <v>2558996</v>
      </c>
      <c r="H16" s="59">
        <f>SUMIF('Deferred Income Tax Expense'!$K$117:$K$246,'Results Summary (DIT EXP)'!$B16,'Deferred Income Tax Expense'!O$117:O$246)</f>
        <v>552159</v>
      </c>
      <c r="M16" s="382"/>
      <c r="O16" s="437"/>
      <c r="P16" s="436"/>
      <c r="Q16" s="436"/>
      <c r="R16" s="436"/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</row>
    <row r="17" spans="1:34">
      <c r="A17" s="547"/>
      <c r="B17" s="18" t="s">
        <v>20</v>
      </c>
      <c r="C17" s="123" t="str">
        <f t="shared" si="4"/>
        <v>41010CIAC</v>
      </c>
      <c r="D17" s="59">
        <f>SUMIF('Deferred Income Tax Expense'!$K$117:$K$246,'Results Summary (DIT EXP)'!$B17,'Deferred Income Tax Expense'!F$117:F$246)</f>
        <v>0</v>
      </c>
      <c r="E17" s="42">
        <f t="shared" si="5"/>
        <v>0</v>
      </c>
      <c r="F17" s="59">
        <f>SUMIF('Deferred Income Tax Expense'!$K$117:$K$246,'Results Summary (DIT EXP)'!$B17,'Deferred Income Tax Expense'!I$117:I$246)</f>
        <v>0</v>
      </c>
      <c r="G17" s="42">
        <f t="shared" si="6"/>
        <v>0</v>
      </c>
      <c r="H17" s="59">
        <f>SUMIF('Deferred Income Tax Expense'!$K$117:$K$246,'Results Summary (DIT EXP)'!$B17,'Deferred Income Tax Expense'!O$117:O$246)</f>
        <v>0</v>
      </c>
      <c r="O17" s="437"/>
      <c r="P17" s="436"/>
      <c r="Q17" s="436"/>
      <c r="R17" s="436"/>
      <c r="S17" s="436"/>
      <c r="T17" s="436"/>
      <c r="U17" s="436"/>
      <c r="V17" s="436"/>
      <c r="W17" s="436"/>
      <c r="X17" s="436"/>
      <c r="Y17" s="436"/>
      <c r="Z17" s="436"/>
      <c r="AA17" s="436"/>
      <c r="AB17" s="436"/>
      <c r="AC17" s="436"/>
      <c r="AD17" s="436"/>
      <c r="AE17" s="436"/>
      <c r="AF17" s="436"/>
      <c r="AG17" s="436"/>
      <c r="AH17" s="436"/>
    </row>
    <row r="18" spans="1:34">
      <c r="A18" s="547"/>
      <c r="B18" s="17" t="s">
        <v>60</v>
      </c>
      <c r="C18" s="121" t="str">
        <f t="shared" si="4"/>
        <v>41010CN</v>
      </c>
      <c r="D18" s="59">
        <f>SUMIF('Deferred Income Tax Expense'!$K$117:$K$246,'Results Summary (DIT EXP)'!$B18,'Deferred Income Tax Expense'!F$117:F$246)</f>
        <v>0</v>
      </c>
      <c r="E18" s="42">
        <f t="shared" si="5"/>
        <v>0</v>
      </c>
      <c r="F18" s="59">
        <f>SUMIF('Deferred Income Tax Expense'!$K$117:$K$246,'Results Summary (DIT EXP)'!$B18,'Deferred Income Tax Expense'!I$117:I$246)</f>
        <v>-179212</v>
      </c>
      <c r="G18" s="42">
        <f t="shared" si="6"/>
        <v>-179212</v>
      </c>
      <c r="H18" s="59">
        <f>SUMIF('Deferred Income Tax Expense'!$K$117:$K$246,'Results Summary (DIT EXP)'!$B18,'Deferred Income Tax Expense'!O$117:O$246)</f>
        <v>-12430</v>
      </c>
      <c r="M18" s="382"/>
      <c r="O18" s="437"/>
      <c r="P18" s="436"/>
      <c r="Q18" s="436"/>
      <c r="R18" s="436"/>
      <c r="S18" s="436"/>
      <c r="T18" s="436"/>
      <c r="U18" s="436"/>
      <c r="V18" s="436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36"/>
      <c r="AH18" s="436"/>
    </row>
    <row r="19" spans="1:34">
      <c r="A19" s="547"/>
      <c r="B19" s="17" t="s">
        <v>49</v>
      </c>
      <c r="C19" s="121" t="str">
        <f t="shared" si="4"/>
        <v>41010GPS</v>
      </c>
      <c r="D19" s="59">
        <f>SUMIF('Deferred Income Tax Expense'!$K$117:$K$246,'Results Summary (DIT EXP)'!$B19,'Deferred Income Tax Expense'!F$117:F$246)</f>
        <v>16739227</v>
      </c>
      <c r="E19" s="42">
        <f t="shared" si="5"/>
        <v>16739227</v>
      </c>
      <c r="F19" s="59">
        <f>SUMIF('Deferred Income Tax Expense'!$K$117:$K$246,'Results Summary (DIT EXP)'!$B19,'Deferred Income Tax Expense'!I$117:I$246)</f>
        <v>0</v>
      </c>
      <c r="G19" s="42">
        <f t="shared" si="6"/>
        <v>16739227</v>
      </c>
      <c r="H19" s="59">
        <f>SUMIF('Deferred Income Tax Expense'!$K$117:$K$246,'Results Summary (DIT EXP)'!$B19,'Deferred Income Tax Expense'!O$117:O$246)</f>
        <v>1121823</v>
      </c>
      <c r="O19" s="437"/>
      <c r="P19" s="436"/>
      <c r="Q19" s="436"/>
      <c r="R19" s="436"/>
      <c r="S19" s="436"/>
      <c r="T19" s="436"/>
      <c r="U19" s="436"/>
      <c r="V19" s="436"/>
      <c r="W19" s="436"/>
      <c r="X19" s="436"/>
      <c r="Y19" s="436"/>
      <c r="Z19" s="436"/>
      <c r="AA19" s="436"/>
      <c r="AB19" s="436"/>
      <c r="AC19" s="436"/>
      <c r="AD19" s="436"/>
      <c r="AE19" s="436"/>
      <c r="AF19" s="436"/>
      <c r="AG19" s="436"/>
      <c r="AH19" s="436"/>
    </row>
    <row r="20" spans="1:34">
      <c r="A20" s="547"/>
      <c r="B20" s="17" t="s">
        <v>170</v>
      </c>
      <c r="C20" s="121" t="str">
        <f t="shared" si="4"/>
        <v>41010JBE</v>
      </c>
      <c r="D20" s="59">
        <f>SUMIF('Deferred Income Tax Expense'!$K$117:$K$246,'Results Summary (DIT EXP)'!$B20,'Deferred Income Tax Expense'!F$117:F$246)</f>
        <v>-48962</v>
      </c>
      <c r="E20" s="42">
        <f t="shared" si="5"/>
        <v>-48962</v>
      </c>
      <c r="F20" s="59">
        <f>SUMIF('Deferred Income Tax Expense'!$K$117:$K$246,'Results Summary (DIT EXP)'!$B20,'Deferred Income Tax Expense'!I$117:I$246)</f>
        <v>0</v>
      </c>
      <c r="G20" s="42">
        <f t="shared" si="6"/>
        <v>-48962</v>
      </c>
      <c r="H20" s="59">
        <f>SUMIF('Deferred Income Tax Expense'!$K$117:$K$246,'Results Summary (DIT EXP)'!$B20,'Deferred Income Tax Expense'!O$117:O$246)</f>
        <v>-11060</v>
      </c>
      <c r="O20" s="437"/>
      <c r="P20" s="436"/>
      <c r="Q20" s="436"/>
      <c r="R20" s="436"/>
      <c r="S20" s="436"/>
      <c r="T20" s="436"/>
      <c r="U20" s="436"/>
      <c r="V20" s="436"/>
      <c r="W20" s="436"/>
      <c r="X20" s="436"/>
      <c r="Y20" s="436"/>
      <c r="Z20" s="436"/>
      <c r="AA20" s="436"/>
      <c r="AB20" s="436"/>
      <c r="AC20" s="436"/>
      <c r="AD20" s="436"/>
      <c r="AE20" s="436"/>
      <c r="AF20" s="436"/>
      <c r="AG20" s="436"/>
      <c r="AH20" s="436"/>
    </row>
    <row r="21" spans="1:34">
      <c r="A21" s="547"/>
      <c r="B21" s="17" t="s">
        <v>168</v>
      </c>
      <c r="C21" s="121" t="str">
        <f t="shared" si="4"/>
        <v>41010JBG</v>
      </c>
      <c r="D21" s="59">
        <f>SUMIF('Deferred Income Tax Expense'!$K$117:$K$246,'Results Summary (DIT EXP)'!$B21,'Deferred Income Tax Expense'!F$117:F$246)</f>
        <v>0</v>
      </c>
      <c r="E21" s="42">
        <f t="shared" si="5"/>
        <v>0</v>
      </c>
      <c r="F21" s="59">
        <f>SUMIF('Deferred Income Tax Expense'!$K$117:$K$246,'Results Summary (DIT EXP)'!$B21,'Deferred Income Tax Expense'!I$117:I$246)</f>
        <v>10046019</v>
      </c>
      <c r="G21" s="42">
        <f t="shared" si="6"/>
        <v>10046019</v>
      </c>
      <c r="H21" s="59">
        <f>SUMIF('Deferred Income Tax Expense'!$K$117:$K$246,'Results Summary (DIT EXP)'!$B21,'Deferred Income Tax Expense'!O$117:O$246)</f>
        <v>2167649</v>
      </c>
      <c r="M21" s="382"/>
      <c r="O21" s="437"/>
      <c r="P21" s="436"/>
      <c r="Q21" s="436"/>
      <c r="R21" s="436"/>
      <c r="S21" s="436"/>
      <c r="T21" s="436"/>
      <c r="U21" s="436"/>
      <c r="V21" s="436"/>
      <c r="W21" s="436"/>
      <c r="X21" s="436"/>
      <c r="Y21" s="436"/>
      <c r="Z21" s="436"/>
      <c r="AA21" s="436"/>
      <c r="AB21" s="436"/>
      <c r="AC21" s="436"/>
      <c r="AD21" s="436"/>
      <c r="AE21" s="436"/>
      <c r="AF21" s="436"/>
      <c r="AG21" s="436"/>
      <c r="AH21" s="436"/>
    </row>
    <row r="22" spans="1:34">
      <c r="A22" s="547"/>
      <c r="B22" s="18" t="s">
        <v>331</v>
      </c>
      <c r="C22" s="123" t="str">
        <f t="shared" si="4"/>
        <v>41010NREG</v>
      </c>
      <c r="D22" s="59">
        <f>SUMIF('Deferred Income Tax Expense'!$K$117:$K$246,'Results Summary (DIT EXP)'!$B22,'Deferred Income Tax Expense'!F$117:F$246)</f>
        <v>-6557348</v>
      </c>
      <c r="E22" s="42">
        <f t="shared" si="5"/>
        <v>-6557348</v>
      </c>
      <c r="F22" s="59">
        <f>SUMIF('Deferred Income Tax Expense'!$K$117:$K$246,'Results Summary (DIT EXP)'!$B22,'Deferred Income Tax Expense'!I$117:I$246)</f>
        <v>0</v>
      </c>
      <c r="G22" s="42">
        <f t="shared" si="6"/>
        <v>-6557348</v>
      </c>
      <c r="H22" s="59">
        <f>SUMIF('Deferred Income Tax Expense'!$K$117:$K$246,'Results Summary (DIT EXP)'!$B22,'Deferred Income Tax Expense'!O$117:O$246)</f>
        <v>0</v>
      </c>
      <c r="O22" s="437"/>
      <c r="P22" s="436"/>
      <c r="Q22" s="436"/>
      <c r="R22" s="436"/>
      <c r="S22" s="436"/>
      <c r="T22" s="436"/>
      <c r="U22" s="436"/>
      <c r="V22" s="436"/>
      <c r="W22" s="436"/>
      <c r="X22" s="436"/>
      <c r="Y22" s="436"/>
      <c r="Z22" s="436"/>
      <c r="AA22" s="436"/>
      <c r="AB22" s="436"/>
      <c r="AC22" s="436"/>
      <c r="AD22" s="436"/>
      <c r="AE22" s="436"/>
      <c r="AF22" s="436"/>
      <c r="AG22" s="436"/>
      <c r="AH22" s="436"/>
    </row>
    <row r="23" spans="1:34">
      <c r="A23" s="547"/>
      <c r="B23" s="18" t="s">
        <v>11</v>
      </c>
      <c r="C23" s="123" t="str">
        <f t="shared" si="4"/>
        <v>41010SCHMDEXP</v>
      </c>
      <c r="D23" s="59">
        <f>SUMIF('Deferred Income Tax Expense'!$K$117:$K$246,'Results Summary (DIT EXP)'!$B23,'Deferred Income Tax Expense'!F$117:F$246)</f>
        <v>0</v>
      </c>
      <c r="E23" s="42">
        <f t="shared" si="5"/>
        <v>0</v>
      </c>
      <c r="F23" s="59">
        <f>SUMIF('Deferred Income Tax Expense'!$K$117:$K$246,'Results Summary (DIT EXP)'!$B23,'Deferred Income Tax Expense'!I$117:I$246)</f>
        <v>0</v>
      </c>
      <c r="G23" s="42">
        <f t="shared" si="6"/>
        <v>0</v>
      </c>
      <c r="H23" s="59">
        <f>SUMIF('Deferred Income Tax Expense'!$K$117:$K$246,'Results Summary (DIT EXP)'!$B23,'Deferred Income Tax Expense'!O$117:O$246)</f>
        <v>0</v>
      </c>
      <c r="O23" s="437"/>
      <c r="P23" s="436"/>
      <c r="Q23" s="436"/>
      <c r="R23" s="436"/>
      <c r="S23" s="436"/>
      <c r="T23" s="436"/>
      <c r="U23" s="436"/>
      <c r="V23" s="436"/>
      <c r="W23" s="436"/>
      <c r="X23" s="436"/>
      <c r="Y23" s="436"/>
      <c r="Z23" s="436"/>
      <c r="AA23" s="436"/>
      <c r="AB23" s="436"/>
      <c r="AC23" s="436"/>
      <c r="AD23" s="436"/>
      <c r="AE23" s="436"/>
      <c r="AF23" s="436"/>
      <c r="AG23" s="436"/>
      <c r="AH23" s="436"/>
    </row>
    <row r="24" spans="1:34">
      <c r="A24" s="547"/>
      <c r="B24" s="18" t="s">
        <v>13</v>
      </c>
      <c r="C24" s="123" t="str">
        <f t="shared" si="4"/>
        <v>41010SE</v>
      </c>
      <c r="D24" s="59">
        <f>SUMIF('Deferred Income Tax Expense'!$K$117:$K$246,'Results Summary (DIT EXP)'!$B24,'Deferred Income Tax Expense'!F$117:F$246)</f>
        <v>0</v>
      </c>
      <c r="E24" s="42">
        <f t="shared" si="5"/>
        <v>0</v>
      </c>
      <c r="F24" s="59">
        <f>SUMIF('Deferred Income Tax Expense'!$K$117:$K$246,'Results Summary (DIT EXP)'!$B24,'Deferred Income Tax Expense'!I$117:I$246)</f>
        <v>0</v>
      </c>
      <c r="G24" s="42">
        <f t="shared" si="6"/>
        <v>0</v>
      </c>
      <c r="H24" s="59">
        <f>SUMIF('Deferred Income Tax Expense'!$K$117:$K$246,'Results Summary (DIT EXP)'!$B24,'Deferred Income Tax Expense'!O$117:O$246)</f>
        <v>0</v>
      </c>
      <c r="O24" s="437"/>
      <c r="P24" s="436"/>
      <c r="Q24" s="436"/>
      <c r="R24" s="436"/>
      <c r="S24" s="436"/>
      <c r="T24" s="436"/>
      <c r="U24" s="436"/>
      <c r="V24" s="436"/>
      <c r="W24" s="436"/>
      <c r="X24" s="436"/>
      <c r="Y24" s="436"/>
      <c r="Z24" s="436"/>
      <c r="AA24" s="436"/>
      <c r="AB24" s="436"/>
      <c r="AC24" s="436"/>
      <c r="AD24" s="436"/>
      <c r="AE24" s="436"/>
      <c r="AF24" s="436"/>
      <c r="AG24" s="436"/>
      <c r="AH24" s="436"/>
    </row>
    <row r="25" spans="1:34">
      <c r="A25" s="547"/>
      <c r="B25" s="17" t="s">
        <v>19</v>
      </c>
      <c r="C25" s="121" t="str">
        <f t="shared" si="4"/>
        <v>41010SG</v>
      </c>
      <c r="D25" s="59">
        <f>SUMIF('Deferred Income Tax Expense'!$K$117:$K$246,'Results Summary (DIT EXP)'!$B25,'Deferred Income Tax Expense'!F$117:F$246)</f>
        <v>35694242</v>
      </c>
      <c r="E25" s="42">
        <f t="shared" si="5"/>
        <v>35694242</v>
      </c>
      <c r="F25" s="59">
        <f>SUMIF('Deferred Income Tax Expense'!$K$117:$K$246,'Results Summary (DIT EXP)'!$B25,'Deferred Income Tax Expense'!I$117:I$246)</f>
        <v>65768866</v>
      </c>
      <c r="G25" s="42">
        <f t="shared" si="6"/>
        <v>101463108</v>
      </c>
      <c r="H25" s="59">
        <f>SUMIF('Deferred Income Tax Expense'!$K$117:$K$246,'Results Summary (DIT EXP)'!$B25,'Deferred Income Tax Expense'!O$117:O$246)</f>
        <v>7925389</v>
      </c>
      <c r="K25" s="479"/>
      <c r="O25" s="437"/>
      <c r="P25" s="436"/>
      <c r="Q25" s="436"/>
      <c r="R25" s="436"/>
      <c r="S25" s="436"/>
      <c r="T25" s="436"/>
      <c r="U25" s="436"/>
      <c r="V25" s="436"/>
      <c r="W25" s="436"/>
      <c r="X25" s="436"/>
      <c r="Y25" s="436"/>
      <c r="Z25" s="436"/>
      <c r="AA25" s="436"/>
      <c r="AB25" s="436"/>
      <c r="AC25" s="436"/>
      <c r="AD25" s="436"/>
      <c r="AE25" s="436"/>
      <c r="AF25" s="436"/>
      <c r="AG25" s="436"/>
      <c r="AH25" s="436"/>
    </row>
    <row r="26" spans="1:34">
      <c r="A26" s="547"/>
      <c r="B26" s="18" t="s">
        <v>31</v>
      </c>
      <c r="C26" s="123" t="str">
        <f t="shared" si="4"/>
        <v>41010SGCT</v>
      </c>
      <c r="D26" s="59">
        <f>SUMIF('Deferred Income Tax Expense'!$K$117:$K$246,'Results Summary (DIT EXP)'!$B26,'Deferred Income Tax Expense'!F$117:F$246)</f>
        <v>0</v>
      </c>
      <c r="E26" s="42">
        <f t="shared" si="5"/>
        <v>0</v>
      </c>
      <c r="F26" s="59">
        <f>SUMIF('Deferred Income Tax Expense'!$K$117:$K$246,'Results Summary (DIT EXP)'!$B26,'Deferred Income Tax Expense'!I$117:I$246)</f>
        <v>0</v>
      </c>
      <c r="G26" s="42">
        <f t="shared" si="6"/>
        <v>0</v>
      </c>
      <c r="H26" s="59">
        <f>SUMIF('Deferred Income Tax Expense'!$K$117:$K$246,'Results Summary (DIT EXP)'!$B26,'Deferred Income Tax Expense'!O$117:O$246)</f>
        <v>0</v>
      </c>
      <c r="K26" s="479"/>
      <c r="O26" s="437"/>
      <c r="P26" s="436"/>
      <c r="Q26" s="436"/>
      <c r="R26" s="436"/>
      <c r="S26" s="436"/>
      <c r="T26" s="436"/>
      <c r="U26" s="436"/>
      <c r="V26" s="436"/>
      <c r="W26" s="436"/>
      <c r="X26" s="436"/>
      <c r="Y26" s="436"/>
      <c r="Z26" s="436"/>
      <c r="AA26" s="436"/>
      <c r="AB26" s="436"/>
      <c r="AC26" s="436"/>
      <c r="AD26" s="436"/>
      <c r="AE26" s="436"/>
      <c r="AF26" s="436"/>
      <c r="AG26" s="436"/>
      <c r="AH26" s="436"/>
    </row>
    <row r="27" spans="1:34">
      <c r="A27" s="547"/>
      <c r="B27" s="18" t="s">
        <v>16</v>
      </c>
      <c r="C27" s="123" t="str">
        <f t="shared" si="4"/>
        <v>41010SNP</v>
      </c>
      <c r="D27" s="59">
        <f>SUMIF('Deferred Income Tax Expense'!$K$117:$K$246,'Results Summary (DIT EXP)'!$B27,'Deferred Income Tax Expense'!F$117:F$246)</f>
        <v>18367499</v>
      </c>
      <c r="E27" s="42">
        <f t="shared" si="5"/>
        <v>18367499</v>
      </c>
      <c r="F27" s="59">
        <f>SUMIF('Deferred Income Tax Expense'!$K$117:$K$246,'Results Summary (DIT EXP)'!$B27,'Deferred Income Tax Expense'!I$117:I$246)</f>
        <v>0</v>
      </c>
      <c r="G27" s="42">
        <f t="shared" si="6"/>
        <v>18367499</v>
      </c>
      <c r="H27" s="59">
        <f>SUMIF('Deferred Income Tax Expense'!$K$117:$K$246,'Results Summary (DIT EXP)'!$B27,'Deferred Income Tax Expense'!O$117:O$246)</f>
        <v>1118473</v>
      </c>
      <c r="K27" s="479"/>
      <c r="O27" s="437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36"/>
    </row>
    <row r="28" spans="1:34">
      <c r="A28" s="547"/>
      <c r="B28" s="17" t="s">
        <v>21</v>
      </c>
      <c r="C28" s="121" t="str">
        <f t="shared" si="4"/>
        <v>41010SNPD</v>
      </c>
      <c r="D28" s="59">
        <f>SUMIF('Deferred Income Tax Expense'!$K$117:$K$246,'Results Summary (DIT EXP)'!$B28,'Deferred Income Tax Expense'!F$117:F$246)</f>
        <v>375209</v>
      </c>
      <c r="E28" s="42">
        <f t="shared" si="5"/>
        <v>375209</v>
      </c>
      <c r="F28" s="59">
        <f>SUMIF('Deferred Income Tax Expense'!$K$117:$K$246,'Results Summary (DIT EXP)'!$B28,'Deferred Income Tax Expense'!I$117:I$246)</f>
        <v>0</v>
      </c>
      <c r="G28" s="42">
        <f t="shared" si="6"/>
        <v>375209</v>
      </c>
      <c r="H28" s="59">
        <f>SUMIF('Deferred Income Tax Expense'!$K$117:$K$246,'Results Summary (DIT EXP)'!$B28,'Deferred Income Tax Expense'!O$117:O$246)</f>
        <v>24167</v>
      </c>
      <c r="K28" s="479"/>
      <c r="O28" s="437"/>
      <c r="P28" s="436"/>
      <c r="Q28" s="436"/>
      <c r="R28" s="436"/>
      <c r="S28" s="436"/>
      <c r="T28" s="436"/>
      <c r="U28" s="436"/>
      <c r="V28" s="436"/>
      <c r="W28" s="436"/>
      <c r="X28" s="436"/>
      <c r="Y28" s="436"/>
      <c r="Z28" s="436"/>
      <c r="AA28" s="436"/>
      <c r="AB28" s="436"/>
      <c r="AC28" s="436"/>
      <c r="AD28" s="436"/>
      <c r="AE28" s="436"/>
      <c r="AF28" s="436"/>
      <c r="AG28" s="436"/>
      <c r="AH28" s="436"/>
    </row>
    <row r="29" spans="1:34">
      <c r="A29" s="547"/>
      <c r="B29" s="18" t="s">
        <v>10</v>
      </c>
      <c r="C29" s="123" t="str">
        <f t="shared" si="4"/>
        <v>41010SO</v>
      </c>
      <c r="D29" s="59">
        <f>SUMIF('Deferred Income Tax Expense'!$K$117:$K$246,'Results Summary (DIT EXP)'!$B29,'Deferred Income Tax Expense'!F$117:F$246)</f>
        <v>-753269</v>
      </c>
      <c r="E29" s="42">
        <f t="shared" si="5"/>
        <v>-753269</v>
      </c>
      <c r="F29" s="59">
        <f>SUMIF('Deferred Income Tax Expense'!$K$117:$K$246,'Results Summary (DIT EXP)'!$B29,'Deferred Income Tax Expense'!I$117:I$246)</f>
        <v>1212233</v>
      </c>
      <c r="G29" s="42">
        <f t="shared" si="6"/>
        <v>458964</v>
      </c>
      <c r="H29" s="59">
        <f>SUMIF('Deferred Income Tax Expense'!$K$117:$K$246,'Results Summary (DIT EXP)'!$B29,'Deferred Income Tax Expense'!O$117:O$246)</f>
        <v>30759</v>
      </c>
      <c r="K29" s="479"/>
      <c r="M29" s="382"/>
      <c r="O29" s="437"/>
      <c r="P29" s="436"/>
      <c r="Q29" s="436"/>
      <c r="R29" s="436"/>
      <c r="S29" s="436"/>
      <c r="T29" s="436"/>
      <c r="U29" s="436"/>
      <c r="V29" s="436"/>
      <c r="W29" s="436"/>
      <c r="X29" s="436"/>
      <c r="Y29" s="436"/>
      <c r="Z29" s="436"/>
      <c r="AA29" s="436"/>
      <c r="AB29" s="436"/>
      <c r="AC29" s="436"/>
      <c r="AD29" s="436"/>
      <c r="AE29" s="436"/>
      <c r="AF29" s="436"/>
      <c r="AG29" s="436"/>
      <c r="AH29" s="436"/>
    </row>
    <row r="30" spans="1:34">
      <c r="A30" s="547"/>
      <c r="B30" s="17" t="s">
        <v>45</v>
      </c>
      <c r="C30" s="121" t="str">
        <f t="shared" si="4"/>
        <v>41010TAXDEPR</v>
      </c>
      <c r="D30" s="59">
        <f>SUMIF('Deferred Income Tax Expense'!$K$117:$K$246,'Results Summary (DIT EXP)'!$B30,'Deferred Income Tax Expense'!F$117:F$246)</f>
        <v>145237384</v>
      </c>
      <c r="E30" s="42">
        <f t="shared" si="5"/>
        <v>145237384</v>
      </c>
      <c r="F30" s="59">
        <f>SUMIF('Deferred Income Tax Expense'!$K$117:$K$246,'Results Summary (DIT EXP)'!$B30,'Deferred Income Tax Expense'!I$117:I$246)</f>
        <v>68460800</v>
      </c>
      <c r="G30" s="42">
        <f t="shared" si="6"/>
        <v>213698184</v>
      </c>
      <c r="H30" s="59">
        <f>SUMIF('Deferred Income Tax Expense'!$K$117:$K$246,'Results Summary (DIT EXP)'!$B30,'Deferred Income Tax Expense'!O$117:O$246)</f>
        <v>13753029</v>
      </c>
      <c r="K30" s="479"/>
      <c r="O30" s="437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6"/>
      <c r="AC30" s="436"/>
      <c r="AD30" s="436"/>
      <c r="AE30" s="436"/>
      <c r="AF30" s="436"/>
      <c r="AG30" s="436"/>
      <c r="AH30" s="436"/>
    </row>
    <row r="31" spans="1:34">
      <c r="A31" s="548"/>
      <c r="B31" s="22" t="s">
        <v>40</v>
      </c>
      <c r="C31" s="22" t="str">
        <f t="shared" si="4"/>
        <v>41010TROJD</v>
      </c>
      <c r="D31" s="59">
        <f>SUMIF('Deferred Income Tax Expense'!$K$117:$K$246,'Results Summary (DIT EXP)'!$B31,'Deferred Income Tax Expense'!F$117:F$246)</f>
        <v>0</v>
      </c>
      <c r="E31" s="20">
        <f t="shared" si="5"/>
        <v>0</v>
      </c>
      <c r="F31" s="59">
        <f>SUMIF('Deferred Income Tax Expense'!$K$117:$K$246,'Results Summary (DIT EXP)'!$B31,'Deferred Income Tax Expense'!I$117:I$246)</f>
        <v>0</v>
      </c>
      <c r="G31" s="43">
        <f t="shared" si="6"/>
        <v>0</v>
      </c>
      <c r="H31" s="59">
        <f>SUMIF('Deferred Income Tax Expense'!$K$117:$K$246,'Results Summary (DIT EXP)'!$B31,'Deferred Income Tax Expense'!O$117:O$246)</f>
        <v>0</v>
      </c>
      <c r="K31" s="479"/>
      <c r="O31" s="437"/>
      <c r="P31" s="436"/>
      <c r="Q31" s="436"/>
      <c r="R31" s="436"/>
      <c r="S31" s="436"/>
      <c r="T31" s="436"/>
      <c r="U31" s="436"/>
      <c r="V31" s="436"/>
      <c r="W31" s="436"/>
      <c r="X31" s="436"/>
      <c r="Y31" s="436"/>
      <c r="Z31" s="436"/>
      <c r="AA31" s="436"/>
      <c r="AB31" s="436"/>
      <c r="AC31" s="436"/>
      <c r="AD31" s="436"/>
      <c r="AE31" s="436"/>
      <c r="AF31" s="436"/>
      <c r="AG31" s="436"/>
      <c r="AH31" s="436"/>
    </row>
    <row r="32" spans="1:34">
      <c r="A32" s="9"/>
      <c r="B32" s="10"/>
      <c r="C32" s="10"/>
      <c r="D32" s="23">
        <f t="shared" ref="D32:H32" si="7">SUBTOTAL(9,D3:D31)</f>
        <v>226620088</v>
      </c>
      <c r="E32" s="23">
        <f t="shared" si="7"/>
        <v>226620088</v>
      </c>
      <c r="F32" s="23">
        <f t="shared" si="7"/>
        <v>110060131</v>
      </c>
      <c r="G32" s="62">
        <f t="shared" si="7"/>
        <v>336680219</v>
      </c>
      <c r="H32" s="23">
        <f t="shared" si="7"/>
        <v>26749172</v>
      </c>
      <c r="J32" s="481"/>
      <c r="K32" s="479"/>
      <c r="O32" s="436"/>
      <c r="P32" s="436"/>
      <c r="Q32" s="436"/>
      <c r="R32" s="436"/>
      <c r="S32" s="436"/>
      <c r="T32" s="436"/>
      <c r="U32" s="436"/>
      <c r="V32" s="436"/>
      <c r="W32" s="436"/>
      <c r="X32" s="436"/>
      <c r="Y32" s="436"/>
      <c r="Z32" s="436"/>
      <c r="AA32" s="436"/>
      <c r="AB32" s="436"/>
      <c r="AC32" s="436"/>
      <c r="AD32" s="436"/>
      <c r="AE32" s="436"/>
      <c r="AF32" s="436"/>
      <c r="AG32" s="436"/>
      <c r="AH32" s="436"/>
    </row>
    <row r="33" spans="1:34" ht="12.75" customHeight="1">
      <c r="A33" s="546" t="s">
        <v>252</v>
      </c>
      <c r="B33" s="12" t="s">
        <v>17</v>
      </c>
      <c r="C33" s="12" t="str">
        <f t="shared" ref="C33:C41" si="8">CONCATENATE("41110",B33)</f>
        <v>41110CA</v>
      </c>
      <c r="D33" s="57">
        <f>SUMIF('Deferred Income Tax Expense'!$K$3:$K$116,'Results Summary (DIT EXP)'!$B33,'Deferred Income Tax Expense'!F$3:F$116)+SUMIF('Deferred Income Tax Expense'!$K$249:$K$292,'Results Summary (DIT EXP)'!$B33,'Deferred Income Tax Expense'!$F$249:$F$292)</f>
        <v>-117769.66303624387</v>
      </c>
      <c r="E33" s="54">
        <f t="shared" ref="E33:E41" si="9">SUM(D33:D33)</f>
        <v>-117769.66303624387</v>
      </c>
      <c r="F33" s="4">
        <f>SUMIF('Deferred Income Tax Expense'!$K$3:$K$116,'Results Summary (DIT EXP)'!$B33,'Deferred Income Tax Expense'!I$3:I$116)+SUMIF('Deferred Income Tax Expense'!$K$249:$K$292,'Results Summary (DIT EXP)'!$B33,'Deferred Income Tax Expense'!$I$249:$I$292)</f>
        <v>0</v>
      </c>
      <c r="G33" s="58">
        <f t="shared" ref="G33:G41" si="10">SUM(E33:F33)</f>
        <v>-117769.66303624387</v>
      </c>
      <c r="H33" s="13">
        <f>SUMIF('Deferred Income Tax Expense'!$K$3:$K$116,'Results Summary (DIT EXP)'!$B33,'Deferred Income Tax Expense'!O$3:O$116)+SUMIF('Deferred Income Tax Expense'!$K$249:$K$292,'Results Summary (DIT EXP)'!$B33,'Deferred Income Tax Expense'!$O$249:$O$292)</f>
        <v>0</v>
      </c>
      <c r="J33" s="195"/>
      <c r="K33" s="479"/>
      <c r="O33" s="436"/>
      <c r="P33" s="436"/>
      <c r="Q33" s="436"/>
      <c r="R33" s="436"/>
      <c r="S33" s="436"/>
      <c r="T33" s="436"/>
      <c r="U33" s="436"/>
      <c r="V33" s="436"/>
      <c r="W33" s="436"/>
      <c r="X33" s="436"/>
      <c r="Y33" s="436"/>
      <c r="Z33" s="436"/>
      <c r="AA33" s="436"/>
      <c r="AB33" s="436"/>
      <c r="AC33" s="436"/>
      <c r="AD33" s="436"/>
      <c r="AE33" s="436"/>
      <c r="AF33" s="436"/>
      <c r="AG33" s="436"/>
      <c r="AH33" s="436"/>
    </row>
    <row r="34" spans="1:34">
      <c r="A34" s="547"/>
      <c r="B34" s="15" t="s">
        <v>72</v>
      </c>
      <c r="C34" s="15" t="str">
        <f t="shared" si="8"/>
        <v>41110FERC</v>
      </c>
      <c r="D34" s="59">
        <f>SUMIF('Deferred Income Tax Expense'!$K$3:$K$116,'Results Summary (DIT EXP)'!$B34,'Deferred Income Tax Expense'!F$3:F$116)+SUMIF('Deferred Income Tax Expense'!$K$249:$K$292,'Results Summary (DIT EXP)'!$B34,'Deferred Income Tax Expense'!$F$249:$F$292)</f>
        <v>-250508.46629408156</v>
      </c>
      <c r="E34" s="16">
        <f t="shared" si="9"/>
        <v>-250508.46629408156</v>
      </c>
      <c r="F34" s="4">
        <f>SUMIF('Deferred Income Tax Expense'!$K$3:$K$116,'Results Summary (DIT EXP)'!$B34,'Deferred Income Tax Expense'!I$3:I$116)+SUMIF('Deferred Income Tax Expense'!$K$249:$K$292,'Results Summary (DIT EXP)'!$B34,'Deferred Income Tax Expense'!$I$249:$I$292)</f>
        <v>0</v>
      </c>
      <c r="G34" s="42">
        <f t="shared" si="10"/>
        <v>-250508.46629408156</v>
      </c>
      <c r="H34" s="4">
        <f>SUMIF('Deferred Income Tax Expense'!$K$3:$K$116,'Results Summary (DIT EXP)'!$B34,'Deferred Income Tax Expense'!O$3:O$116)+SUMIF('Deferred Income Tax Expense'!$K$249:$K$292,'Results Summary (DIT EXP)'!$B34,'Deferred Income Tax Expense'!$O$249:$O$292)</f>
        <v>0</v>
      </c>
      <c r="J34" s="195"/>
      <c r="K34" s="479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36"/>
      <c r="AA34" s="436"/>
      <c r="AB34" s="436"/>
      <c r="AC34" s="436"/>
      <c r="AD34" s="436"/>
      <c r="AE34" s="436"/>
      <c r="AF34" s="436"/>
      <c r="AG34" s="436"/>
      <c r="AH34" s="436"/>
    </row>
    <row r="35" spans="1:34">
      <c r="A35" s="547"/>
      <c r="B35" s="17" t="s">
        <v>29</v>
      </c>
      <c r="C35" s="17" t="str">
        <f t="shared" si="8"/>
        <v>41110IDU</v>
      </c>
      <c r="D35" s="59">
        <f>SUMIF('Deferred Income Tax Expense'!$K$3:$K$116,'Results Summary (DIT EXP)'!$B35,'Deferred Income Tax Expense'!F$3:F$116)+SUMIF('Deferred Income Tax Expense'!$K$249:$K$292,'Results Summary (DIT EXP)'!$B35,'Deferred Income Tax Expense'!$F$249:$F$292)</f>
        <v>-640686.25380145269</v>
      </c>
      <c r="E35" s="16">
        <f t="shared" si="9"/>
        <v>-640686.25380145269</v>
      </c>
      <c r="F35" s="4">
        <f>SUMIF('Deferred Income Tax Expense'!$K$3:$K$116,'Results Summary (DIT EXP)'!$B35,'Deferred Income Tax Expense'!I$3:I$116)+SUMIF('Deferred Income Tax Expense'!$K$249:$K$292,'Results Summary (DIT EXP)'!$B35,'Deferred Income Tax Expense'!$I$249:$I$292)</f>
        <v>0</v>
      </c>
      <c r="G35" s="42">
        <f t="shared" si="10"/>
        <v>-640686.25380145269</v>
      </c>
      <c r="H35" s="4">
        <f>SUMIF('Deferred Income Tax Expense'!$K$3:$K$116,'Results Summary (DIT EXP)'!$B35,'Deferred Income Tax Expense'!O$3:O$116)+SUMIF('Deferred Income Tax Expense'!$K$249:$K$292,'Results Summary (DIT EXP)'!$B35,'Deferred Income Tax Expense'!$O$249:$O$292)</f>
        <v>0</v>
      </c>
      <c r="J35" s="195"/>
      <c r="K35" s="479"/>
      <c r="O35" s="436"/>
      <c r="P35" s="436"/>
      <c r="Q35" s="436"/>
      <c r="R35" s="436"/>
      <c r="S35" s="436"/>
      <c r="T35" s="436"/>
      <c r="U35" s="436"/>
      <c r="V35" s="436"/>
      <c r="W35" s="436"/>
      <c r="X35" s="436"/>
      <c r="Y35" s="436"/>
      <c r="Z35" s="436"/>
      <c r="AA35" s="436"/>
      <c r="AB35" s="436"/>
      <c r="AC35" s="436"/>
      <c r="AD35" s="436"/>
      <c r="AE35" s="436"/>
      <c r="AF35" s="436"/>
      <c r="AG35" s="436"/>
      <c r="AH35" s="436"/>
    </row>
    <row r="36" spans="1:34">
      <c r="A36" s="547"/>
      <c r="B36" s="17" t="s">
        <v>30</v>
      </c>
      <c r="C36" s="17" t="str">
        <f t="shared" si="8"/>
        <v>41110OR</v>
      </c>
      <c r="D36" s="59">
        <f>SUMIF('Deferred Income Tax Expense'!$K$3:$K$116,'Results Summary (DIT EXP)'!$B36,'Deferred Income Tax Expense'!F$3:F$116)+SUMIF('Deferred Income Tax Expense'!$K$249:$K$292,'Results Summary (DIT EXP)'!$B36,'Deferred Income Tax Expense'!$F$249:$F$292)</f>
        <v>878265.7566686701</v>
      </c>
      <c r="E36" s="42">
        <f t="shared" si="9"/>
        <v>878265.7566686701</v>
      </c>
      <c r="F36" s="4">
        <f>SUMIF('Deferred Income Tax Expense'!$K$3:$K$116,'Results Summary (DIT EXP)'!$B36,'Deferred Income Tax Expense'!I$3:I$116)+SUMIF('Deferred Income Tax Expense'!$K$249:$K$292,'Results Summary (DIT EXP)'!$B36,'Deferred Income Tax Expense'!$I$249:$I$292)</f>
        <v>0</v>
      </c>
      <c r="G36" s="42">
        <f t="shared" si="10"/>
        <v>878265.7566686701</v>
      </c>
      <c r="H36" s="4">
        <f>SUMIF('Deferred Income Tax Expense'!$K$3:$K$116,'Results Summary (DIT EXP)'!$B36,'Deferred Income Tax Expense'!O$3:O$116)+SUMIF('Deferred Income Tax Expense'!$K$249:$K$292,'Results Summary (DIT EXP)'!$B36,'Deferred Income Tax Expense'!$O$249:$O$292)</f>
        <v>0</v>
      </c>
      <c r="J36" s="195"/>
      <c r="K36" s="479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6"/>
      <c r="Z36" s="436"/>
      <c r="AA36" s="436"/>
      <c r="AB36" s="436"/>
      <c r="AC36" s="436"/>
      <c r="AD36" s="436"/>
      <c r="AE36" s="436"/>
      <c r="AF36" s="436"/>
      <c r="AG36" s="436"/>
      <c r="AH36" s="436"/>
    </row>
    <row r="37" spans="1:34">
      <c r="A37" s="547"/>
      <c r="B37" s="18" t="s">
        <v>15</v>
      </c>
      <c r="C37" s="18" t="str">
        <f t="shared" si="8"/>
        <v>41110OTHER</v>
      </c>
      <c r="D37" s="59">
        <f>SUMIF('Deferred Income Tax Expense'!$K$3:$K$116,'Results Summary (DIT EXP)'!$B37,'Deferred Income Tax Expense'!F$3:F$116)+SUMIF('Deferred Income Tax Expense'!$K$249:$K$292,'Results Summary (DIT EXP)'!$B37,'Deferred Income Tax Expense'!$F$249:$F$292)</f>
        <v>-1985743.7773719579</v>
      </c>
      <c r="E37" s="42">
        <f t="shared" si="9"/>
        <v>-1985743.7773719579</v>
      </c>
      <c r="F37" s="4">
        <f>SUMIF('Deferred Income Tax Expense'!$K$3:$K$116,'Results Summary (DIT EXP)'!$B37,'Deferred Income Tax Expense'!I$3:I$116)+SUMIF('Deferred Income Tax Expense'!$K$249:$K$292,'Results Summary (DIT EXP)'!$B37,'Deferred Income Tax Expense'!$I$249:$I$292)</f>
        <v>0</v>
      </c>
      <c r="G37" s="42">
        <f t="shared" si="10"/>
        <v>-1985743.7773719579</v>
      </c>
      <c r="H37" s="4">
        <f>SUMIF('Deferred Income Tax Expense'!$K$3:$K$116,'Results Summary (DIT EXP)'!$B37,'Deferred Income Tax Expense'!O$3:O$116)+SUMIF('Deferred Income Tax Expense'!$K$249:$K$292,'Results Summary (DIT EXP)'!$B37,'Deferred Income Tax Expense'!$O$249:$O$292)</f>
        <v>0</v>
      </c>
      <c r="J37" s="195"/>
      <c r="K37" s="479"/>
      <c r="O37" s="436"/>
      <c r="P37" s="436"/>
      <c r="Q37" s="436"/>
      <c r="R37" s="436"/>
      <c r="S37" s="436"/>
      <c r="T37" s="436"/>
      <c r="U37" s="436"/>
      <c r="V37" s="436"/>
      <c r="W37" s="436"/>
      <c r="X37" s="436"/>
      <c r="Y37" s="436"/>
      <c r="Z37" s="436"/>
      <c r="AA37" s="436"/>
      <c r="AB37" s="436"/>
      <c r="AC37" s="436"/>
      <c r="AD37" s="436"/>
      <c r="AE37" s="436"/>
      <c r="AF37" s="436"/>
      <c r="AG37" s="436"/>
      <c r="AH37" s="436"/>
    </row>
    <row r="38" spans="1:34">
      <c r="A38" s="547"/>
      <c r="B38" s="18" t="s">
        <v>28</v>
      </c>
      <c r="C38" s="123" t="str">
        <f t="shared" si="8"/>
        <v>41110UT</v>
      </c>
      <c r="D38" s="59">
        <f>SUMIF('Deferred Income Tax Expense'!$K$3:$K$116,'Results Summary (DIT EXP)'!$B38,'Deferred Income Tax Expense'!F$3:F$116)+SUMIF('Deferred Income Tax Expense'!$K$249:$K$292,'Results Summary (DIT EXP)'!$B38,'Deferred Income Tax Expense'!$F$249:$F$292)</f>
        <v>-125854466.9522686</v>
      </c>
      <c r="E38" s="42">
        <f t="shared" si="9"/>
        <v>-125854466.9522686</v>
      </c>
      <c r="F38" s="4">
        <f>SUMIF('Deferred Income Tax Expense'!$K$3:$K$116,'Results Summary (DIT EXP)'!$B38,'Deferred Income Tax Expense'!I$3:I$116)+SUMIF('Deferred Income Tax Expense'!$K$249:$K$292,'Results Summary (DIT EXP)'!$B38,'Deferred Income Tax Expense'!$I$249:$I$292)</f>
        <v>0</v>
      </c>
      <c r="G38" s="42">
        <f t="shared" si="10"/>
        <v>-125854466.9522686</v>
      </c>
      <c r="H38" s="4">
        <f>SUMIF('Deferred Income Tax Expense'!$K$3:$K$116,'Results Summary (DIT EXP)'!$B38,'Deferred Income Tax Expense'!O$3:O$116)+SUMIF('Deferred Income Tax Expense'!$K$249:$K$292,'Results Summary (DIT EXP)'!$B38,'Deferred Income Tax Expense'!$O$249:$O$292)</f>
        <v>0</v>
      </c>
      <c r="J38" s="195"/>
      <c r="K38" s="479"/>
      <c r="O38" s="436"/>
      <c r="P38" s="436"/>
      <c r="Q38" s="436"/>
      <c r="R38" s="436"/>
      <c r="S38" s="436"/>
      <c r="T38" s="436"/>
      <c r="U38" s="436"/>
      <c r="V38" s="436"/>
      <c r="W38" s="436"/>
      <c r="X38" s="436"/>
      <c r="Y38" s="436"/>
      <c r="Z38" s="436"/>
      <c r="AA38" s="436"/>
      <c r="AB38" s="436"/>
      <c r="AC38" s="436"/>
      <c r="AD38" s="436"/>
      <c r="AE38" s="436"/>
      <c r="AF38" s="436"/>
      <c r="AG38" s="436"/>
      <c r="AH38" s="436"/>
    </row>
    <row r="39" spans="1:34">
      <c r="A39" s="547"/>
      <c r="B39" s="17" t="s">
        <v>26</v>
      </c>
      <c r="C39" s="17" t="str">
        <f t="shared" si="8"/>
        <v>41110WA</v>
      </c>
      <c r="D39" s="59">
        <f>SUMIF('Deferred Income Tax Expense'!$K$3:$K$116,'Results Summary (DIT EXP)'!$B39,'Deferred Income Tax Expense'!F$3:F$116)+SUMIF('Deferred Income Tax Expense'!$K$249:$K$292,'Results Summary (DIT EXP)'!$B39,'Deferred Income Tax Expense'!$F$249:$F$292)</f>
        <v>-1768465.4918975055</v>
      </c>
      <c r="E39" s="16">
        <f t="shared" si="9"/>
        <v>-1768465.4918975055</v>
      </c>
      <c r="F39" s="4">
        <f>SUMIF('Deferred Income Tax Expense'!$K$3:$K$116,'Results Summary (DIT EXP)'!$B39,'Deferred Income Tax Expense'!I$3:I$116)+SUMIF('Deferred Income Tax Expense'!$K$249:$K$292,'Results Summary (DIT EXP)'!$B39,'Deferred Income Tax Expense'!$I$249:$I$292)</f>
        <v>-6586037</v>
      </c>
      <c r="G39" s="42">
        <f t="shared" si="10"/>
        <v>-8354502.4918975057</v>
      </c>
      <c r="H39" s="4">
        <f>SUMIF('Deferred Income Tax Expense'!$K$3:$K$116,'Results Summary (DIT EXP)'!$B39,'Deferred Income Tax Expense'!O$3:O$116)+SUMIF('Deferred Income Tax Expense'!$K$249:$K$292,'Results Summary (DIT EXP)'!$B39,'Deferred Income Tax Expense'!$O$249:$O$292)</f>
        <v>-8354503</v>
      </c>
      <c r="J39" s="195"/>
      <c r="K39" s="479"/>
      <c r="M39" s="382"/>
      <c r="O39" s="436"/>
      <c r="P39" s="436"/>
      <c r="Q39" s="436"/>
      <c r="R39" s="436"/>
      <c r="S39" s="436"/>
      <c r="T39" s="436"/>
      <c r="U39" s="436"/>
      <c r="V39" s="436"/>
      <c r="W39" s="436"/>
      <c r="X39" s="436"/>
      <c r="Y39" s="436"/>
      <c r="Z39" s="436"/>
      <c r="AA39" s="436"/>
      <c r="AB39" s="436"/>
      <c r="AC39" s="436"/>
      <c r="AD39" s="436"/>
      <c r="AE39" s="436"/>
      <c r="AF39" s="436"/>
      <c r="AG39" s="436"/>
      <c r="AH39" s="436"/>
    </row>
    <row r="40" spans="1:34">
      <c r="A40" s="547"/>
      <c r="B40" s="17" t="s">
        <v>32</v>
      </c>
      <c r="C40" s="17" t="str">
        <f t="shared" si="8"/>
        <v>41110WYP</v>
      </c>
      <c r="D40" s="59">
        <f>SUMIF('Deferred Income Tax Expense'!$K$3:$K$116,'Results Summary (DIT EXP)'!$B40,'Deferred Income Tax Expense'!F$3:F$116)+SUMIF('Deferred Income Tax Expense'!$K$249:$K$292,'Results Summary (DIT EXP)'!$B40,'Deferred Income Tax Expense'!$F$249:$F$292)</f>
        <v>371822.60323102679</v>
      </c>
      <c r="E40" s="16">
        <f t="shared" si="9"/>
        <v>371822.60323102679</v>
      </c>
      <c r="F40" s="4">
        <f>SUMIF('Deferred Income Tax Expense'!$K$3:$K$116,'Results Summary (DIT EXP)'!$B40,'Deferred Income Tax Expense'!I$3:I$116)+SUMIF('Deferred Income Tax Expense'!$K$249:$K$292,'Results Summary (DIT EXP)'!$B40,'Deferred Income Tax Expense'!$I$249:$I$292)</f>
        <v>0</v>
      </c>
      <c r="G40" s="42">
        <f t="shared" si="10"/>
        <v>371822.60323102679</v>
      </c>
      <c r="H40" s="4">
        <f>SUMIF('Deferred Income Tax Expense'!$K$3:$K$116,'Results Summary (DIT EXP)'!$B40,'Deferred Income Tax Expense'!O$3:O$116)+SUMIF('Deferred Income Tax Expense'!$K$249:$K$292,'Results Summary (DIT EXP)'!$B40,'Deferred Income Tax Expense'!$O$249:$O$292)</f>
        <v>0</v>
      </c>
      <c r="J40" s="479"/>
      <c r="K40" s="479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6"/>
      <c r="AA40" s="436"/>
      <c r="AB40" s="436"/>
      <c r="AC40" s="436"/>
      <c r="AD40" s="436"/>
      <c r="AE40" s="436"/>
      <c r="AF40" s="436"/>
      <c r="AG40" s="436"/>
      <c r="AH40" s="436"/>
    </row>
    <row r="41" spans="1:34">
      <c r="A41" s="547"/>
      <c r="B41" s="19" t="s">
        <v>80</v>
      </c>
      <c r="C41" s="19" t="str">
        <f t="shared" si="8"/>
        <v>41110WYU</v>
      </c>
      <c r="D41" s="60">
        <f>SUMIF('Deferred Income Tax Expense'!$K$3:$K$116,'Results Summary (DIT EXP)'!$B41,'Deferred Income Tax Expense'!F$3:F$116)+SUMIF('Deferred Income Tax Expense'!$K$249:$K$292,'Results Summary (DIT EXP)'!$B41,'Deferred Income Tax Expense'!$F$249:$F$292)</f>
        <v>-922860.9672433103</v>
      </c>
      <c r="E41" s="20">
        <f t="shared" si="9"/>
        <v>-922860.9672433103</v>
      </c>
      <c r="F41" s="411">
        <f>SUMIF('Deferred Income Tax Expense'!$K$3:$K$116,'Results Summary (DIT EXP)'!$B41,'Deferred Income Tax Expense'!I$3:I$116)+SUMIF('Deferred Income Tax Expense'!$K$249:$K$292,'Results Summary (DIT EXP)'!$B41,'Deferred Income Tax Expense'!$I$249:$I$292)</f>
        <v>0</v>
      </c>
      <c r="G41" s="43">
        <f t="shared" si="10"/>
        <v>-922860.9672433103</v>
      </c>
      <c r="H41" s="5">
        <f>SUMIF('Deferred Income Tax Expense'!$K$3:$K$116,'Results Summary (DIT EXP)'!$B41,'Deferred Income Tax Expense'!O$3:O$116)+SUMIF('Deferred Income Tax Expense'!$K$249:$K$292,'Results Summary (DIT EXP)'!$B41,'Deferred Income Tax Expense'!$O$249:$O$292)</f>
        <v>0</v>
      </c>
      <c r="J41" s="479"/>
      <c r="K41" s="479"/>
      <c r="O41" s="436"/>
      <c r="P41" s="436"/>
      <c r="Q41" s="436"/>
      <c r="R41" s="436"/>
      <c r="S41" s="436"/>
      <c r="T41" s="436"/>
      <c r="U41" s="436"/>
      <c r="V41" s="436"/>
      <c r="W41" s="436"/>
      <c r="X41" s="436"/>
      <c r="Y41" s="436"/>
      <c r="Z41" s="436"/>
      <c r="AA41" s="436"/>
      <c r="AB41" s="436"/>
      <c r="AC41" s="436"/>
      <c r="AD41" s="436"/>
      <c r="AE41" s="436"/>
      <c r="AF41" s="436"/>
      <c r="AG41" s="436"/>
      <c r="AH41" s="436"/>
    </row>
    <row r="42" spans="1:34">
      <c r="A42" s="547"/>
      <c r="B42" s="10"/>
      <c r="C42" s="10"/>
      <c r="D42" s="61">
        <f t="shared" ref="D42:H42" si="11">SUBTOTAL(9,D33:D41)</f>
        <v>-130290413.21201345</v>
      </c>
      <c r="E42" s="21">
        <f t="shared" si="11"/>
        <v>-130290413.21201345</v>
      </c>
      <c r="F42" s="412">
        <f t="shared" si="11"/>
        <v>-6586037</v>
      </c>
      <c r="G42" s="61">
        <f t="shared" si="11"/>
        <v>-136876450.21201345</v>
      </c>
      <c r="H42" s="21">
        <f t="shared" si="11"/>
        <v>-8354503</v>
      </c>
      <c r="J42" s="481"/>
      <c r="K42" s="479"/>
      <c r="O42" s="436"/>
      <c r="P42" s="436"/>
      <c r="Q42" s="436"/>
      <c r="R42" s="436"/>
      <c r="S42" s="436"/>
      <c r="T42" s="436"/>
      <c r="U42" s="436"/>
      <c r="V42" s="436"/>
      <c r="W42" s="436"/>
      <c r="X42" s="436"/>
      <c r="Y42" s="436"/>
      <c r="Z42" s="436"/>
      <c r="AA42" s="436"/>
      <c r="AB42" s="436"/>
      <c r="AC42" s="436"/>
      <c r="AD42" s="436"/>
      <c r="AE42" s="436"/>
      <c r="AF42" s="436"/>
      <c r="AG42" s="436"/>
      <c r="AH42" s="436"/>
    </row>
    <row r="43" spans="1:34">
      <c r="A43" s="547"/>
      <c r="B43" s="12" t="s">
        <v>58</v>
      </c>
      <c r="C43" s="12" t="str">
        <f t="shared" ref="C43:C61" si="12">CONCATENATE("41110",B43)</f>
        <v>41110BADDEBT</v>
      </c>
      <c r="D43" s="57">
        <f>SUMIF('Deferred Income Tax Expense'!$K$3:$K$116,'Results Summary (DIT EXP)'!$B43,'Deferred Income Tax Expense'!F$3:F$116)+SUMIF('Deferred Income Tax Expense'!$K$249:$K$292,'Results Summary (DIT EXP)'!$B43,'Deferred Income Tax Expense'!$F$249:$F$292)</f>
        <v>-97689</v>
      </c>
      <c r="E43" s="54">
        <f t="shared" ref="E43:E61" si="13">SUM(D43:D43)</f>
        <v>-97689</v>
      </c>
      <c r="F43" s="4">
        <f>SUMIF('Deferred Income Tax Expense'!$K$3:$K$116,'Results Summary (DIT EXP)'!$B43,'Deferred Income Tax Expense'!I$3:I$116)+SUMIF('Deferred Income Tax Expense'!$K$249:$K$292,'Results Summary (DIT EXP)'!$B43,'Deferred Income Tax Expense'!$I$249:$I$292)</f>
        <v>0</v>
      </c>
      <c r="G43" s="58">
        <f t="shared" ref="G43:G61" si="14">SUM(E43:F43)</f>
        <v>-97689</v>
      </c>
      <c r="H43" s="57">
        <f>SUMIF('Deferred Income Tax Expense'!$K$3:$K$116,'Results Summary (DIT EXP)'!$B43,'Deferred Income Tax Expense'!O$3:O$116)+SUMIF('Deferred Income Tax Expense'!$K$249:$K$292,'Results Summary (DIT EXP)'!$B43,'Deferred Income Tax Expense'!$O$249:$O$292)</f>
        <v>-12266</v>
      </c>
      <c r="K43" s="479"/>
      <c r="O43" s="437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436"/>
      <c r="AH43" s="436"/>
    </row>
    <row r="44" spans="1:34">
      <c r="A44" s="547"/>
      <c r="B44" s="413" t="s">
        <v>119</v>
      </c>
      <c r="C44" s="413" t="str">
        <f t="shared" si="12"/>
        <v>41110CAEE</v>
      </c>
      <c r="D44" s="59">
        <f>SUMIF('Deferred Income Tax Expense'!$K$3:$K$116,'Results Summary (DIT EXP)'!$B44,'Deferred Income Tax Expense'!F$3:F$116)+SUMIF('Deferred Income Tax Expense'!$K$249:$K$292,'Results Summary (DIT EXP)'!$B44,'Deferred Income Tax Expense'!$F$249:$F$292)</f>
        <v>-4291166</v>
      </c>
      <c r="E44" s="16">
        <f t="shared" si="13"/>
        <v>-4291166</v>
      </c>
      <c r="F44" s="4">
        <f>SUMIF('Deferred Income Tax Expense'!$K$3:$K$116,'Results Summary (DIT EXP)'!$B44,'Deferred Income Tax Expense'!I$3:I$116)+SUMIF('Deferred Income Tax Expense'!$K$249:$K$292,'Results Summary (DIT EXP)'!$B44,'Deferred Income Tax Expense'!$I$249:$I$292)</f>
        <v>0</v>
      </c>
      <c r="G44" s="42">
        <f t="shared" si="14"/>
        <v>-4291166</v>
      </c>
      <c r="H44" s="59">
        <f>SUMIF('Deferred Income Tax Expense'!$K$3:$K$116,'Results Summary (DIT EXP)'!$B44,'Deferred Income Tax Expense'!O$3:O$116)+SUMIF('Deferred Income Tax Expense'!$K$249:$K$292,'Results Summary (DIT EXP)'!$B44,'Deferred Income Tax Expense'!$O$249:$O$292)</f>
        <v>0</v>
      </c>
      <c r="K44" s="479"/>
      <c r="O44" s="437"/>
      <c r="P44" s="436"/>
      <c r="Q44" s="436"/>
      <c r="R44" s="436"/>
      <c r="S44" s="436"/>
      <c r="T44" s="436"/>
      <c r="U44" s="436"/>
      <c r="V44" s="436"/>
      <c r="W44" s="436"/>
      <c r="X44" s="436"/>
      <c r="Y44" s="436"/>
      <c r="Z44" s="436"/>
      <c r="AA44" s="436"/>
      <c r="AB44" s="436"/>
      <c r="AC44" s="436"/>
      <c r="AD44" s="436"/>
      <c r="AE44" s="436"/>
      <c r="AF44" s="436"/>
      <c r="AG44" s="436"/>
      <c r="AH44" s="436"/>
    </row>
    <row r="45" spans="1:34">
      <c r="A45" s="547"/>
      <c r="B45" s="413" t="s">
        <v>162</v>
      </c>
      <c r="C45" s="413" t="str">
        <f t="shared" si="12"/>
        <v>41110CAGE</v>
      </c>
      <c r="D45" s="59">
        <f>SUMIF('Deferred Income Tax Expense'!$K$3:$K$116,'Results Summary (DIT EXP)'!$B45,'Deferred Income Tax Expense'!F$3:F$116)+SUMIF('Deferred Income Tax Expense'!$K$249:$K$292,'Results Summary (DIT EXP)'!$B45,'Deferred Income Tax Expense'!$F$249:$F$292)</f>
        <v>-348308</v>
      </c>
      <c r="E45" s="16">
        <f t="shared" si="13"/>
        <v>-348308</v>
      </c>
      <c r="F45" s="4">
        <f>SUMIF('Deferred Income Tax Expense'!$K$3:$K$116,'Results Summary (DIT EXP)'!$B45,'Deferred Income Tax Expense'!I$3:I$116)+SUMIF('Deferred Income Tax Expense'!$K$249:$K$292,'Results Summary (DIT EXP)'!$B45,'Deferred Income Tax Expense'!$I$249:$I$292)</f>
        <v>0</v>
      </c>
      <c r="G45" s="42">
        <f t="shared" si="14"/>
        <v>-348308</v>
      </c>
      <c r="H45" s="59">
        <f>SUMIF('Deferred Income Tax Expense'!$K$3:$K$116,'Results Summary (DIT EXP)'!$B45,'Deferred Income Tax Expense'!O$3:O$116)+SUMIF('Deferred Income Tax Expense'!$K$249:$K$292,'Results Summary (DIT EXP)'!$B45,'Deferred Income Tax Expense'!$O$249:$O$292)</f>
        <v>0</v>
      </c>
      <c r="K45" s="479"/>
      <c r="O45" s="437"/>
      <c r="P45" s="436"/>
      <c r="Q45" s="436"/>
      <c r="R45" s="436"/>
      <c r="S45" s="436"/>
      <c r="T45" s="436"/>
      <c r="U45" s="436"/>
      <c r="V45" s="436"/>
      <c r="W45" s="436"/>
      <c r="X45" s="436"/>
      <c r="Y45" s="436"/>
      <c r="Z45" s="436"/>
      <c r="AA45" s="436"/>
      <c r="AB45" s="436"/>
      <c r="AC45" s="436"/>
      <c r="AD45" s="436"/>
      <c r="AE45" s="436"/>
      <c r="AF45" s="436"/>
      <c r="AG45" s="436"/>
      <c r="AH45" s="436"/>
    </row>
    <row r="46" spans="1:34">
      <c r="A46" s="547"/>
      <c r="B46" s="413" t="s">
        <v>160</v>
      </c>
      <c r="C46" s="413" t="str">
        <f t="shared" si="12"/>
        <v>41110CAGW</v>
      </c>
      <c r="D46" s="59">
        <f>SUMIF('Deferred Income Tax Expense'!$K$3:$K$116,'Results Summary (DIT EXP)'!$B46,'Deferred Income Tax Expense'!F$3:F$116)+SUMIF('Deferred Income Tax Expense'!$K$249:$K$292,'Results Summary (DIT EXP)'!$B46,'Deferred Income Tax Expense'!$F$249:$F$292)</f>
        <v>-10104</v>
      </c>
      <c r="E46" s="16">
        <f t="shared" si="13"/>
        <v>-10104</v>
      </c>
      <c r="F46" s="4">
        <f>SUMIF('Deferred Income Tax Expense'!$K$3:$K$116,'Results Summary (DIT EXP)'!$B46,'Deferred Income Tax Expense'!I$3:I$116)+SUMIF('Deferred Income Tax Expense'!$K$249:$K$292,'Results Summary (DIT EXP)'!$B46,'Deferred Income Tax Expense'!$I$249:$I$292)</f>
        <v>-5171119</v>
      </c>
      <c r="G46" s="42">
        <f t="shared" si="14"/>
        <v>-5181223</v>
      </c>
      <c r="H46" s="59">
        <f>SUMIF('Deferred Income Tax Expense'!$K$3:$K$116,'Results Summary (DIT EXP)'!$B46,'Deferred Income Tax Expense'!O$3:O$116)+SUMIF('Deferred Income Tax Expense'!$K$249:$K$292,'Results Summary (DIT EXP)'!$B46,'Deferred Income Tax Expense'!$O$249:$O$292)</f>
        <v>-1117962</v>
      </c>
      <c r="K46" s="479"/>
      <c r="M46" s="382"/>
      <c r="O46" s="437"/>
      <c r="P46" s="436"/>
      <c r="Q46" s="436"/>
      <c r="R46" s="436"/>
      <c r="S46" s="436"/>
      <c r="T46" s="436"/>
      <c r="U46" s="436"/>
      <c r="V46" s="436"/>
      <c r="W46" s="436"/>
      <c r="X46" s="436"/>
      <c r="Y46" s="436"/>
      <c r="Z46" s="436"/>
      <c r="AA46" s="436"/>
      <c r="AB46" s="436"/>
      <c r="AC46" s="436"/>
      <c r="AD46" s="436"/>
      <c r="AE46" s="436"/>
      <c r="AF46" s="436"/>
      <c r="AG46" s="436"/>
      <c r="AH46" s="436"/>
    </row>
    <row r="47" spans="1:34">
      <c r="A47" s="547"/>
      <c r="B47" s="18" t="s">
        <v>20</v>
      </c>
      <c r="C47" s="18" t="str">
        <f t="shared" si="12"/>
        <v>41110CIAC</v>
      </c>
      <c r="D47" s="59">
        <f>SUMIF('Deferred Income Tax Expense'!$K$3:$K$116,'Results Summary (DIT EXP)'!$B47,'Deferred Income Tax Expense'!F$3:F$116)+SUMIF('Deferred Income Tax Expense'!$K$249:$K$292,'Results Summary (DIT EXP)'!$B47,'Deferred Income Tax Expense'!$F$249:$F$292)</f>
        <v>-25324501</v>
      </c>
      <c r="E47" s="16">
        <f t="shared" si="13"/>
        <v>-25324501</v>
      </c>
      <c r="F47" s="4">
        <f>SUMIF('Deferred Income Tax Expense'!$K$3:$K$116,'Results Summary (DIT EXP)'!$B47,'Deferred Income Tax Expense'!I$3:I$116)+SUMIF('Deferred Income Tax Expense'!$K$249:$K$292,'Results Summary (DIT EXP)'!$B47,'Deferred Income Tax Expense'!$I$249:$I$292)</f>
        <v>0</v>
      </c>
      <c r="G47" s="42">
        <f t="shared" si="14"/>
        <v>-25324501</v>
      </c>
      <c r="H47" s="59">
        <f>SUMIF('Deferred Income Tax Expense'!$K$3:$K$116,'Results Summary (DIT EXP)'!$B47,'Deferred Income Tax Expense'!O$3:O$116)+SUMIF('Deferred Income Tax Expense'!$K$249:$K$292,'Results Summary (DIT EXP)'!$B47,'Deferred Income Tax Expense'!$O$249:$O$292)</f>
        <v>-1631132</v>
      </c>
      <c r="K47" s="479"/>
      <c r="O47" s="437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</row>
    <row r="48" spans="1:34">
      <c r="A48" s="547"/>
      <c r="B48" s="17" t="s">
        <v>60</v>
      </c>
      <c r="C48" s="17" t="str">
        <f t="shared" si="12"/>
        <v>41110CN</v>
      </c>
      <c r="D48" s="59">
        <f>SUMIF('Deferred Income Tax Expense'!$K$3:$K$116,'Results Summary (DIT EXP)'!$B48,'Deferred Income Tax Expense'!F$3:F$116)+SUMIF('Deferred Income Tax Expense'!$K$249:$K$292,'Results Summary (DIT EXP)'!$B48,'Deferred Income Tax Expense'!$F$249:$F$292)</f>
        <v>0</v>
      </c>
      <c r="E48" s="16">
        <f t="shared" si="13"/>
        <v>0</v>
      </c>
      <c r="F48" s="4">
        <f>SUMIF('Deferred Income Tax Expense'!$K$3:$K$116,'Results Summary (DIT EXP)'!$B48,'Deferred Income Tax Expense'!I$3:I$116)+SUMIF('Deferred Income Tax Expense'!$K$249:$K$292,'Results Summary (DIT EXP)'!$B48,'Deferred Income Tax Expense'!$I$249:$I$292)</f>
        <v>0</v>
      </c>
      <c r="G48" s="42">
        <f t="shared" si="14"/>
        <v>0</v>
      </c>
      <c r="H48" s="59">
        <f>SUMIF('Deferred Income Tax Expense'!$K$3:$K$116,'Results Summary (DIT EXP)'!$B48,'Deferred Income Tax Expense'!O$3:O$116)+SUMIF('Deferred Income Tax Expense'!$K$249:$K$292,'Results Summary (DIT EXP)'!$B48,'Deferred Income Tax Expense'!$O$249:$O$292)</f>
        <v>0</v>
      </c>
      <c r="K48" s="479"/>
      <c r="M48" s="382"/>
      <c r="O48" s="437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6"/>
      <c r="AD48" s="436"/>
      <c r="AE48" s="436"/>
      <c r="AF48" s="436"/>
      <c r="AG48" s="436"/>
      <c r="AH48" s="436"/>
    </row>
    <row r="49" spans="1:34">
      <c r="A49" s="547"/>
      <c r="B49" s="17" t="s">
        <v>49</v>
      </c>
      <c r="C49" s="17" t="str">
        <f t="shared" si="12"/>
        <v>41110GPS</v>
      </c>
      <c r="D49" s="59">
        <f>SUMIF('Deferred Income Tax Expense'!$K$3:$K$116,'Results Summary (DIT EXP)'!$B49,'Deferred Income Tax Expense'!F$3:F$116)+SUMIF('Deferred Income Tax Expense'!$K$249:$K$292,'Results Summary (DIT EXP)'!$B49,'Deferred Income Tax Expense'!$F$249:$F$292)</f>
        <v>145317</v>
      </c>
      <c r="E49" s="16">
        <f t="shared" si="13"/>
        <v>145317</v>
      </c>
      <c r="F49" s="4">
        <f>SUMIF('Deferred Income Tax Expense'!$K$3:$K$116,'Results Summary (DIT EXP)'!$B49,'Deferred Income Tax Expense'!I$3:I$116)+SUMIF('Deferred Income Tax Expense'!$K$249:$K$292,'Results Summary (DIT EXP)'!$B49,'Deferred Income Tax Expense'!$I$249:$I$292)</f>
        <v>0</v>
      </c>
      <c r="G49" s="42">
        <f t="shared" si="14"/>
        <v>145317</v>
      </c>
      <c r="H49" s="59">
        <f>SUMIF('Deferred Income Tax Expense'!$K$3:$K$116,'Results Summary (DIT EXP)'!$B49,'Deferred Income Tax Expense'!O$3:O$116)+SUMIF('Deferred Income Tax Expense'!$K$249:$K$292,'Results Summary (DIT EXP)'!$B49,'Deferred Income Tax Expense'!$O$249:$O$292)</f>
        <v>9739</v>
      </c>
      <c r="K49" s="479"/>
      <c r="O49" s="437"/>
      <c r="P49" s="436"/>
      <c r="Q49" s="436"/>
      <c r="R49" s="436"/>
      <c r="S49" s="436"/>
      <c r="T49" s="436"/>
      <c r="U49" s="436"/>
      <c r="V49" s="436"/>
      <c r="W49" s="436"/>
      <c r="X49" s="436"/>
      <c r="Y49" s="436"/>
      <c r="Z49" s="436"/>
      <c r="AA49" s="436"/>
      <c r="AB49" s="436"/>
      <c r="AC49" s="436"/>
      <c r="AD49" s="436"/>
      <c r="AE49" s="436"/>
      <c r="AF49" s="436"/>
      <c r="AG49" s="436"/>
      <c r="AH49" s="436"/>
    </row>
    <row r="50" spans="1:34">
      <c r="A50" s="547"/>
      <c r="B50" s="17" t="s">
        <v>170</v>
      </c>
      <c r="C50" s="17" t="str">
        <f t="shared" si="12"/>
        <v>41110JBE</v>
      </c>
      <c r="D50" s="59">
        <f>SUMIF('Deferred Income Tax Expense'!$K$3:$K$116,'Results Summary (DIT EXP)'!$B50,'Deferred Income Tax Expense'!F$3:F$116)+SUMIF('Deferred Income Tax Expense'!$K$249:$K$292,'Results Summary (DIT EXP)'!$B50,'Deferred Income Tax Expense'!$F$249:$F$292)</f>
        <v>-4376003</v>
      </c>
      <c r="E50" s="16">
        <f t="shared" si="13"/>
        <v>-4376003</v>
      </c>
      <c r="F50" s="4">
        <f>SUMIF('Deferred Income Tax Expense'!$K$3:$K$116,'Results Summary (DIT EXP)'!$B50,'Deferred Income Tax Expense'!I$3:I$116)+SUMIF('Deferred Income Tax Expense'!$K$249:$K$292,'Results Summary (DIT EXP)'!$B50,'Deferred Income Tax Expense'!$I$249:$I$292)</f>
        <v>0</v>
      </c>
      <c r="G50" s="42">
        <f t="shared" si="14"/>
        <v>-4376003</v>
      </c>
      <c r="H50" s="59">
        <f>SUMIF('Deferred Income Tax Expense'!$K$3:$K$116,'Results Summary (DIT EXP)'!$B50,'Deferred Income Tax Expense'!O$3:O$116)+SUMIF('Deferred Income Tax Expense'!$K$249:$K$292,'Results Summary (DIT EXP)'!$B50,'Deferred Income Tax Expense'!$O$249:$O$292)</f>
        <v>-988608</v>
      </c>
      <c r="K50" s="479"/>
      <c r="O50" s="437"/>
      <c r="P50" s="436"/>
      <c r="Q50" s="436"/>
      <c r="R50" s="436"/>
      <c r="S50" s="436"/>
      <c r="T50" s="436"/>
      <c r="U50" s="436"/>
      <c r="V50" s="436"/>
      <c r="W50" s="436"/>
      <c r="X50" s="436"/>
      <c r="Y50" s="436"/>
      <c r="Z50" s="436"/>
      <c r="AA50" s="436"/>
      <c r="AB50" s="436"/>
      <c r="AC50" s="436"/>
      <c r="AD50" s="436"/>
      <c r="AE50" s="436"/>
      <c r="AF50" s="436"/>
      <c r="AG50" s="436"/>
      <c r="AH50" s="436"/>
    </row>
    <row r="51" spans="1:34">
      <c r="A51" s="547"/>
      <c r="B51" s="17" t="s">
        <v>168</v>
      </c>
      <c r="C51" s="17" t="str">
        <f t="shared" si="12"/>
        <v>41110JBG</v>
      </c>
      <c r="D51" s="59">
        <f>SUMIF('Deferred Income Tax Expense'!$K$3:$K$116,'Results Summary (DIT EXP)'!$B51,'Deferred Income Tax Expense'!F$3:F$116)+SUMIF('Deferred Income Tax Expense'!$K$249:$K$292,'Results Summary (DIT EXP)'!$B51,'Deferred Income Tax Expense'!$F$249:$F$292)</f>
        <v>0</v>
      </c>
      <c r="E51" s="16">
        <f t="shared" si="13"/>
        <v>0</v>
      </c>
      <c r="F51" s="4">
        <f>SUMIF('Deferred Income Tax Expense'!$K$3:$K$116,'Results Summary (DIT EXP)'!$B51,'Deferred Income Tax Expense'!I$3:I$116)+SUMIF('Deferred Income Tax Expense'!$K$249:$K$292,'Results Summary (DIT EXP)'!$B51,'Deferred Income Tax Expense'!$I$249:$I$292)</f>
        <v>-72513380</v>
      </c>
      <c r="G51" s="42">
        <f t="shared" si="14"/>
        <v>-72513380</v>
      </c>
      <c r="H51" s="59">
        <f>SUMIF('Deferred Income Tax Expense'!$K$3:$K$116,'Results Summary (DIT EXP)'!$B51,'Deferred Income Tax Expense'!O$3:O$116)+SUMIF('Deferred Income Tax Expense'!$K$249:$K$292,'Results Summary (DIT EXP)'!$B51,'Deferred Income Tax Expense'!$O$249:$O$292)</f>
        <v>-15646352</v>
      </c>
      <c r="K51" s="479"/>
      <c r="M51" s="382"/>
      <c r="O51" s="437"/>
      <c r="P51" s="436"/>
      <c r="Q51" s="436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6"/>
    </row>
    <row r="52" spans="1:34">
      <c r="A52" s="547"/>
      <c r="B52" s="18" t="s">
        <v>331</v>
      </c>
      <c r="C52" s="18" t="str">
        <f t="shared" si="12"/>
        <v>41110NREG</v>
      </c>
      <c r="D52" s="59">
        <f>SUMIF('Deferred Income Tax Expense'!$K$3:$K$116,'Results Summary (DIT EXP)'!$B52,'Deferred Income Tax Expense'!F$3:F$116)+SUMIF('Deferred Income Tax Expense'!$K$249:$K$292,'Results Summary (DIT EXP)'!$B52,'Deferred Income Tax Expense'!$F$249:$F$292)</f>
        <v>1777520</v>
      </c>
      <c r="E52" s="16">
        <f t="shared" si="13"/>
        <v>1777520</v>
      </c>
      <c r="F52" s="4">
        <f>SUMIF('Deferred Income Tax Expense'!$K$3:$K$116,'Results Summary (DIT EXP)'!$B52,'Deferred Income Tax Expense'!I$3:I$116)+SUMIF('Deferred Income Tax Expense'!$K$249:$K$292,'Results Summary (DIT EXP)'!$B52,'Deferred Income Tax Expense'!$I$249:$I$292)</f>
        <v>0</v>
      </c>
      <c r="G52" s="42">
        <f t="shared" si="14"/>
        <v>1777520</v>
      </c>
      <c r="H52" s="59">
        <f>SUMIF('Deferred Income Tax Expense'!$K$3:$K$116,'Results Summary (DIT EXP)'!$B52,'Deferred Income Tax Expense'!O$3:O$116)+SUMIF('Deferred Income Tax Expense'!$K$249:$K$292,'Results Summary (DIT EXP)'!$B52,'Deferred Income Tax Expense'!$O$249:$O$292)</f>
        <v>0</v>
      </c>
      <c r="K52" s="479"/>
      <c r="O52" s="437"/>
      <c r="P52" s="436"/>
      <c r="Q52" s="436"/>
      <c r="R52" s="436"/>
      <c r="S52" s="436"/>
      <c r="T52" s="436"/>
      <c r="U52" s="436"/>
      <c r="V52" s="436"/>
      <c r="W52" s="436"/>
      <c r="X52" s="436"/>
      <c r="Y52" s="436"/>
      <c r="Z52" s="436"/>
      <c r="AA52" s="436"/>
      <c r="AB52" s="436"/>
      <c r="AC52" s="436"/>
      <c r="AD52" s="436"/>
      <c r="AE52" s="436"/>
      <c r="AF52" s="436"/>
      <c r="AG52" s="436"/>
      <c r="AH52" s="436"/>
    </row>
    <row r="53" spans="1:34">
      <c r="A53" s="547"/>
      <c r="B53" s="18" t="s">
        <v>11</v>
      </c>
      <c r="C53" s="18" t="str">
        <f t="shared" si="12"/>
        <v>41110SCHMDEXP</v>
      </c>
      <c r="D53" s="59">
        <f>SUMIF('Deferred Income Tax Expense'!$K$3:$K$116,'Results Summary (DIT EXP)'!$B53,'Deferred Income Tax Expense'!F$3:F$116)+SUMIF('Deferred Income Tax Expense'!$K$249:$K$292,'Results Summary (DIT EXP)'!$B53,'Deferred Income Tax Expense'!$F$249:$F$292)</f>
        <v>-241934107</v>
      </c>
      <c r="E53" s="16">
        <f t="shared" si="13"/>
        <v>-241934107</v>
      </c>
      <c r="F53" s="4">
        <f>SUMIF('Deferred Income Tax Expense'!$K$3:$K$116,'Results Summary (DIT EXP)'!$B53,'Deferred Income Tax Expense'!I$3:I$116)+SUMIF('Deferred Income Tax Expense'!$K$249:$K$292,'Results Summary (DIT EXP)'!$B53,'Deferred Income Tax Expense'!$I$249:$I$292)</f>
        <v>44447316</v>
      </c>
      <c r="G53" s="42">
        <f t="shared" si="14"/>
        <v>-197486791</v>
      </c>
      <c r="H53" s="59">
        <f>SUMIF('Deferred Income Tax Expense'!$K$3:$K$116,'Results Summary (DIT EXP)'!$B53,'Deferred Income Tax Expense'!O$3:O$116)+SUMIF('Deferred Income Tax Expense'!$K$249:$K$292,'Results Summary (DIT EXP)'!$B53,'Deferred Income Tax Expense'!$O$249:$O$292)</f>
        <v>-13370395</v>
      </c>
      <c r="K53" s="479"/>
      <c r="M53" s="382"/>
      <c r="O53" s="437"/>
      <c r="P53" s="436"/>
      <c r="Q53" s="436"/>
      <c r="R53" s="436"/>
      <c r="S53" s="436"/>
      <c r="T53" s="436"/>
      <c r="U53" s="436"/>
      <c r="V53" s="436"/>
      <c r="W53" s="436"/>
      <c r="X53" s="436"/>
      <c r="Y53" s="436"/>
      <c r="Z53" s="436"/>
      <c r="AA53" s="436"/>
      <c r="AB53" s="436"/>
      <c r="AC53" s="436"/>
      <c r="AD53" s="436"/>
      <c r="AE53" s="436"/>
      <c r="AF53" s="436"/>
      <c r="AG53" s="436"/>
      <c r="AH53" s="436"/>
    </row>
    <row r="54" spans="1:34">
      <c r="A54" s="547"/>
      <c r="B54" s="18" t="s">
        <v>13</v>
      </c>
      <c r="C54" s="18" t="str">
        <f t="shared" si="12"/>
        <v>41110SE</v>
      </c>
      <c r="D54" s="59">
        <f>SUMIF('Deferred Income Tax Expense'!$K$3:$K$116,'Results Summary (DIT EXP)'!$B54,'Deferred Income Tax Expense'!F$3:F$116)+SUMIF('Deferred Income Tax Expense'!$K$249:$K$292,'Results Summary (DIT EXP)'!$B54,'Deferred Income Tax Expense'!$F$249:$F$292)</f>
        <v>0</v>
      </c>
      <c r="E54" s="16">
        <f t="shared" si="13"/>
        <v>0</v>
      </c>
      <c r="F54" s="4">
        <f>SUMIF('Deferred Income Tax Expense'!$K$3:$K$116,'Results Summary (DIT EXP)'!$B54,'Deferred Income Tax Expense'!I$3:I$116)+SUMIF('Deferred Income Tax Expense'!$K$249:$K$292,'Results Summary (DIT EXP)'!$B54,'Deferred Income Tax Expense'!$I$249:$I$292)</f>
        <v>0</v>
      </c>
      <c r="G54" s="42">
        <f t="shared" si="14"/>
        <v>0</v>
      </c>
      <c r="H54" s="59">
        <f>SUMIF('Deferred Income Tax Expense'!$K$3:$K$116,'Results Summary (DIT EXP)'!$B54,'Deferred Income Tax Expense'!O$3:O$116)+SUMIF('Deferred Income Tax Expense'!$K$249:$K$292,'Results Summary (DIT EXP)'!$B54,'Deferred Income Tax Expense'!$O$249:$O$292)</f>
        <v>0</v>
      </c>
      <c r="K54" s="479"/>
      <c r="L54" s="382"/>
      <c r="O54" s="437"/>
      <c r="P54" s="436"/>
      <c r="Q54" s="195"/>
      <c r="R54" s="436"/>
      <c r="S54" s="436"/>
      <c r="T54" s="436"/>
      <c r="U54" s="436"/>
      <c r="V54" s="436"/>
      <c r="W54" s="436"/>
      <c r="X54" s="436"/>
      <c r="Y54" s="436"/>
      <c r="Z54" s="436"/>
      <c r="AA54" s="436"/>
      <c r="AB54" s="436"/>
      <c r="AC54" s="436"/>
      <c r="AD54" s="436"/>
      <c r="AE54" s="436"/>
      <c r="AF54" s="436"/>
      <c r="AG54" s="436"/>
      <c r="AH54" s="436"/>
    </row>
    <row r="55" spans="1:34">
      <c r="A55" s="547"/>
      <c r="B55" s="17" t="s">
        <v>19</v>
      </c>
      <c r="C55" s="17" t="str">
        <f t="shared" si="12"/>
        <v>41110SG</v>
      </c>
      <c r="D55" s="59">
        <f>SUMIF('Deferred Income Tax Expense'!$K$3:$K$116,'Results Summary (DIT EXP)'!$B55,'Deferred Income Tax Expense'!F$3:F$116)+SUMIF('Deferred Income Tax Expense'!$K$249:$K$292,'Results Summary (DIT EXP)'!$B55,'Deferred Income Tax Expense'!$F$249:$F$292)</f>
        <v>114577</v>
      </c>
      <c r="E55" s="16">
        <f t="shared" si="13"/>
        <v>114577</v>
      </c>
      <c r="F55" s="4">
        <f>SUMIF('Deferred Income Tax Expense'!$K$3:$K$116,'Results Summary (DIT EXP)'!$B55,'Deferred Income Tax Expense'!I$3:I$116)+SUMIF('Deferred Income Tax Expense'!$K$249:$K$292,'Results Summary (DIT EXP)'!$B55,'Deferred Income Tax Expense'!$I$249:$I$292)</f>
        <v>441453</v>
      </c>
      <c r="G55" s="42">
        <f t="shared" si="14"/>
        <v>556030</v>
      </c>
      <c r="H55" s="59">
        <f>SUMIF('Deferred Income Tax Expense'!$K$3:$K$116,'Results Summary (DIT EXP)'!$B55,'Deferred Income Tax Expense'!O$3:O$116)+SUMIF('Deferred Income Tax Expense'!$K$249:$K$292,'Results Summary (DIT EXP)'!$B55,'Deferred Income Tax Expense'!$O$249:$O$292)</f>
        <v>43432</v>
      </c>
      <c r="K55" s="479"/>
      <c r="M55" s="382"/>
      <c r="O55" s="437"/>
      <c r="P55" s="436"/>
      <c r="Q55" s="436"/>
      <c r="R55" s="436"/>
      <c r="S55" s="436"/>
      <c r="T55" s="436"/>
      <c r="U55" s="436"/>
      <c r="V55" s="436"/>
      <c r="W55" s="436"/>
      <c r="X55" s="436"/>
      <c r="Y55" s="436"/>
      <c r="Z55" s="436"/>
      <c r="AA55" s="436"/>
      <c r="AB55" s="436"/>
      <c r="AC55" s="436"/>
      <c r="AD55" s="436"/>
      <c r="AE55" s="436"/>
      <c r="AF55" s="436"/>
      <c r="AG55" s="436"/>
      <c r="AH55" s="436"/>
    </row>
    <row r="56" spans="1:34">
      <c r="A56" s="547"/>
      <c r="B56" s="18" t="s">
        <v>31</v>
      </c>
      <c r="C56" s="18" t="str">
        <f t="shared" si="12"/>
        <v>41110SGCT</v>
      </c>
      <c r="D56" s="59">
        <f>SUMIF('Deferred Income Tax Expense'!$K$3:$K$116,'Results Summary (DIT EXP)'!$B56,'Deferred Income Tax Expense'!F$3:F$116)+SUMIF('Deferred Income Tax Expense'!$K$249:$K$292,'Results Summary (DIT EXP)'!$B56,'Deferred Income Tax Expense'!$F$249:$F$292)</f>
        <v>0</v>
      </c>
      <c r="E56" s="16">
        <f t="shared" si="13"/>
        <v>0</v>
      </c>
      <c r="F56" s="4">
        <f>SUMIF('Deferred Income Tax Expense'!$K$3:$K$116,'Results Summary (DIT EXP)'!$B56,'Deferred Income Tax Expense'!I$3:I$116)+SUMIF('Deferred Income Tax Expense'!$K$249:$K$292,'Results Summary (DIT EXP)'!$B56,'Deferred Income Tax Expense'!$I$249:$I$292)</f>
        <v>0</v>
      </c>
      <c r="G56" s="42">
        <f t="shared" si="14"/>
        <v>0</v>
      </c>
      <c r="H56" s="59">
        <f>SUMIF('Deferred Income Tax Expense'!$K$3:$K$116,'Results Summary (DIT EXP)'!$B56,'Deferred Income Tax Expense'!O$3:O$116)+SUMIF('Deferred Income Tax Expense'!$K$249:$K$292,'Results Summary (DIT EXP)'!$B56,'Deferred Income Tax Expense'!$O$249:$O$292)</f>
        <v>0</v>
      </c>
      <c r="K56" s="479"/>
      <c r="O56" s="437"/>
      <c r="P56" s="436"/>
      <c r="Q56" s="436"/>
      <c r="R56" s="436"/>
      <c r="S56" s="436"/>
      <c r="T56" s="436"/>
      <c r="U56" s="436"/>
      <c r="V56" s="436"/>
      <c r="W56" s="436"/>
      <c r="X56" s="436"/>
      <c r="Y56" s="436"/>
      <c r="Z56" s="436"/>
      <c r="AA56" s="436"/>
      <c r="AB56" s="436"/>
      <c r="AC56" s="436"/>
      <c r="AD56" s="436"/>
      <c r="AE56" s="436"/>
      <c r="AF56" s="436"/>
      <c r="AG56" s="436"/>
      <c r="AH56" s="436"/>
    </row>
    <row r="57" spans="1:34">
      <c r="A57" s="547"/>
      <c r="B57" s="18" t="s">
        <v>16</v>
      </c>
      <c r="C57" s="18" t="str">
        <f t="shared" si="12"/>
        <v>41110SNP</v>
      </c>
      <c r="D57" s="59">
        <f>SUMIF('Deferred Income Tax Expense'!$K$3:$K$116,'Results Summary (DIT EXP)'!$B57,'Deferred Income Tax Expense'!F$3:F$116)+SUMIF('Deferred Income Tax Expense'!$K$249:$K$292,'Results Summary (DIT EXP)'!$B57,'Deferred Income Tax Expense'!$F$249:$F$292)</f>
        <v>-10288674</v>
      </c>
      <c r="E57" s="16">
        <f t="shared" si="13"/>
        <v>-10288674</v>
      </c>
      <c r="F57" s="4">
        <f>SUMIF('Deferred Income Tax Expense'!$K$3:$K$116,'Results Summary (DIT EXP)'!$B57,'Deferred Income Tax Expense'!I$3:I$116)+SUMIF('Deferred Income Tax Expense'!$K$249:$K$292,'Results Summary (DIT EXP)'!$B57,'Deferred Income Tax Expense'!$I$249:$I$292)</f>
        <v>0</v>
      </c>
      <c r="G57" s="42">
        <f t="shared" si="14"/>
        <v>-10288674</v>
      </c>
      <c r="H57" s="59">
        <f>SUMIF('Deferred Income Tax Expense'!$K$3:$K$116,'Results Summary (DIT EXP)'!$B57,'Deferred Income Tax Expense'!O$3:O$116)+SUMIF('Deferred Income Tax Expense'!$K$249:$K$292,'Results Summary (DIT EXP)'!$B57,'Deferred Income Tax Expense'!$O$249:$O$292)</f>
        <v>-626519</v>
      </c>
      <c r="K57" s="479"/>
      <c r="O57" s="437"/>
      <c r="P57" s="436"/>
      <c r="Q57" s="436"/>
      <c r="R57" s="436"/>
      <c r="S57" s="436"/>
      <c r="T57" s="436"/>
      <c r="U57" s="436"/>
      <c r="V57" s="436"/>
      <c r="W57" s="436"/>
      <c r="X57" s="436"/>
      <c r="Y57" s="436"/>
      <c r="Z57" s="436"/>
      <c r="AA57" s="436"/>
      <c r="AB57" s="436"/>
      <c r="AC57" s="436"/>
      <c r="AD57" s="436"/>
      <c r="AE57" s="436"/>
      <c r="AF57" s="436"/>
      <c r="AG57" s="436"/>
      <c r="AH57" s="436"/>
    </row>
    <row r="58" spans="1:34">
      <c r="A58" s="547"/>
      <c r="B58" s="17" t="s">
        <v>21</v>
      </c>
      <c r="C58" s="17" t="str">
        <f t="shared" si="12"/>
        <v>41110SNPD</v>
      </c>
      <c r="D58" s="59">
        <f>SUMIF('Deferred Income Tax Expense'!$K$3:$K$116,'Results Summary (DIT EXP)'!$B58,'Deferred Income Tax Expense'!F$3:F$116)+SUMIF('Deferred Income Tax Expense'!$K$249:$K$292,'Results Summary (DIT EXP)'!$B58,'Deferred Income Tax Expense'!$F$249:$F$292)</f>
        <v>-516039</v>
      </c>
      <c r="E58" s="16">
        <f t="shared" si="13"/>
        <v>-516039</v>
      </c>
      <c r="F58" s="4">
        <f>SUMIF('Deferred Income Tax Expense'!$K$3:$K$116,'Results Summary (DIT EXP)'!$B58,'Deferred Income Tax Expense'!I$3:I$116)+SUMIF('Deferred Income Tax Expense'!$K$249:$K$292,'Results Summary (DIT EXP)'!$B58,'Deferred Income Tax Expense'!$I$249:$I$292)</f>
        <v>0</v>
      </c>
      <c r="G58" s="42">
        <f t="shared" si="14"/>
        <v>-516039</v>
      </c>
      <c r="H58" s="59">
        <f>SUMIF('Deferred Income Tax Expense'!$K$3:$K$116,'Results Summary (DIT EXP)'!$B58,'Deferred Income Tax Expense'!O$3:O$116)+SUMIF('Deferred Income Tax Expense'!$K$249:$K$292,'Results Summary (DIT EXP)'!$B58,'Deferred Income Tax Expense'!$O$249:$O$292)</f>
        <v>-33238</v>
      </c>
      <c r="K58" s="479"/>
      <c r="O58" s="437"/>
      <c r="P58" s="436"/>
      <c r="Q58" s="436"/>
      <c r="R58" s="436"/>
      <c r="S58" s="436"/>
      <c r="T58" s="436"/>
      <c r="U58" s="436"/>
      <c r="V58" s="436"/>
      <c r="W58" s="436"/>
      <c r="X58" s="436"/>
      <c r="Y58" s="436"/>
      <c r="Z58" s="436"/>
      <c r="AA58" s="436"/>
      <c r="AB58" s="436"/>
      <c r="AC58" s="436"/>
      <c r="AD58" s="436"/>
      <c r="AE58" s="436"/>
      <c r="AF58" s="436"/>
      <c r="AG58" s="436"/>
      <c r="AH58" s="436"/>
    </row>
    <row r="59" spans="1:34">
      <c r="A59" s="547"/>
      <c r="B59" s="18" t="s">
        <v>10</v>
      </c>
      <c r="C59" s="18" t="str">
        <f t="shared" si="12"/>
        <v>41110SO</v>
      </c>
      <c r="D59" s="59">
        <f>SUMIF('Deferred Income Tax Expense'!$K$3:$K$116,'Results Summary (DIT EXP)'!$B59,'Deferred Income Tax Expense'!F$3:F$116)+SUMIF('Deferred Income Tax Expense'!$K$249:$K$292,'Results Summary (DIT EXP)'!$B59,'Deferred Income Tax Expense'!$F$249:$F$292)</f>
        <v>-417669</v>
      </c>
      <c r="E59" s="16">
        <f t="shared" si="13"/>
        <v>-417669</v>
      </c>
      <c r="F59" s="4">
        <f>SUMIF('Deferred Income Tax Expense'!$K$3:$K$116,'Results Summary (DIT EXP)'!$B59,'Deferred Income Tax Expense'!I$3:I$116)+SUMIF('Deferred Income Tax Expense'!$K$249:$K$292,'Results Summary (DIT EXP)'!$B59,'Deferred Income Tax Expense'!$I$249:$I$292)</f>
        <v>109926</v>
      </c>
      <c r="G59" s="42">
        <f t="shared" si="14"/>
        <v>-307743</v>
      </c>
      <c r="H59" s="59">
        <f>SUMIF('Deferred Income Tax Expense'!$K$3:$K$116,'Results Summary (DIT EXP)'!$B59,'Deferred Income Tax Expense'!O$3:O$116)+SUMIF('Deferred Income Tax Expense'!$K$249:$K$292,'Results Summary (DIT EXP)'!$B59,'Deferred Income Tax Expense'!$O$249:$O$292)</f>
        <v>-20624</v>
      </c>
      <c r="M59" s="382"/>
      <c r="N59" s="382"/>
      <c r="O59" s="437"/>
      <c r="P59" s="436"/>
      <c r="Q59" s="436"/>
      <c r="R59" s="436"/>
      <c r="S59" s="436"/>
      <c r="T59" s="436"/>
      <c r="U59" s="436"/>
      <c r="V59" s="436"/>
      <c r="W59" s="436"/>
      <c r="X59" s="436"/>
      <c r="Y59" s="436"/>
      <c r="Z59" s="436"/>
      <c r="AA59" s="436"/>
      <c r="AB59" s="436"/>
      <c r="AC59" s="436"/>
      <c r="AD59" s="436"/>
      <c r="AE59" s="436"/>
      <c r="AF59" s="436"/>
      <c r="AG59" s="436"/>
      <c r="AH59" s="436"/>
    </row>
    <row r="60" spans="1:34">
      <c r="A60" s="547"/>
      <c r="B60" s="17" t="s">
        <v>45</v>
      </c>
      <c r="C60" s="17" t="str">
        <f t="shared" si="12"/>
        <v>41110TAXDEPR</v>
      </c>
      <c r="D60" s="59">
        <f>SUMIF('Deferred Income Tax Expense'!$K$3:$K$116,'Results Summary (DIT EXP)'!$B60,'Deferred Income Tax Expense'!F$3:F$116)+SUMIF('Deferred Income Tax Expense'!$K$249:$K$292,'Results Summary (DIT EXP)'!$B60,'Deferred Income Tax Expense'!$F$249:$F$292)</f>
        <v>0</v>
      </c>
      <c r="E60" s="16">
        <f t="shared" si="13"/>
        <v>0</v>
      </c>
      <c r="F60" s="4">
        <f>SUMIF('Deferred Income Tax Expense'!$K$3:$K$116,'Results Summary (DIT EXP)'!$B60,'Deferred Income Tax Expense'!I$3:I$116)+SUMIF('Deferred Income Tax Expense'!$K$249:$K$292,'Results Summary (DIT EXP)'!$B60,'Deferred Income Tax Expense'!$I$249:$I$292)</f>
        <v>0</v>
      </c>
      <c r="G60" s="42">
        <f t="shared" si="14"/>
        <v>0</v>
      </c>
      <c r="H60" s="59">
        <f>SUMIF('Deferred Income Tax Expense'!$K$3:$K$116,'Results Summary (DIT EXP)'!$B60,'Deferred Income Tax Expense'!O$3:O$116)+SUMIF('Deferred Income Tax Expense'!$K$249:$K$292,'Results Summary (DIT EXP)'!$B60,'Deferred Income Tax Expense'!$O$249:$O$292)</f>
        <v>0</v>
      </c>
      <c r="O60" s="437"/>
      <c r="P60" s="436"/>
      <c r="Q60" s="436"/>
      <c r="R60" s="436"/>
      <c r="S60" s="436"/>
      <c r="T60" s="436"/>
      <c r="U60" s="436"/>
      <c r="V60" s="436"/>
      <c r="W60" s="436"/>
      <c r="X60" s="436"/>
      <c r="Y60" s="436"/>
      <c r="Z60" s="436"/>
      <c r="AA60" s="436"/>
      <c r="AB60" s="436"/>
      <c r="AC60" s="436"/>
      <c r="AD60" s="436"/>
      <c r="AE60" s="436"/>
      <c r="AF60" s="436"/>
      <c r="AG60" s="436"/>
      <c r="AH60" s="436"/>
    </row>
    <row r="61" spans="1:34">
      <c r="A61" s="548"/>
      <c r="B61" s="22" t="s">
        <v>40</v>
      </c>
      <c r="C61" s="22" t="str">
        <f t="shared" si="12"/>
        <v>41110TROJD</v>
      </c>
      <c r="D61" s="60">
        <f>SUMIF('Deferred Income Tax Expense'!$K$3:$K$116,'Results Summary (DIT EXP)'!$B61,'Deferred Income Tax Expense'!F$3:F$116)+SUMIF('Deferred Income Tax Expense'!$K$249:$K$292,'Results Summary (DIT EXP)'!$B61,'Deferred Income Tax Expense'!$F$249:$F$292)</f>
        <v>0</v>
      </c>
      <c r="E61" s="20">
        <f t="shared" si="13"/>
        <v>0</v>
      </c>
      <c r="F61" s="4">
        <f>SUMIF('Deferred Income Tax Expense'!$K$3:$K$116,'Results Summary (DIT EXP)'!$B61,'Deferred Income Tax Expense'!I$3:I$116)+SUMIF('Deferred Income Tax Expense'!$K$249:$K$292,'Results Summary (DIT EXP)'!$B61,'Deferred Income Tax Expense'!$I$249:$I$292)</f>
        <v>0</v>
      </c>
      <c r="G61" s="43">
        <f t="shared" si="14"/>
        <v>0</v>
      </c>
      <c r="H61" s="60">
        <f>SUMIF('Deferred Income Tax Expense'!$K$3:$K$116,'Results Summary (DIT EXP)'!$B61,'Deferred Income Tax Expense'!O$3:O$116)+SUMIF('Deferred Income Tax Expense'!$K$249:$K$292,'Results Summary (DIT EXP)'!$B61,'Deferred Income Tax Expense'!$O$249:$O$292)</f>
        <v>0</v>
      </c>
      <c r="O61" s="437"/>
      <c r="P61" s="436"/>
      <c r="Q61" s="436"/>
      <c r="R61" s="436"/>
      <c r="S61" s="436"/>
      <c r="T61" s="436"/>
      <c r="U61" s="436"/>
      <c r="V61" s="436"/>
      <c r="W61" s="436"/>
      <c r="X61" s="436"/>
      <c r="Y61" s="436"/>
      <c r="Z61" s="436"/>
      <c r="AA61" s="436"/>
      <c r="AB61" s="436"/>
      <c r="AC61" s="436"/>
      <c r="AD61" s="436"/>
      <c r="AE61" s="436"/>
      <c r="AF61" s="436"/>
      <c r="AG61" s="436"/>
      <c r="AH61" s="436"/>
    </row>
    <row r="62" spans="1:34">
      <c r="A62" s="24"/>
      <c r="B62" s="10"/>
      <c r="C62" s="10"/>
      <c r="D62" s="23">
        <f t="shared" ref="D62:H62" si="15">SUBTOTAL(9,D33:D61)</f>
        <v>-415857259.21201348</v>
      </c>
      <c r="E62" s="23">
        <f t="shared" si="15"/>
        <v>-415857259.21201348</v>
      </c>
      <c r="F62" s="23">
        <f t="shared" si="15"/>
        <v>-39271841</v>
      </c>
      <c r="G62" s="23">
        <f>SUBTOTAL(9,G33:G61)</f>
        <v>-455129100.21201348</v>
      </c>
      <c r="H62" s="23">
        <f t="shared" si="15"/>
        <v>-41748428</v>
      </c>
      <c r="J62" s="481"/>
      <c r="O62" s="436"/>
      <c r="P62" s="436"/>
      <c r="Q62" s="436"/>
      <c r="R62" s="436"/>
      <c r="S62" s="436"/>
      <c r="T62" s="436"/>
      <c r="U62" s="436"/>
      <c r="V62" s="436"/>
      <c r="W62" s="436"/>
      <c r="X62" s="436"/>
      <c r="Y62" s="436"/>
      <c r="Z62" s="436"/>
      <c r="AA62" s="436"/>
      <c r="AB62" s="436"/>
      <c r="AC62" s="436"/>
      <c r="AD62" s="436"/>
      <c r="AE62" s="436"/>
      <c r="AF62" s="436"/>
      <c r="AG62" s="436"/>
      <c r="AH62" s="436"/>
    </row>
    <row r="63" spans="1:34">
      <c r="A63" s="9"/>
      <c r="B63" s="10"/>
      <c r="C63" s="10"/>
      <c r="D63" s="23">
        <f t="shared" ref="D63:H63" si="16">SUBTOTAL(9,D3:D62)</f>
        <v>-189237171.21201351</v>
      </c>
      <c r="E63" s="23">
        <f t="shared" si="16"/>
        <v>-189237171.21201351</v>
      </c>
      <c r="F63" s="23">
        <f t="shared" si="16"/>
        <v>70788290</v>
      </c>
      <c r="G63" s="23">
        <f t="shared" si="16"/>
        <v>-118448881.21201345</v>
      </c>
      <c r="H63" s="23">
        <f t="shared" si="16"/>
        <v>-14999256</v>
      </c>
      <c r="J63" s="481"/>
      <c r="O63" s="436"/>
      <c r="P63" s="436"/>
      <c r="Q63" s="436"/>
      <c r="R63" s="436"/>
      <c r="S63" s="195"/>
      <c r="T63" s="436"/>
      <c r="U63" s="436"/>
      <c r="V63" s="436"/>
      <c r="W63" s="436"/>
      <c r="X63" s="436"/>
      <c r="Y63" s="436"/>
      <c r="Z63" s="436"/>
      <c r="AA63" s="436"/>
      <c r="AB63" s="436"/>
      <c r="AC63" s="436"/>
      <c r="AD63" s="436"/>
      <c r="AE63" s="436"/>
      <c r="AF63" s="436"/>
      <c r="AG63" s="436"/>
      <c r="AH63" s="436"/>
    </row>
    <row r="64" spans="1:34">
      <c r="O64" s="436"/>
      <c r="P64" s="436"/>
      <c r="Q64" s="436"/>
      <c r="R64" s="436"/>
      <c r="S64" s="195"/>
      <c r="T64" s="436"/>
      <c r="U64" s="436"/>
      <c r="V64" s="436"/>
      <c r="W64" s="436"/>
      <c r="X64" s="436"/>
      <c r="Y64" s="436"/>
      <c r="Z64" s="436"/>
      <c r="AA64" s="436"/>
      <c r="AB64" s="436"/>
      <c r="AC64" s="436"/>
      <c r="AD64" s="436"/>
      <c r="AE64" s="436"/>
      <c r="AF64" s="436"/>
      <c r="AG64" s="436"/>
      <c r="AH64" s="436"/>
    </row>
    <row r="65" spans="1:34">
      <c r="A65" s="531" t="s">
        <v>747</v>
      </c>
      <c r="B65" s="525"/>
      <c r="C65" s="525"/>
      <c r="D65" s="525"/>
      <c r="E65" s="525"/>
      <c r="F65" s="525"/>
      <c r="G65" s="525"/>
      <c r="H65" s="526"/>
      <c r="O65" s="436"/>
      <c r="P65" s="436"/>
      <c r="Q65" s="436"/>
      <c r="R65" s="436"/>
      <c r="S65" s="195"/>
      <c r="T65" s="436"/>
      <c r="U65" s="436"/>
      <c r="V65" s="436"/>
      <c r="W65" s="436"/>
      <c r="X65" s="436"/>
      <c r="Y65" s="436"/>
      <c r="Z65" s="436"/>
      <c r="AA65" s="436"/>
      <c r="AB65" s="436"/>
      <c r="AC65" s="436"/>
      <c r="AD65" s="436"/>
      <c r="AE65" s="436"/>
      <c r="AF65" s="436"/>
      <c r="AG65" s="436"/>
      <c r="AH65" s="436"/>
    </row>
    <row r="66" spans="1:34">
      <c r="A66" s="533" t="s">
        <v>338</v>
      </c>
      <c r="B66" s="195"/>
      <c r="C66" s="436"/>
      <c r="D66" s="436">
        <f t="shared" ref="D66:H66" si="17">SUM(D52+D22)</f>
        <v>-4779828</v>
      </c>
      <c r="E66" s="436">
        <f t="shared" si="17"/>
        <v>-4779828</v>
      </c>
      <c r="F66" s="436">
        <f t="shared" si="17"/>
        <v>0</v>
      </c>
      <c r="G66" s="436">
        <f t="shared" si="17"/>
        <v>-4779828</v>
      </c>
      <c r="H66" s="527">
        <f t="shared" si="17"/>
        <v>0</v>
      </c>
      <c r="O66" s="436"/>
      <c r="P66" s="436"/>
      <c r="Q66" s="436"/>
      <c r="R66" s="436"/>
      <c r="S66" s="436"/>
      <c r="T66" s="436"/>
      <c r="U66" s="436"/>
      <c r="V66" s="436"/>
      <c r="W66" s="436"/>
      <c r="X66" s="436"/>
      <c r="Y66" s="436"/>
      <c r="Z66" s="436"/>
      <c r="AA66" s="436"/>
      <c r="AB66" s="436"/>
      <c r="AC66" s="436"/>
      <c r="AD66" s="436"/>
      <c r="AE66" s="436"/>
      <c r="AF66" s="436"/>
      <c r="AG66" s="436"/>
      <c r="AH66" s="436"/>
    </row>
    <row r="67" spans="1:34">
      <c r="A67" s="534" t="s">
        <v>340</v>
      </c>
      <c r="B67" s="528"/>
      <c r="C67" s="529"/>
      <c r="D67" s="529">
        <f>+D63-D66</f>
        <v>-184457343.21201351</v>
      </c>
      <c r="E67" s="529">
        <f t="shared" ref="E67:H67" si="18">+E63-E66</f>
        <v>-184457343.21201351</v>
      </c>
      <c r="F67" s="529">
        <f t="shared" si="18"/>
        <v>70788290</v>
      </c>
      <c r="G67" s="529">
        <f t="shared" si="18"/>
        <v>-113669053.21201345</v>
      </c>
      <c r="H67" s="530">
        <f t="shared" si="18"/>
        <v>-14999256</v>
      </c>
      <c r="O67" s="436"/>
      <c r="P67" s="436"/>
      <c r="Q67" s="436"/>
      <c r="R67" s="436"/>
      <c r="S67" s="436"/>
      <c r="T67" s="436"/>
      <c r="U67" s="436"/>
      <c r="V67" s="436"/>
      <c r="W67" s="436"/>
      <c r="X67" s="436"/>
      <c r="Y67" s="436"/>
      <c r="Z67" s="436"/>
      <c r="AA67" s="436"/>
      <c r="AB67" s="436"/>
      <c r="AC67" s="436"/>
      <c r="AD67" s="436"/>
      <c r="AE67" s="436"/>
      <c r="AF67" s="436"/>
      <c r="AG67" s="436"/>
      <c r="AH67" s="436"/>
    </row>
    <row r="68" spans="1:34">
      <c r="O68" s="436"/>
      <c r="P68" s="436"/>
      <c r="Q68" s="436"/>
      <c r="R68" s="436"/>
      <c r="S68" s="436"/>
      <c r="T68" s="436"/>
      <c r="U68" s="436"/>
      <c r="V68" s="436"/>
      <c r="W68" s="436"/>
      <c r="X68" s="436"/>
      <c r="Y68" s="436"/>
      <c r="Z68" s="436"/>
      <c r="AA68" s="436"/>
      <c r="AB68" s="436"/>
      <c r="AC68" s="436"/>
      <c r="AD68" s="436"/>
      <c r="AE68" s="436"/>
      <c r="AF68" s="436"/>
      <c r="AG68" s="436"/>
      <c r="AH68" s="436"/>
    </row>
    <row r="69" spans="1:34">
      <c r="O69" s="436"/>
      <c r="P69" s="436"/>
      <c r="Q69" s="436"/>
      <c r="R69" s="436"/>
      <c r="S69" s="436"/>
      <c r="T69" s="436"/>
      <c r="U69" s="436"/>
      <c r="V69" s="436"/>
      <c r="W69" s="436"/>
      <c r="X69" s="436"/>
      <c r="Y69" s="436"/>
      <c r="Z69" s="436"/>
      <c r="AA69" s="436"/>
      <c r="AB69" s="436"/>
      <c r="AC69" s="436"/>
      <c r="AD69" s="436"/>
      <c r="AE69" s="436"/>
      <c r="AF69" s="436"/>
      <c r="AG69" s="436"/>
      <c r="AH69" s="436"/>
    </row>
    <row r="70" spans="1:34">
      <c r="O70" s="436"/>
      <c r="P70" s="436"/>
      <c r="Q70" s="436"/>
      <c r="R70" s="436"/>
      <c r="S70" s="436"/>
      <c r="T70" s="436"/>
      <c r="U70" s="436"/>
      <c r="V70" s="436"/>
      <c r="W70" s="436"/>
      <c r="X70" s="436"/>
      <c r="Y70" s="436"/>
      <c r="Z70" s="436"/>
      <c r="AA70" s="436"/>
      <c r="AB70" s="436"/>
      <c r="AC70" s="436"/>
      <c r="AD70" s="436"/>
      <c r="AE70" s="436"/>
      <c r="AF70" s="436"/>
      <c r="AG70" s="436"/>
      <c r="AH70" s="436"/>
    </row>
    <row r="71" spans="1:34">
      <c r="O71" s="436"/>
      <c r="P71" s="436"/>
      <c r="Q71" s="436"/>
      <c r="R71" s="436"/>
      <c r="S71" s="436"/>
      <c r="T71" s="436"/>
      <c r="U71" s="436"/>
      <c r="V71" s="436"/>
      <c r="W71" s="436"/>
      <c r="X71" s="436"/>
      <c r="Y71" s="436"/>
      <c r="Z71" s="436"/>
      <c r="AA71" s="436"/>
      <c r="AB71" s="436"/>
      <c r="AC71" s="436"/>
      <c r="AD71" s="436"/>
      <c r="AE71" s="436"/>
      <c r="AF71" s="436"/>
      <c r="AG71" s="436"/>
      <c r="AH71" s="436"/>
    </row>
    <row r="72" spans="1:34">
      <c r="O72" s="436"/>
      <c r="P72" s="436"/>
      <c r="Q72" s="436"/>
      <c r="R72" s="436"/>
      <c r="S72" s="436"/>
      <c r="T72" s="436"/>
      <c r="U72" s="436"/>
      <c r="V72" s="436"/>
      <c r="W72" s="436"/>
      <c r="X72" s="436"/>
      <c r="Y72" s="436"/>
      <c r="Z72" s="436"/>
      <c r="AA72" s="436"/>
      <c r="AB72" s="436"/>
      <c r="AC72" s="436"/>
      <c r="AD72" s="436"/>
      <c r="AE72" s="436"/>
      <c r="AF72" s="436"/>
      <c r="AG72" s="436"/>
      <c r="AH72" s="436"/>
    </row>
  </sheetData>
  <mergeCells count="2">
    <mergeCell ref="A3:A31"/>
    <mergeCell ref="A33:A61"/>
  </mergeCells>
  <pageMargins left="0.75" right="0.75" top="1" bottom="0.75" header="0.5" footer="0.5"/>
  <pageSetup scale="58" orientation="landscape" r:id="rId1"/>
  <headerFooter>
    <oddHeader xml:space="preserve">&amp;L&amp;"Arial,Bold"&amp;10PacifiCorp 
Washington - General Rate Case
Twelve Months Ending December 31, 2021
</oddHeader>
    <oddFooter>&amp;L&amp;"Arial,Bold"&amp;10RESULTS SUMMARY ~ DEFERRED INCOME TAX EXPENSE&amp;R&amp;"Arial,Bold"&amp;10Page &amp;P of &amp;N</oddFooter>
  </headerFooter>
  <ignoredErrors>
    <ignoredError sqref="C7:C8 C17 C22:C24 C26:C27 C29 C37:C38 C47 C52:C54 C56:C57 C5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6"/>
  <sheetViews>
    <sheetView zoomScale="80" zoomScaleNormal="80" zoomScaleSheetLayoutView="90" workbookViewId="0">
      <pane xSplit="1" ySplit="2" topLeftCell="B3" activePane="bottomRight" state="frozen"/>
      <selection activeCell="G5" sqref="G5"/>
      <selection pane="topRight" activeCell="G5" sqref="G5"/>
      <selection pane="bottomLeft" activeCell="G5" sqref="G5"/>
      <selection pane="bottomRight"/>
    </sheetView>
  </sheetViews>
  <sheetFormatPr defaultColWidth="9.140625" defaultRowHeight="12.75"/>
  <cols>
    <col min="1" max="1" width="4.7109375" style="3" customWidth="1"/>
    <col min="2" max="3" width="20.7109375" style="3" customWidth="1"/>
    <col min="4" max="4" width="30" style="3" bestFit="1" customWidth="1"/>
    <col min="5" max="8" width="20.7109375" style="3" customWidth="1"/>
    <col min="9" max="9" width="9.140625" style="1"/>
    <col min="10" max="10" width="12.85546875" style="1" bestFit="1" customWidth="1"/>
    <col min="11" max="12" width="9.140625" style="1"/>
    <col min="13" max="13" width="15.5703125" style="1" bestFit="1" customWidth="1"/>
    <col min="14" max="14" width="9.140625" style="1"/>
    <col min="15" max="15" width="11.7109375" style="1" bestFit="1" customWidth="1"/>
    <col min="16" max="16384" width="9.140625" style="1"/>
  </cols>
  <sheetData>
    <row r="1" spans="1:8">
      <c r="A1" s="132" t="s">
        <v>6</v>
      </c>
      <c r="B1" s="134"/>
      <c r="C1" s="158"/>
      <c r="D1" s="135" t="s">
        <v>2</v>
      </c>
      <c r="E1" s="136"/>
      <c r="F1" s="136"/>
      <c r="G1" s="137"/>
      <c r="H1" s="63" t="s">
        <v>323</v>
      </c>
    </row>
    <row r="2" spans="1:8">
      <c r="A2" s="156"/>
      <c r="B2" s="156"/>
      <c r="C2" s="156"/>
      <c r="D2" s="157" t="s">
        <v>631</v>
      </c>
      <c r="E2" s="157" t="s">
        <v>90</v>
      </c>
      <c r="F2" s="157" t="s">
        <v>278</v>
      </c>
      <c r="G2" s="157" t="s">
        <v>88</v>
      </c>
      <c r="H2" s="64" t="s">
        <v>279</v>
      </c>
    </row>
    <row r="3" spans="1:8" ht="12.75" customHeight="1">
      <c r="A3" s="546">
        <v>190</v>
      </c>
      <c r="B3" s="12" t="s">
        <v>17</v>
      </c>
      <c r="C3" s="17" t="str">
        <f t="shared" ref="C3:C11" si="0">CONCATENATE("190",B3)</f>
        <v>190CA</v>
      </c>
      <c r="D3" s="4">
        <f>SUMIF('Accumulated Deferred Income Tax'!$AA$3:$AA$146,'Results Summary (ADIT)'!B3,'Accumulated Deferred Income Tax'!$U$3:$U$146)</f>
        <v>413809</v>
      </c>
      <c r="E3" s="54">
        <f t="shared" ref="E3:E11" si="1">SUM(D3:D3)</f>
        <v>413809</v>
      </c>
      <c r="F3" s="384">
        <f>SUMIF('Accumulated Deferred Income Tax'!$AA$3:$AA$146,'Results Summary (ADIT)'!B3,'Accumulated Deferred Income Tax'!$Y$3:$Y$146)</f>
        <v>0</v>
      </c>
      <c r="G3" s="14">
        <f t="shared" ref="G3:G11" si="2">SUM(E3:F3)</f>
        <v>413809</v>
      </c>
      <c r="H3" s="53">
        <f>SUMIF('Accumulated Deferred Income Tax'!$AA$3:$AA$146,'Results Summary (ADIT)'!B3,'Accumulated Deferred Income Tax'!$AE$3:$AE$146)</f>
        <v>0</v>
      </c>
    </row>
    <row r="4" spans="1:8">
      <c r="A4" s="547"/>
      <c r="B4" s="15" t="s">
        <v>72</v>
      </c>
      <c r="C4" s="17" t="str">
        <f t="shared" si="0"/>
        <v>190FERC</v>
      </c>
      <c r="D4" s="4">
        <f>SUMIF('Accumulated Deferred Income Tax'!$AA$3:$AA$146,'Results Summary (ADIT)'!B4,'Accumulated Deferred Income Tax'!$U$3:$U$146)</f>
        <v>4334</v>
      </c>
      <c r="E4" s="16">
        <f t="shared" si="1"/>
        <v>4334</v>
      </c>
      <c r="F4" s="385">
        <f>SUMIF('Accumulated Deferred Income Tax'!$AA$3:$AA$146,'Results Summary (ADIT)'!B4,'Accumulated Deferred Income Tax'!$Y$3:$Y$146)</f>
        <v>0</v>
      </c>
      <c r="G4" s="16">
        <f t="shared" si="2"/>
        <v>4334</v>
      </c>
      <c r="H4" s="4">
        <f>SUMIF('Accumulated Deferred Income Tax'!$AA$3:$AA$146,'Results Summary (ADIT)'!B4,'Accumulated Deferred Income Tax'!$AE$3:$AE$146)</f>
        <v>0</v>
      </c>
    </row>
    <row r="5" spans="1:8">
      <c r="A5" s="547"/>
      <c r="B5" s="17" t="s">
        <v>29</v>
      </c>
      <c r="C5" s="17" t="str">
        <f t="shared" si="0"/>
        <v>190IDU</v>
      </c>
      <c r="D5" s="4">
        <f>SUMIF('Accumulated Deferred Income Tax'!$AA$3:$AA$146,'Results Summary (ADIT)'!B5,'Accumulated Deferred Income Tax'!$U$3:$U$146)</f>
        <v>964746</v>
      </c>
      <c r="E5" s="16">
        <f t="shared" si="1"/>
        <v>964746</v>
      </c>
      <c r="F5" s="385">
        <f>SUMIF('Accumulated Deferred Income Tax'!$AA$3:$AA$146,'Results Summary (ADIT)'!B5,'Accumulated Deferred Income Tax'!$Y$3:$Y$146)</f>
        <v>0</v>
      </c>
      <c r="G5" s="16">
        <f t="shared" si="2"/>
        <v>964746</v>
      </c>
      <c r="H5" s="4">
        <f>SUMIF('Accumulated Deferred Income Tax'!$AA$3:$AA$146,'Results Summary (ADIT)'!B5,'Accumulated Deferred Income Tax'!$AE$3:$AE$146)</f>
        <v>0</v>
      </c>
    </row>
    <row r="6" spans="1:8">
      <c r="A6" s="547"/>
      <c r="B6" s="17" t="s">
        <v>30</v>
      </c>
      <c r="C6" s="17" t="str">
        <f t="shared" si="0"/>
        <v>190OR</v>
      </c>
      <c r="D6" s="4">
        <f>SUMIF('Accumulated Deferred Income Tax'!$AA$3:$AA$146,'Results Summary (ADIT)'!B6,'Accumulated Deferred Income Tax'!$U$3:$U$146)</f>
        <v>7468269</v>
      </c>
      <c r="E6" s="16">
        <f t="shared" si="1"/>
        <v>7468269</v>
      </c>
      <c r="F6" s="385">
        <f>SUMIF('Accumulated Deferred Income Tax'!$AA$3:$AA$146,'Results Summary (ADIT)'!B6,'Accumulated Deferred Income Tax'!$Y$3:$Y$146)</f>
        <v>0</v>
      </c>
      <c r="G6" s="16">
        <f t="shared" si="2"/>
        <v>7468269</v>
      </c>
      <c r="H6" s="4">
        <f>SUMIF('Accumulated Deferred Income Tax'!$AA$3:$AA$146,'Results Summary (ADIT)'!B6,'Accumulated Deferred Income Tax'!$AE$3:$AE$146)</f>
        <v>0</v>
      </c>
    </row>
    <row r="7" spans="1:8">
      <c r="A7" s="547"/>
      <c r="B7" s="18" t="s">
        <v>15</v>
      </c>
      <c r="C7" s="17" t="str">
        <f t="shared" si="0"/>
        <v>190OTHER</v>
      </c>
      <c r="D7" s="4">
        <f>SUMIF('Accumulated Deferred Income Tax'!$AA$3:$AA$146,'Results Summary (ADIT)'!B7,'Accumulated Deferred Income Tax'!$U$3:$U$146)</f>
        <v>51421535</v>
      </c>
      <c r="E7" s="16">
        <f t="shared" si="1"/>
        <v>51421535</v>
      </c>
      <c r="F7" s="385">
        <f>SUMIF('Accumulated Deferred Income Tax'!$AA$3:$AA$146,'Results Summary (ADIT)'!B7,'Accumulated Deferred Income Tax'!$Y$3:$Y$146)</f>
        <v>0</v>
      </c>
      <c r="G7" s="16">
        <f t="shared" si="2"/>
        <v>51421535</v>
      </c>
      <c r="H7" s="4">
        <f>SUMIF('Accumulated Deferred Income Tax'!$AA$3:$AA$146,'Results Summary (ADIT)'!B7,'Accumulated Deferred Income Tax'!$AE$3:$AE$146)</f>
        <v>0</v>
      </c>
    </row>
    <row r="8" spans="1:8">
      <c r="A8" s="547"/>
      <c r="B8" s="18" t="s">
        <v>28</v>
      </c>
      <c r="C8" s="17" t="str">
        <f t="shared" si="0"/>
        <v>190UT</v>
      </c>
      <c r="D8" s="4">
        <f>SUMIF('Accumulated Deferred Income Tax'!$AA$3:$AA$146,'Results Summary (ADIT)'!B8,'Accumulated Deferred Income Tax'!$U$3:$U$146)</f>
        <v>7943524</v>
      </c>
      <c r="E8" s="16">
        <f t="shared" si="1"/>
        <v>7943524</v>
      </c>
      <c r="F8" s="385">
        <f>SUMIF('Accumulated Deferred Income Tax'!$AA$3:$AA$146,'Results Summary (ADIT)'!B8,'Accumulated Deferred Income Tax'!$Y$3:$Y$146)</f>
        <v>0</v>
      </c>
      <c r="G8" s="42">
        <f t="shared" si="2"/>
        <v>7943524</v>
      </c>
      <c r="H8" s="4">
        <f>SUMIF('Accumulated Deferred Income Tax'!$AA$3:$AA$146,'Results Summary (ADIT)'!B8,'Accumulated Deferred Income Tax'!$AE$3:$AE$146)</f>
        <v>0</v>
      </c>
    </row>
    <row r="9" spans="1:8">
      <c r="A9" s="547"/>
      <c r="B9" s="17" t="s">
        <v>26</v>
      </c>
      <c r="C9" s="17" t="str">
        <f t="shared" si="0"/>
        <v>190WA</v>
      </c>
      <c r="D9" s="4">
        <f>SUMIF('Accumulated Deferred Income Tax'!$AA$3:$AA$146,'Results Summary (ADIT)'!B9,'Accumulated Deferred Income Tax'!$U$3:$U$146)</f>
        <v>7523901</v>
      </c>
      <c r="E9" s="16">
        <f t="shared" si="1"/>
        <v>7523901</v>
      </c>
      <c r="F9" s="385">
        <f>SUMIF('Accumulated Deferred Income Tax'!$AA$3:$AA$146,'Results Summary (ADIT)'!B9,'Accumulated Deferred Income Tax'!$Y$3:$Y$146)</f>
        <v>1448890</v>
      </c>
      <c r="G9" s="42">
        <f t="shared" si="2"/>
        <v>8972791</v>
      </c>
      <c r="H9" s="4">
        <f>SUMIF('Accumulated Deferred Income Tax'!$AA$3:$AA$146,'Results Summary (ADIT)'!B9,'Accumulated Deferred Income Tax'!$AE$3:$AE$146)</f>
        <v>8972791</v>
      </c>
    </row>
    <row r="10" spans="1:8">
      <c r="A10" s="547"/>
      <c r="B10" s="17" t="s">
        <v>32</v>
      </c>
      <c r="C10" s="17" t="str">
        <f t="shared" si="0"/>
        <v>190WYP</v>
      </c>
      <c r="D10" s="4">
        <f>SUMIF('Accumulated Deferred Income Tax'!$AA$3:$AA$146,'Results Summary (ADIT)'!B10,'Accumulated Deferred Income Tax'!$U$3:$U$146)</f>
        <v>1114083</v>
      </c>
      <c r="E10" s="16">
        <f t="shared" si="1"/>
        <v>1114083</v>
      </c>
      <c r="F10" s="385">
        <f>SUMIF('Accumulated Deferred Income Tax'!$AA$3:$AA$146,'Results Summary (ADIT)'!B10,'Accumulated Deferred Income Tax'!$Y$3:$Y$146)</f>
        <v>0</v>
      </c>
      <c r="G10" s="42">
        <f t="shared" si="2"/>
        <v>1114083</v>
      </c>
      <c r="H10" s="4">
        <f>SUMIF('Accumulated Deferred Income Tax'!$AA$3:$AA$146,'Results Summary (ADIT)'!B10,'Accumulated Deferred Income Tax'!$AE$3:$AE$146)</f>
        <v>0</v>
      </c>
    </row>
    <row r="11" spans="1:8">
      <c r="A11" s="547"/>
      <c r="B11" s="19" t="s">
        <v>80</v>
      </c>
      <c r="C11" s="19" t="str">
        <f t="shared" si="0"/>
        <v>190WYU</v>
      </c>
      <c r="D11" s="4">
        <f>SUMIF('Accumulated Deferred Income Tax'!$AA$3:$AA$146,'Results Summary (ADIT)'!B11,'Accumulated Deferred Income Tax'!$U$3:$U$146)</f>
        <v>2939674</v>
      </c>
      <c r="E11" s="16">
        <f t="shared" si="1"/>
        <v>2939674</v>
      </c>
      <c r="F11" s="386">
        <f>SUMIF('Accumulated Deferred Income Tax'!$AA$3:$AA$146,'Results Summary (ADIT)'!B11,'Accumulated Deferred Income Tax'!$Y$3:$Y$146)</f>
        <v>0</v>
      </c>
      <c r="G11" s="43">
        <f t="shared" si="2"/>
        <v>2939674</v>
      </c>
      <c r="H11" s="4">
        <f>SUMIF('Accumulated Deferred Income Tax'!$AA$3:$AA$146,'Results Summary (ADIT)'!B11,'Accumulated Deferred Income Tax'!$AE$3:$AE$146)</f>
        <v>0</v>
      </c>
    </row>
    <row r="12" spans="1:8">
      <c r="A12" s="547"/>
      <c r="B12" s="10"/>
      <c r="C12" s="10"/>
      <c r="D12" s="155">
        <f>SUBTOTAL(9,D3:D11)</f>
        <v>79793875</v>
      </c>
      <c r="E12" s="155">
        <f t="shared" ref="E12:H12" si="3">SUBTOTAL(9,E3:E11)</f>
        <v>79793875</v>
      </c>
      <c r="F12" s="155">
        <f t="shared" si="3"/>
        <v>1448890</v>
      </c>
      <c r="G12" s="155">
        <f t="shared" si="3"/>
        <v>81242765</v>
      </c>
      <c r="H12" s="155">
        <f t="shared" si="3"/>
        <v>8972791</v>
      </c>
    </row>
    <row r="13" spans="1:8">
      <c r="A13" s="547"/>
      <c r="B13" s="12" t="s">
        <v>58</v>
      </c>
      <c r="C13" s="17" t="str">
        <f t="shared" ref="C13:C28" si="4">CONCATENATE("190",B13)</f>
        <v>190BADDEBT</v>
      </c>
      <c r="D13" s="4">
        <f>SUMIF('Accumulated Deferred Income Tax'!$AA$3:$AA$146,'Results Summary (ADIT)'!B13,'Accumulated Deferred Income Tax'!$U$3:$U$146)</f>
        <v>2538677</v>
      </c>
      <c r="E13" s="16">
        <f t="shared" ref="E13:E28" si="5">SUM(D13:D13)</f>
        <v>2538677</v>
      </c>
      <c r="F13" s="4">
        <f>SUMIF('Accumulated Deferred Income Tax'!$AA$3:$AA$146,'Results Summary (ADIT)'!B13,'Accumulated Deferred Income Tax'!$Y$3:$Y$146)</f>
        <v>0</v>
      </c>
      <c r="G13" s="58">
        <f t="shared" ref="G13:G28" si="6">SUM(E13:F13)</f>
        <v>2538677</v>
      </c>
      <c r="H13" s="4">
        <f>SUMIF('Accumulated Deferred Income Tax'!$AA$3:$AA$146,'Results Summary (ADIT)'!B13,'Accumulated Deferred Income Tax'!$AE$3:$AE$146)</f>
        <v>318772</v>
      </c>
    </row>
    <row r="14" spans="1:8">
      <c r="A14" s="547"/>
      <c r="B14" s="413" t="s">
        <v>119</v>
      </c>
      <c r="C14" s="17" t="str">
        <f t="shared" si="4"/>
        <v>190CAEE</v>
      </c>
      <c r="D14" s="4">
        <f>SUMIF('Accumulated Deferred Income Tax'!$AA$3:$AA$146,'Results Summary (ADIT)'!B14,'Accumulated Deferred Income Tax'!$U$3:$U$146)</f>
        <v>32121162</v>
      </c>
      <c r="E14" s="16">
        <f t="shared" si="5"/>
        <v>32121162</v>
      </c>
      <c r="F14" s="4">
        <f>SUMIF('Accumulated Deferred Income Tax'!$AA$3:$AA$146,'Results Summary (ADIT)'!B14,'Accumulated Deferred Income Tax'!$Y$3:$Y$146)</f>
        <v>0</v>
      </c>
      <c r="G14" s="42">
        <f t="shared" si="6"/>
        <v>32121162</v>
      </c>
      <c r="H14" s="4">
        <f>SUMIF('Accumulated Deferred Income Tax'!$AA$3:$AA$146,'Results Summary (ADIT)'!B14,'Accumulated Deferred Income Tax'!$AE$3:$AE$146)</f>
        <v>0</v>
      </c>
    </row>
    <row r="15" spans="1:8">
      <c r="A15" s="547"/>
      <c r="B15" s="413" t="s">
        <v>162</v>
      </c>
      <c r="C15" s="17" t="str">
        <f t="shared" si="4"/>
        <v>190CAGE</v>
      </c>
      <c r="D15" s="4">
        <f>SUMIF('Accumulated Deferred Income Tax'!$AA$3:$AA$146,'Results Summary (ADIT)'!B15,'Accumulated Deferred Income Tax'!$U$3:$U$146)</f>
        <v>19700704</v>
      </c>
      <c r="E15" s="16">
        <f t="shared" si="5"/>
        <v>19700704</v>
      </c>
      <c r="F15" s="4">
        <f>SUMIF('Accumulated Deferred Income Tax'!$AA$3:$AA$146,'Results Summary (ADIT)'!B15,'Accumulated Deferred Income Tax'!$Y$3:$Y$146)</f>
        <v>0</v>
      </c>
      <c r="G15" s="42">
        <f t="shared" si="6"/>
        <v>19700704</v>
      </c>
      <c r="H15" s="4">
        <f>SUMIF('Accumulated Deferred Income Tax'!$AA$3:$AA$146,'Results Summary (ADIT)'!B15,'Accumulated Deferred Income Tax'!$AE$3:$AE$146)</f>
        <v>0</v>
      </c>
    </row>
    <row r="16" spans="1:8">
      <c r="A16" s="547"/>
      <c r="B16" s="413" t="s">
        <v>160</v>
      </c>
      <c r="C16" s="17" t="str">
        <f t="shared" si="4"/>
        <v>190CAGW</v>
      </c>
      <c r="D16" s="4">
        <f>SUMIF('Accumulated Deferred Income Tax'!$AA$3:$AA$146,'Results Summary (ADIT)'!B16,'Accumulated Deferred Income Tax'!$U$3:$U$146)</f>
        <v>140598</v>
      </c>
      <c r="E16" s="16">
        <f t="shared" si="5"/>
        <v>140598</v>
      </c>
      <c r="F16" s="4">
        <f>SUMIF('Accumulated Deferred Income Tax'!$AA$3:$AA$146,'Results Summary (ADIT)'!B16,'Accumulated Deferred Income Tax'!$Y$3:$Y$146)</f>
        <v>0</v>
      </c>
      <c r="G16" s="42">
        <f t="shared" si="6"/>
        <v>140598</v>
      </c>
      <c r="H16" s="4">
        <f>SUMIF('Accumulated Deferred Income Tax'!$AA$3:$AA$146,'Results Summary (ADIT)'!B16,'Accumulated Deferred Income Tax'!$AE$3:$AE$146)</f>
        <v>30337</v>
      </c>
    </row>
    <row r="17" spans="1:13">
      <c r="A17" s="547"/>
      <c r="B17" s="15" t="s">
        <v>239</v>
      </c>
      <c r="C17" s="17" t="str">
        <f t="shared" si="4"/>
        <v>190DITBAL</v>
      </c>
      <c r="D17" s="4">
        <f>SUMIF('Accumulated Deferred Income Tax'!$AA$3:$AA$146,'Results Summary (ADIT)'!B17,'Accumulated Deferred Income Tax'!$U$3:$U$146)</f>
        <v>0</v>
      </c>
      <c r="E17" s="16">
        <f t="shared" si="5"/>
        <v>0</v>
      </c>
      <c r="F17" s="4">
        <f>SUMIF('Accumulated Deferred Income Tax'!$AA$3:$AA$146,'Results Summary (ADIT)'!B17,'Accumulated Deferred Income Tax'!$Y$3:$Y$146)</f>
        <v>0</v>
      </c>
      <c r="G17" s="42">
        <f t="shared" si="6"/>
        <v>0</v>
      </c>
      <c r="H17" s="4">
        <f>SUMIF('Accumulated Deferred Income Tax'!$AA$3:$AA$146,'Results Summary (ADIT)'!B17,'Accumulated Deferred Income Tax'!$AE$3:$AE$146)</f>
        <v>0</v>
      </c>
    </row>
    <row r="18" spans="1:13">
      <c r="A18" s="547"/>
      <c r="B18" s="17" t="s">
        <v>49</v>
      </c>
      <c r="C18" s="17" t="str">
        <f t="shared" si="4"/>
        <v>190GPS</v>
      </c>
      <c r="D18" s="4">
        <f>SUMIF('Accumulated Deferred Income Tax'!$AA$3:$AA$146,'Results Summary (ADIT)'!B18,'Accumulated Deferred Income Tax'!$U$3:$U$146)</f>
        <v>0</v>
      </c>
      <c r="E18" s="16">
        <f t="shared" si="5"/>
        <v>0</v>
      </c>
      <c r="F18" s="4">
        <f>SUMIF('Accumulated Deferred Income Tax'!$AA$3:$AA$146,'Results Summary (ADIT)'!B18,'Accumulated Deferred Income Tax'!$Y$3:$Y$146)</f>
        <v>0</v>
      </c>
      <c r="G18" s="42">
        <f t="shared" si="6"/>
        <v>0</v>
      </c>
      <c r="H18" s="4">
        <f>SUMIF('Accumulated Deferred Income Tax'!$AA$3:$AA$146,'Results Summary (ADIT)'!B18,'Accumulated Deferred Income Tax'!$AE$3:$AE$146)</f>
        <v>0</v>
      </c>
    </row>
    <row r="19" spans="1:13">
      <c r="A19" s="547"/>
      <c r="B19" s="17" t="s">
        <v>170</v>
      </c>
      <c r="C19" s="17" t="str">
        <f t="shared" si="4"/>
        <v>190JBE</v>
      </c>
      <c r="D19" s="4">
        <f>SUMIF('Accumulated Deferred Income Tax'!$AA$3:$AA$146,'Results Summary (ADIT)'!B19,'Accumulated Deferred Income Tax'!$U$3:$U$146)</f>
        <v>-12366937</v>
      </c>
      <c r="E19" s="16">
        <f t="shared" si="5"/>
        <v>-12366937</v>
      </c>
      <c r="F19" s="4">
        <f>SUMIF('Accumulated Deferred Income Tax'!$AA$3:$AA$146,'Results Summary (ADIT)'!B19,'Accumulated Deferred Income Tax'!$Y$3:$Y$146)</f>
        <v>0</v>
      </c>
      <c r="G19" s="42">
        <f t="shared" si="6"/>
        <v>-12366937</v>
      </c>
      <c r="H19" s="4">
        <f>SUMIF('Accumulated Deferred Income Tax'!$AA$3:$AA$146,'Results Summary (ADIT)'!B19,'Accumulated Deferred Income Tax'!$AE$3:$AE$146)</f>
        <v>-2793886</v>
      </c>
    </row>
    <row r="20" spans="1:13">
      <c r="A20" s="547"/>
      <c r="B20" s="18" t="s">
        <v>331</v>
      </c>
      <c r="C20" s="17" t="str">
        <f t="shared" si="4"/>
        <v>190NREG</v>
      </c>
      <c r="D20" s="4">
        <f>SUMIF('Accumulated Deferred Income Tax'!$AA$3:$AA$146,'Results Summary (ADIT)'!B20,'Accumulated Deferred Income Tax'!$U$3:$U$146)</f>
        <v>680146052</v>
      </c>
      <c r="E20" s="16">
        <f t="shared" si="5"/>
        <v>680146052</v>
      </c>
      <c r="F20" s="4">
        <f>SUMIF('Accumulated Deferred Income Tax'!$AA$3:$AA$146,'Results Summary (ADIT)'!B20,'Accumulated Deferred Income Tax'!$Y$3:$Y$146)</f>
        <v>0</v>
      </c>
      <c r="G20" s="42">
        <f t="shared" si="6"/>
        <v>680146052</v>
      </c>
      <c r="H20" s="4">
        <f>SUMIF('Accumulated Deferred Income Tax'!$AA$3:$AA$146,'Results Summary (ADIT)'!B20,'Accumulated Deferred Income Tax'!$AE$3:$AE$146)</f>
        <v>0</v>
      </c>
    </row>
    <row r="21" spans="1:13">
      <c r="A21" s="547"/>
      <c r="B21" s="18" t="s">
        <v>11</v>
      </c>
      <c r="C21" s="17" t="str">
        <f t="shared" si="4"/>
        <v>190SCHMDEXP</v>
      </c>
      <c r="D21" s="4">
        <f>SUMIF('Accumulated Deferred Income Tax'!$AA$3:$AA$146,'Results Summary (ADIT)'!B21,'Accumulated Deferred Income Tax'!$U$3:$U$146)</f>
        <v>0</v>
      </c>
      <c r="E21" s="16">
        <f t="shared" si="5"/>
        <v>0</v>
      </c>
      <c r="F21" s="4">
        <f>SUMIF('Accumulated Deferred Income Tax'!$AA$3:$AA$146,'Results Summary (ADIT)'!B21,'Accumulated Deferred Income Tax'!$Y$3:$Y$146)</f>
        <v>0</v>
      </c>
      <c r="G21" s="42">
        <f t="shared" si="6"/>
        <v>0</v>
      </c>
      <c r="H21" s="4">
        <f>SUMIF('Accumulated Deferred Income Tax'!$AA$3:$AA$146,'Results Summary (ADIT)'!B21,'Accumulated Deferred Income Tax'!$AE$3:$AE$146)</f>
        <v>0</v>
      </c>
    </row>
    <row r="22" spans="1:13">
      <c r="A22" s="547"/>
      <c r="B22" s="18" t="s">
        <v>13</v>
      </c>
      <c r="C22" s="17" t="str">
        <f t="shared" si="4"/>
        <v>190SE</v>
      </c>
      <c r="D22" s="4">
        <f>SUMIF('Accumulated Deferred Income Tax'!$AA$3:$AA$146,'Results Summary (ADIT)'!B22,'Accumulated Deferred Income Tax'!$U$3:$U$146)</f>
        <v>0</v>
      </c>
      <c r="E22" s="16">
        <f t="shared" si="5"/>
        <v>0</v>
      </c>
      <c r="F22" s="4">
        <f>SUMIF('Accumulated Deferred Income Tax'!$AA$3:$AA$146,'Results Summary (ADIT)'!B22,'Accumulated Deferred Income Tax'!$Y$3:$Y$146)</f>
        <v>0</v>
      </c>
      <c r="G22" s="42">
        <f t="shared" si="6"/>
        <v>0</v>
      </c>
      <c r="H22" s="4">
        <f>SUMIF('Accumulated Deferred Income Tax'!$AA$3:$AA$146,'Results Summary (ADIT)'!B22,'Accumulated Deferred Income Tax'!$AE$3:$AE$146)</f>
        <v>0</v>
      </c>
    </row>
    <row r="23" spans="1:13">
      <c r="A23" s="547"/>
      <c r="B23" s="17" t="s">
        <v>19</v>
      </c>
      <c r="C23" s="17" t="str">
        <f t="shared" si="4"/>
        <v>190SG</v>
      </c>
      <c r="D23" s="4">
        <f>SUMIF('Accumulated Deferred Income Tax'!$AA$3:$AA$146,'Results Summary (ADIT)'!B23,'Accumulated Deferred Income Tax'!$U$3:$U$146)</f>
        <v>7634356</v>
      </c>
      <c r="E23" s="16">
        <f t="shared" si="5"/>
        <v>7634356</v>
      </c>
      <c r="F23" s="4">
        <f>SUMIF('Accumulated Deferred Income Tax'!$AA$3:$AA$146,'Results Summary (ADIT)'!B23,'Accumulated Deferred Income Tax'!$Y$3:$Y$146)</f>
        <v>0</v>
      </c>
      <c r="G23" s="42">
        <f t="shared" si="6"/>
        <v>7634356</v>
      </c>
      <c r="H23" s="4">
        <f>SUMIF('Accumulated Deferred Income Tax'!$AA$3:$AA$146,'Results Summary (ADIT)'!B23,'Accumulated Deferred Income Tax'!$AE$3:$AE$146)</f>
        <v>596328</v>
      </c>
    </row>
    <row r="24" spans="1:13">
      <c r="A24" s="547"/>
      <c r="B24" s="18" t="s">
        <v>16</v>
      </c>
      <c r="C24" s="17" t="str">
        <f t="shared" si="4"/>
        <v>190SNP</v>
      </c>
      <c r="D24" s="4">
        <f>SUMIF('Accumulated Deferred Income Tax'!$AA$3:$AA$146,'Results Summary (ADIT)'!B24,'Accumulated Deferred Income Tax'!$U$3:$U$146)</f>
        <v>0</v>
      </c>
      <c r="E24" s="16">
        <f t="shared" si="5"/>
        <v>0</v>
      </c>
      <c r="F24" s="4">
        <f>SUMIF('Accumulated Deferred Income Tax'!$AA$3:$AA$146,'Results Summary (ADIT)'!B24,'Accumulated Deferred Income Tax'!$Y$3:$Y$146)</f>
        <v>0</v>
      </c>
      <c r="G24" s="42">
        <f t="shared" si="6"/>
        <v>0</v>
      </c>
      <c r="H24" s="4">
        <f>SUMIF('Accumulated Deferred Income Tax'!$AA$3:$AA$146,'Results Summary (ADIT)'!B24,'Accumulated Deferred Income Tax'!$AE$3:$AE$146)</f>
        <v>0</v>
      </c>
    </row>
    <row r="25" spans="1:13">
      <c r="A25" s="547"/>
      <c r="B25" s="17" t="s">
        <v>21</v>
      </c>
      <c r="C25" s="17" t="str">
        <f t="shared" si="4"/>
        <v>190SNPD</v>
      </c>
      <c r="D25" s="4">
        <f>SUMIF('Accumulated Deferred Income Tax'!$AA$3:$AA$146,'Results Summary (ADIT)'!B25,'Accumulated Deferred Income Tax'!$U$3:$U$146)</f>
        <v>1360919</v>
      </c>
      <c r="E25" s="16">
        <f t="shared" si="5"/>
        <v>1360919</v>
      </c>
      <c r="F25" s="4">
        <f>SUMIF('Accumulated Deferred Income Tax'!$AA$3:$AA$146,'Results Summary (ADIT)'!B25,'Accumulated Deferred Income Tax'!$Y$3:$Y$146)</f>
        <v>0</v>
      </c>
      <c r="G25" s="42">
        <f t="shared" si="6"/>
        <v>1360919</v>
      </c>
      <c r="H25" s="4">
        <f>SUMIF('Accumulated Deferred Income Tax'!$AA$3:$AA$146,'Results Summary (ADIT)'!B25,'Accumulated Deferred Income Tax'!$AE$3:$AE$146)</f>
        <v>87655</v>
      </c>
    </row>
    <row r="26" spans="1:13">
      <c r="A26" s="547"/>
      <c r="B26" s="18" t="s">
        <v>10</v>
      </c>
      <c r="C26" s="17" t="str">
        <f t="shared" si="4"/>
        <v>190SO</v>
      </c>
      <c r="D26" s="4">
        <f>SUMIF('Accumulated Deferred Income Tax'!$AA$3:$AA$146,'Results Summary (ADIT)'!B26,'Accumulated Deferred Income Tax'!$U$3:$U$146)</f>
        <v>27605915</v>
      </c>
      <c r="E26" s="16">
        <f t="shared" si="5"/>
        <v>27605915</v>
      </c>
      <c r="F26" s="4">
        <f>SUMIF('Accumulated Deferred Income Tax'!$AA$3:$AA$146,'Results Summary (ADIT)'!B26,'Accumulated Deferred Income Tax'!$Y$3:$Y$146)</f>
        <v>-13694229</v>
      </c>
      <c r="G26" s="42">
        <f t="shared" si="6"/>
        <v>13911686</v>
      </c>
      <c r="H26" s="4">
        <f>SUMIF('Accumulated Deferred Income Tax'!$AA$3:$AA$146,'Results Summary (ADIT)'!B26,'Accumulated Deferred Income Tax'!$AE$3:$AE$146)</f>
        <v>932328</v>
      </c>
      <c r="J26" s="92"/>
    </row>
    <row r="27" spans="1:13">
      <c r="A27" s="547"/>
      <c r="B27" s="17" t="s">
        <v>45</v>
      </c>
      <c r="C27" s="17" t="str">
        <f t="shared" si="4"/>
        <v>190TAXDEPR</v>
      </c>
      <c r="D27" s="4">
        <f>SUMIF('Accumulated Deferred Income Tax'!$AA$3:$AA$146,'Results Summary (ADIT)'!B27,'Accumulated Deferred Income Tax'!$U$3:$U$146)</f>
        <v>0</v>
      </c>
      <c r="E27" s="16">
        <f t="shared" si="5"/>
        <v>0</v>
      </c>
      <c r="F27" s="4">
        <f>SUMIF('Accumulated Deferred Income Tax'!$AA$3:$AA$146,'Results Summary (ADIT)'!B27,'Accumulated Deferred Income Tax'!$Y$3:$Y$146)</f>
        <v>0</v>
      </c>
      <c r="G27" s="42">
        <f t="shared" si="6"/>
        <v>0</v>
      </c>
      <c r="H27" s="4">
        <f>SUMIF('Accumulated Deferred Income Tax'!$AA$3:$AA$146,'Results Summary (ADIT)'!B27,'Accumulated Deferred Income Tax'!$AE$3:$AE$146)</f>
        <v>0</v>
      </c>
    </row>
    <row r="28" spans="1:13">
      <c r="A28" s="548"/>
      <c r="B28" s="22" t="s">
        <v>40</v>
      </c>
      <c r="C28" s="22" t="str">
        <f t="shared" si="4"/>
        <v>190TROJD</v>
      </c>
      <c r="D28" s="4">
        <f>SUMIF('Accumulated Deferred Income Tax'!$AA$3:$AA$146,'Results Summary (ADIT)'!B28,'Accumulated Deferred Income Tax'!$U$3:$U$146)</f>
        <v>0</v>
      </c>
      <c r="E28" s="16">
        <f t="shared" si="5"/>
        <v>0</v>
      </c>
      <c r="F28" s="4">
        <f>SUMIF('Accumulated Deferred Income Tax'!$AA$3:$AA$146,'Results Summary (ADIT)'!B28,'Accumulated Deferred Income Tax'!$Y$3:$Y$146)</f>
        <v>0</v>
      </c>
      <c r="G28" s="43">
        <f t="shared" si="6"/>
        <v>0</v>
      </c>
      <c r="H28" s="4">
        <f>SUMIF('Accumulated Deferred Income Tax'!$AA$3:$AA$146,'Results Summary (ADIT)'!B28,'Accumulated Deferred Income Tax'!$AE$3:$AE$146)</f>
        <v>0</v>
      </c>
    </row>
    <row r="29" spans="1:13" ht="15">
      <c r="A29" s="154"/>
      <c r="B29" s="154"/>
      <c r="C29" s="154"/>
      <c r="D29" s="155">
        <f t="shared" ref="D29:H29" si="7">SUBTOTAL(9,D3:D28)</f>
        <v>838675321</v>
      </c>
      <c r="E29" s="155">
        <f t="shared" si="7"/>
        <v>838675321</v>
      </c>
      <c r="F29" s="155">
        <f t="shared" si="7"/>
        <v>-12245339</v>
      </c>
      <c r="G29" s="155">
        <f t="shared" si="7"/>
        <v>826429982</v>
      </c>
      <c r="H29" s="155">
        <f t="shared" si="7"/>
        <v>8144325</v>
      </c>
      <c r="M29" s="391"/>
    </row>
    <row r="30" spans="1:13" ht="12.75" customHeight="1">
      <c r="A30" s="546">
        <v>281</v>
      </c>
      <c r="B30" s="12" t="s">
        <v>17</v>
      </c>
      <c r="C30" s="17" t="str">
        <f t="shared" ref="C30:C38" si="8">CONCATENATE("281",B30)</f>
        <v>281CA</v>
      </c>
      <c r="D30" s="13">
        <f>SUMIF('Accumulated Deferred Income Tax'!$AA$148,'Results Summary (ADIT)'!B30,'Accumulated Deferred Income Tax'!$U$148)</f>
        <v>0</v>
      </c>
      <c r="E30" s="56">
        <f t="shared" ref="E30:E38" si="9">SUM(D30:D30)</f>
        <v>0</v>
      </c>
      <c r="F30" s="55">
        <f>SUMIF('Accumulated Deferred Income Tax'!$AA$148,'Results Summary (ADIT)'!B30,'Accumulated Deferred Income Tax'!$Y$148)</f>
        <v>0</v>
      </c>
      <c r="G30" s="58">
        <f t="shared" ref="G30:G38" si="10">SUM(E30:F30)</f>
        <v>0</v>
      </c>
      <c r="H30" s="55">
        <f>SUMIF('Accumulated Deferred Income Tax'!$AA$148,'Results Summary (ADIT)'!B30,'Accumulated Deferred Income Tax'!$AE$148)</f>
        <v>0</v>
      </c>
    </row>
    <row r="31" spans="1:13">
      <c r="A31" s="547"/>
      <c r="B31" s="15" t="s">
        <v>72</v>
      </c>
      <c r="C31" s="17" t="str">
        <f t="shared" si="8"/>
        <v>281FERC</v>
      </c>
      <c r="D31" s="4">
        <f>SUMIF('Accumulated Deferred Income Tax'!$AA$148,'Results Summary (ADIT)'!B31,'Accumulated Deferred Income Tax'!$U$148)</f>
        <v>0</v>
      </c>
      <c r="E31" s="42">
        <f t="shared" si="9"/>
        <v>0</v>
      </c>
      <c r="F31" s="59">
        <f>SUMIF('Accumulated Deferred Income Tax'!$AA$148,'Results Summary (ADIT)'!B31,'Accumulated Deferred Income Tax'!$Y$148)</f>
        <v>0</v>
      </c>
      <c r="G31" s="42">
        <f t="shared" si="10"/>
        <v>0</v>
      </c>
      <c r="H31" s="59">
        <f>SUMIF('Accumulated Deferred Income Tax'!$AA$148,'Results Summary (ADIT)'!B31,'Accumulated Deferred Income Tax'!$AE$148)</f>
        <v>0</v>
      </c>
    </row>
    <row r="32" spans="1:13">
      <c r="A32" s="547"/>
      <c r="B32" s="17" t="s">
        <v>29</v>
      </c>
      <c r="C32" s="17" t="str">
        <f t="shared" si="8"/>
        <v>281IDU</v>
      </c>
      <c r="D32" s="4">
        <f>SUMIF('Accumulated Deferred Income Tax'!$AA$148,'Results Summary (ADIT)'!B32,'Accumulated Deferred Income Tax'!$U$148)</f>
        <v>0</v>
      </c>
      <c r="E32" s="42">
        <f t="shared" si="9"/>
        <v>0</v>
      </c>
      <c r="F32" s="59">
        <f>SUMIF('Accumulated Deferred Income Tax'!$AA$148,'Results Summary (ADIT)'!B32,'Accumulated Deferred Income Tax'!$Y$148)</f>
        <v>0</v>
      </c>
      <c r="G32" s="42">
        <f t="shared" si="10"/>
        <v>0</v>
      </c>
      <c r="H32" s="59">
        <f>SUMIF('Accumulated Deferred Income Tax'!$AA$148,'Results Summary (ADIT)'!B32,'Accumulated Deferred Income Tax'!$AE$148)</f>
        <v>0</v>
      </c>
    </row>
    <row r="33" spans="1:15">
      <c r="A33" s="547"/>
      <c r="B33" s="17" t="s">
        <v>30</v>
      </c>
      <c r="C33" s="17" t="str">
        <f t="shared" si="8"/>
        <v>281OR</v>
      </c>
      <c r="D33" s="4">
        <f>SUMIF('Accumulated Deferred Income Tax'!$AA$148,'Results Summary (ADIT)'!B33,'Accumulated Deferred Income Tax'!$U$148)</f>
        <v>0</v>
      </c>
      <c r="E33" s="42">
        <f t="shared" si="9"/>
        <v>0</v>
      </c>
      <c r="F33" s="59">
        <f>SUMIF('Accumulated Deferred Income Tax'!$AA$148,'Results Summary (ADIT)'!B33,'Accumulated Deferred Income Tax'!$Y$148)</f>
        <v>0</v>
      </c>
      <c r="G33" s="42">
        <f t="shared" si="10"/>
        <v>0</v>
      </c>
      <c r="H33" s="59">
        <f>SUMIF('Accumulated Deferred Income Tax'!$AA$148,'Results Summary (ADIT)'!B33,'Accumulated Deferred Income Tax'!$AE$148)</f>
        <v>0</v>
      </c>
      <c r="O33" s="3"/>
    </row>
    <row r="34" spans="1:15">
      <c r="A34" s="547"/>
      <c r="B34" s="18" t="s">
        <v>15</v>
      </c>
      <c r="C34" s="17" t="str">
        <f t="shared" si="8"/>
        <v>281OTHER</v>
      </c>
      <c r="D34" s="4">
        <f>SUMIF('Accumulated Deferred Income Tax'!$AA$148,'Results Summary (ADIT)'!B34,'Accumulated Deferred Income Tax'!$U$148)</f>
        <v>0</v>
      </c>
      <c r="E34" s="42">
        <f t="shared" si="9"/>
        <v>0</v>
      </c>
      <c r="F34" s="59">
        <f>SUMIF('Accumulated Deferred Income Tax'!$AA$148,'Results Summary (ADIT)'!B34,'Accumulated Deferred Income Tax'!$Y$148)</f>
        <v>0</v>
      </c>
      <c r="G34" s="42">
        <f t="shared" si="10"/>
        <v>0</v>
      </c>
      <c r="H34" s="59">
        <f>SUMIF('Accumulated Deferred Income Tax'!$AA$148,'Results Summary (ADIT)'!B34,'Accumulated Deferred Income Tax'!$AE$148)</f>
        <v>0</v>
      </c>
    </row>
    <row r="35" spans="1:15">
      <c r="A35" s="547"/>
      <c r="B35" s="18" t="s">
        <v>28</v>
      </c>
      <c r="C35" s="17" t="str">
        <f t="shared" si="8"/>
        <v>281UT</v>
      </c>
      <c r="D35" s="4">
        <f>SUMIF('Accumulated Deferred Income Tax'!$AA$148,'Results Summary (ADIT)'!B35,'Accumulated Deferred Income Tax'!$U$148)</f>
        <v>0</v>
      </c>
      <c r="E35" s="42">
        <f t="shared" si="9"/>
        <v>0</v>
      </c>
      <c r="F35" s="59">
        <f>SUMIF('Accumulated Deferred Income Tax'!$AA$148,'Results Summary (ADIT)'!B35,'Accumulated Deferred Income Tax'!$Y$148)</f>
        <v>0</v>
      </c>
      <c r="G35" s="42">
        <f t="shared" si="10"/>
        <v>0</v>
      </c>
      <c r="H35" s="59">
        <f>SUMIF('Accumulated Deferred Income Tax'!$AA$148,'Results Summary (ADIT)'!B35,'Accumulated Deferred Income Tax'!$AE$148)</f>
        <v>0</v>
      </c>
    </row>
    <row r="36" spans="1:15">
      <c r="A36" s="547"/>
      <c r="B36" s="17" t="s">
        <v>26</v>
      </c>
      <c r="C36" s="17" t="str">
        <f t="shared" si="8"/>
        <v>281WA</v>
      </c>
      <c r="D36" s="4">
        <f>SUMIF('Accumulated Deferred Income Tax'!$AA$148,'Results Summary (ADIT)'!B36,'Accumulated Deferred Income Tax'!$U$148)</f>
        <v>0</v>
      </c>
      <c r="E36" s="42">
        <f t="shared" si="9"/>
        <v>0</v>
      </c>
      <c r="F36" s="59">
        <f>SUMIF('Accumulated Deferred Income Tax'!$AA$148,'Results Summary (ADIT)'!B36,'Accumulated Deferred Income Tax'!$Y$148)</f>
        <v>0</v>
      </c>
      <c r="G36" s="42">
        <f t="shared" si="10"/>
        <v>0</v>
      </c>
      <c r="H36" s="59">
        <f>SUMIF('Accumulated Deferred Income Tax'!$AA$148,'Results Summary (ADIT)'!B36,'Accumulated Deferred Income Tax'!$AE$148)</f>
        <v>0</v>
      </c>
    </row>
    <row r="37" spans="1:15">
      <c r="A37" s="547"/>
      <c r="B37" s="17" t="s">
        <v>32</v>
      </c>
      <c r="C37" s="17" t="str">
        <f t="shared" si="8"/>
        <v>281WYP</v>
      </c>
      <c r="D37" s="4">
        <f>SUMIF('Accumulated Deferred Income Tax'!$AA$148,'Results Summary (ADIT)'!B37,'Accumulated Deferred Income Tax'!$U$148)</f>
        <v>0</v>
      </c>
      <c r="E37" s="42">
        <f t="shared" si="9"/>
        <v>0</v>
      </c>
      <c r="F37" s="59">
        <f>SUMIF('Accumulated Deferred Income Tax'!$AA$148,'Results Summary (ADIT)'!B37,'Accumulated Deferred Income Tax'!$Y$148)</f>
        <v>0</v>
      </c>
      <c r="G37" s="42">
        <f t="shared" si="10"/>
        <v>0</v>
      </c>
      <c r="H37" s="59">
        <f>SUMIF('Accumulated Deferred Income Tax'!$AA$148,'Results Summary (ADIT)'!B37,'Accumulated Deferred Income Tax'!$AE$148)</f>
        <v>0</v>
      </c>
    </row>
    <row r="38" spans="1:15">
      <c r="A38" s="547"/>
      <c r="B38" s="19" t="s">
        <v>80</v>
      </c>
      <c r="C38" s="19" t="str">
        <f t="shared" si="8"/>
        <v>281WYU</v>
      </c>
      <c r="D38" s="4">
        <f>SUMIF('Accumulated Deferred Income Tax'!$AA$148,'Results Summary (ADIT)'!B38,'Accumulated Deferred Income Tax'!$U$148)</f>
        <v>0</v>
      </c>
      <c r="E38" s="42">
        <f t="shared" si="9"/>
        <v>0</v>
      </c>
      <c r="F38" s="60">
        <f>SUMIF('Accumulated Deferred Income Tax'!$AA$148,'Results Summary (ADIT)'!B38,'Accumulated Deferred Income Tax'!$Y$148)</f>
        <v>0</v>
      </c>
      <c r="G38" s="43">
        <f t="shared" si="10"/>
        <v>0</v>
      </c>
      <c r="H38" s="60">
        <f>SUMIF('Accumulated Deferred Income Tax'!$AA$148,'Results Summary (ADIT)'!B38,'Accumulated Deferred Income Tax'!$AE$148)</f>
        <v>0</v>
      </c>
    </row>
    <row r="39" spans="1:15">
      <c r="A39" s="547"/>
      <c r="B39" s="10"/>
      <c r="C39" s="10"/>
      <c r="D39" s="155">
        <f>SUBTOTAL(9,D30:D38)</f>
        <v>0</v>
      </c>
      <c r="E39" s="155">
        <f t="shared" ref="E39:H39" si="11">SUBTOTAL(9,E30:E38)</f>
        <v>0</v>
      </c>
      <c r="F39" s="155">
        <f t="shared" si="11"/>
        <v>0</v>
      </c>
      <c r="G39" s="155">
        <f t="shared" si="11"/>
        <v>0</v>
      </c>
      <c r="H39" s="155">
        <f t="shared" si="11"/>
        <v>0</v>
      </c>
    </row>
    <row r="40" spans="1:15">
      <c r="A40" s="547"/>
      <c r="B40" s="18" t="s">
        <v>331</v>
      </c>
      <c r="C40" s="18" t="str">
        <f t="shared" ref="C40:C44" si="12">CONCATENATE("281",B40)</f>
        <v>281NREG</v>
      </c>
      <c r="D40" s="4">
        <f>SUMIF('Accumulated Deferred Income Tax'!$AA$148,'Results Summary (ADIT)'!B40,'Accumulated Deferred Income Tax'!$U$148)</f>
        <v>0</v>
      </c>
      <c r="E40" s="42">
        <f>SUM(D40:D40)</f>
        <v>0</v>
      </c>
      <c r="F40" s="59">
        <f>SUMIF('Accumulated Deferred Income Tax'!$AA$148,'Results Summary (ADIT)'!B40,'Accumulated Deferred Income Tax'!$Y$148)</f>
        <v>0</v>
      </c>
      <c r="G40" s="42">
        <f>SUM(E40:F40)</f>
        <v>0</v>
      </c>
      <c r="H40" s="59">
        <f>SUMIF('Accumulated Deferred Income Tax'!$AA$148,'Results Summary (ADIT)'!B40,'Accumulated Deferred Income Tax'!$AE$148)</f>
        <v>0</v>
      </c>
    </row>
    <row r="41" spans="1:15">
      <c r="A41" s="547"/>
      <c r="B41" s="18" t="s">
        <v>11</v>
      </c>
      <c r="C41" s="18" t="str">
        <f t="shared" si="12"/>
        <v>281SCHMDEXP</v>
      </c>
      <c r="D41" s="4">
        <f>SUMIF('Accumulated Deferred Income Tax'!$AA$148,'Results Summary (ADIT)'!B41,'Accumulated Deferred Income Tax'!$U$148)</f>
        <v>0</v>
      </c>
      <c r="E41" s="42">
        <f>SUM(D41:D41)</f>
        <v>0</v>
      </c>
      <c r="F41" s="59">
        <f>SUMIF('Accumulated Deferred Income Tax'!$AA$148,'Results Summary (ADIT)'!B41,'Accumulated Deferred Income Tax'!$Y$148)</f>
        <v>0</v>
      </c>
      <c r="G41" s="42">
        <f>SUM(E41:F41)</f>
        <v>0</v>
      </c>
      <c r="H41" s="59">
        <f>SUMIF('Accumulated Deferred Income Tax'!$AA$148,'Results Summary (ADIT)'!B41,'Accumulated Deferred Income Tax'!$AE$148)</f>
        <v>0</v>
      </c>
    </row>
    <row r="42" spans="1:15">
      <c r="A42" s="547"/>
      <c r="B42" s="18" t="s">
        <v>13</v>
      </c>
      <c r="C42" s="18" t="str">
        <f t="shared" si="12"/>
        <v>281SE</v>
      </c>
      <c r="D42" s="4">
        <f>SUMIF('Accumulated Deferred Income Tax'!$AA$148,'Results Summary (ADIT)'!B42,'Accumulated Deferred Income Tax'!$U$148)</f>
        <v>0</v>
      </c>
      <c r="E42" s="42">
        <f>SUM(D42:D42)</f>
        <v>0</v>
      </c>
      <c r="F42" s="59">
        <f>SUMIF('Accumulated Deferred Income Tax'!$AA$148,'Results Summary (ADIT)'!B42,'Accumulated Deferred Income Tax'!$Y$148)</f>
        <v>0</v>
      </c>
      <c r="G42" s="42">
        <f>SUM(E42:F42)</f>
        <v>0</v>
      </c>
      <c r="H42" s="59">
        <f>SUMIF('Accumulated Deferred Income Tax'!$AA$148,'Results Summary (ADIT)'!B42,'Accumulated Deferred Income Tax'!$AE$148)</f>
        <v>0</v>
      </c>
    </row>
    <row r="43" spans="1:15">
      <c r="A43" s="547"/>
      <c r="B43" s="17" t="s">
        <v>19</v>
      </c>
      <c r="C43" s="18" t="str">
        <f t="shared" si="12"/>
        <v>281SG</v>
      </c>
      <c r="D43" s="4">
        <f>SUMIF('Accumulated Deferred Income Tax'!$AA$148,'Results Summary (ADIT)'!B43,'Accumulated Deferred Income Tax'!$U$148)</f>
        <v>-180666977</v>
      </c>
      <c r="E43" s="42">
        <f>SUM(D43:D43)</f>
        <v>-180666977</v>
      </c>
      <c r="F43" s="59">
        <f>SUMIF('Accumulated Deferred Income Tax'!$AA$148,'Results Summary (ADIT)'!B43,'Accumulated Deferred Income Tax'!$Y$148)</f>
        <v>0</v>
      </c>
      <c r="G43" s="42">
        <f>SUM(E43:F43)</f>
        <v>-180666977</v>
      </c>
      <c r="H43" s="59">
        <f>SUMIF('Accumulated Deferred Income Tax'!$AA$148,'Results Summary (ADIT)'!B43,'Accumulated Deferred Income Tax'!$AE$148)</f>
        <v>0</v>
      </c>
    </row>
    <row r="44" spans="1:15">
      <c r="A44" s="547"/>
      <c r="B44" s="18" t="s">
        <v>16</v>
      </c>
      <c r="C44" s="18" t="str">
        <f t="shared" si="12"/>
        <v>281SNP</v>
      </c>
      <c r="D44" s="4">
        <f>SUMIF('Accumulated Deferred Income Tax'!$AA$148,'Results Summary (ADIT)'!B44,'Accumulated Deferred Income Tax'!$U$148)</f>
        <v>0</v>
      </c>
      <c r="E44" s="42">
        <f>SUM(D44:D44)</f>
        <v>0</v>
      </c>
      <c r="F44" s="59">
        <f>SUMIF('Accumulated Deferred Income Tax'!$AA$148,'Results Summary (ADIT)'!B44,'Accumulated Deferred Income Tax'!$Y$148)</f>
        <v>0</v>
      </c>
      <c r="G44" s="42">
        <f>SUM(E44:F44)</f>
        <v>0</v>
      </c>
      <c r="H44" s="59">
        <f>SUMIF('Accumulated Deferred Income Tax'!$AA$148,'Results Summary (ADIT)'!B44,'Accumulated Deferred Income Tax'!$AE$148)</f>
        <v>0</v>
      </c>
    </row>
    <row r="45" spans="1:15">
      <c r="A45" s="154"/>
      <c r="B45" s="154"/>
      <c r="C45" s="154"/>
      <c r="D45" s="153">
        <f t="shared" ref="D45:H45" si="13">SUBTOTAL(9,D30:D44)</f>
        <v>-180666977</v>
      </c>
      <c r="E45" s="153">
        <f t="shared" si="13"/>
        <v>-180666977</v>
      </c>
      <c r="F45" s="153">
        <f t="shared" si="13"/>
        <v>0</v>
      </c>
      <c r="G45" s="153">
        <f t="shared" si="13"/>
        <v>-180666977</v>
      </c>
      <c r="H45" s="153">
        <f t="shared" si="13"/>
        <v>0</v>
      </c>
    </row>
    <row r="46" spans="1:15" ht="12.75" customHeight="1">
      <c r="A46" s="546">
        <v>282</v>
      </c>
      <c r="B46" s="12" t="s">
        <v>17</v>
      </c>
      <c r="C46" s="12" t="str">
        <f t="shared" ref="C46:C54" si="14">CONCATENATE("282",B46)</f>
        <v>282CA</v>
      </c>
      <c r="D46" s="57">
        <f>SUMIF('Accumulated Deferred Income Tax'!$AA$149:$AA$225,'Results Summary (ADIT)'!B46,'Accumulated Deferred Income Tax'!$U$149:$U$225)</f>
        <v>-3655594</v>
      </c>
      <c r="E46" s="56">
        <f t="shared" ref="E46:E54" si="15">SUM(D46:D46)</f>
        <v>-3655594</v>
      </c>
      <c r="F46" s="57">
        <f>SUMIF('Accumulated Deferred Income Tax'!$AA$149:$AA$225,'Results Summary (ADIT)'!B46,'Accumulated Deferred Income Tax'!$Y$149:$Y$225)</f>
        <v>-208242</v>
      </c>
      <c r="G46" s="58">
        <f t="shared" ref="G46:G54" si="16">SUM(E46:F46)</f>
        <v>-3863836</v>
      </c>
      <c r="H46" s="57">
        <f>SUMIF('Accumulated Deferred Income Tax'!$AA$149:$AA$225,'Results Summary (ADIT)'!B46,'Accumulated Deferred Income Tax'!$AE$149:$AE$225)</f>
        <v>0</v>
      </c>
    </row>
    <row r="47" spans="1:15">
      <c r="A47" s="547"/>
      <c r="B47" s="15" t="s">
        <v>72</v>
      </c>
      <c r="C47" s="15" t="str">
        <f t="shared" si="14"/>
        <v>282FERC</v>
      </c>
      <c r="D47" s="59">
        <f>SUMIF('Accumulated Deferred Income Tax'!$AA$149:$AA$225,'Results Summary (ADIT)'!B47,'Accumulated Deferred Income Tax'!$U$149:$U$225)</f>
        <v>-2041317</v>
      </c>
      <c r="E47" s="42">
        <f t="shared" si="15"/>
        <v>-2041317</v>
      </c>
      <c r="F47" s="59">
        <f>SUMIF('Accumulated Deferred Income Tax'!$AA$149:$AA$225,'Results Summary (ADIT)'!B47,'Accumulated Deferred Income Tax'!$Y$149:$Y$225)</f>
        <v>0</v>
      </c>
      <c r="G47" s="42">
        <f t="shared" si="16"/>
        <v>-2041317</v>
      </c>
      <c r="H47" s="59">
        <f>SUMIF('Accumulated Deferred Income Tax'!$AA$149:$AA$225,'Results Summary (ADIT)'!B47,'Accumulated Deferred Income Tax'!$AE$149:$AE$225)</f>
        <v>0</v>
      </c>
    </row>
    <row r="48" spans="1:15">
      <c r="A48" s="547"/>
      <c r="B48" s="17" t="s">
        <v>29</v>
      </c>
      <c r="C48" s="17" t="str">
        <f t="shared" si="14"/>
        <v>282IDU</v>
      </c>
      <c r="D48" s="59">
        <f>SUMIF('Accumulated Deferred Income Tax'!$AA$149:$AA$225,'Results Summary (ADIT)'!B48,'Accumulated Deferred Income Tax'!$U$149:$U$225)</f>
        <v>-5657380</v>
      </c>
      <c r="E48" s="42">
        <f t="shared" si="15"/>
        <v>-5657380</v>
      </c>
      <c r="F48" s="59">
        <f>SUMIF('Accumulated Deferred Income Tax'!$AA$149:$AA$225,'Results Summary (ADIT)'!B48,'Accumulated Deferred Income Tax'!$Y$149:$Y$225)</f>
        <v>72678</v>
      </c>
      <c r="G48" s="42">
        <f t="shared" si="16"/>
        <v>-5584702</v>
      </c>
      <c r="H48" s="59">
        <f>SUMIF('Accumulated Deferred Income Tax'!$AA$149:$AA$225,'Results Summary (ADIT)'!B48,'Accumulated Deferred Income Tax'!$AE$149:$AE$225)</f>
        <v>0</v>
      </c>
    </row>
    <row r="49" spans="1:8">
      <c r="A49" s="547"/>
      <c r="B49" s="17" t="s">
        <v>30</v>
      </c>
      <c r="C49" s="17" t="str">
        <f t="shared" si="14"/>
        <v>282OR</v>
      </c>
      <c r="D49" s="59">
        <f>SUMIF('Accumulated Deferred Income Tax'!$AA$149:$AA$225,'Results Summary (ADIT)'!B49,'Accumulated Deferred Income Tax'!$U$149:$U$225)</f>
        <v>-50526617</v>
      </c>
      <c r="E49" s="42">
        <f t="shared" si="15"/>
        <v>-50526617</v>
      </c>
      <c r="F49" s="59">
        <f>SUMIF('Accumulated Deferred Income Tax'!$AA$149:$AA$225,'Results Summary (ADIT)'!B49,'Accumulated Deferred Income Tax'!$Y$149:$Y$225)</f>
        <v>-582977</v>
      </c>
      <c r="G49" s="42">
        <f t="shared" si="16"/>
        <v>-51109594</v>
      </c>
      <c r="H49" s="59">
        <f>SUMIF('Accumulated Deferred Income Tax'!$AA$149:$AA$225,'Results Summary (ADIT)'!B49,'Accumulated Deferred Income Tax'!$AE$149:$AE$225)</f>
        <v>0</v>
      </c>
    </row>
    <row r="50" spans="1:8">
      <c r="A50" s="547"/>
      <c r="B50" s="18" t="s">
        <v>15</v>
      </c>
      <c r="C50" s="17" t="str">
        <f t="shared" si="14"/>
        <v>282OTHER</v>
      </c>
      <c r="D50" s="59">
        <f>SUMIF('Accumulated Deferred Income Tax'!$AA$149:$AA$225,'Results Summary (ADIT)'!B50,'Accumulated Deferred Income Tax'!$U$149:$U$225)</f>
        <v>4654041</v>
      </c>
      <c r="E50" s="42">
        <f t="shared" si="15"/>
        <v>4654041</v>
      </c>
      <c r="F50" s="59">
        <f>SUMIF('Accumulated Deferred Income Tax'!$AA$149:$AA$225,'Results Summary (ADIT)'!B50,'Accumulated Deferred Income Tax'!$Y$149:$Y$225)</f>
        <v>0</v>
      </c>
      <c r="G50" s="42">
        <f t="shared" si="16"/>
        <v>4654041</v>
      </c>
      <c r="H50" s="59">
        <f>SUMIF('Accumulated Deferred Income Tax'!$AA$149:$AA$225,'Results Summary (ADIT)'!B50,'Accumulated Deferred Income Tax'!$AE$149:$AE$225)</f>
        <v>0</v>
      </c>
    </row>
    <row r="51" spans="1:8">
      <c r="A51" s="547"/>
      <c r="B51" s="18" t="s">
        <v>28</v>
      </c>
      <c r="C51" s="17" t="str">
        <f t="shared" si="14"/>
        <v>282UT</v>
      </c>
      <c r="D51" s="59">
        <f>SUMIF('Accumulated Deferred Income Tax'!$AA$149:$AA$225,'Results Summary (ADIT)'!B51,'Accumulated Deferred Income Tax'!$U$149:$U$225)</f>
        <v>-2211369</v>
      </c>
      <c r="E51" s="42">
        <f t="shared" si="15"/>
        <v>-2211369</v>
      </c>
      <c r="F51" s="59">
        <f>SUMIF('Accumulated Deferred Income Tax'!$AA$149:$AA$225,'Results Summary (ADIT)'!B51,'Accumulated Deferred Income Tax'!$Y$149:$Y$225)</f>
        <v>613094</v>
      </c>
      <c r="G51" s="42">
        <f t="shared" si="16"/>
        <v>-1598275</v>
      </c>
      <c r="H51" s="59">
        <f>SUMIF('Accumulated Deferred Income Tax'!$AA$149:$AA$225,'Results Summary (ADIT)'!B51,'Accumulated Deferred Income Tax'!$AE$149:$AE$225)</f>
        <v>0</v>
      </c>
    </row>
    <row r="52" spans="1:8">
      <c r="A52" s="547"/>
      <c r="B52" s="17" t="s">
        <v>26</v>
      </c>
      <c r="C52" s="17" t="str">
        <f t="shared" si="14"/>
        <v>282WA</v>
      </c>
      <c r="D52" s="59">
        <f>SUMIF('Accumulated Deferred Income Tax'!$AA$149:$AA$225,'Results Summary (ADIT)'!B52,'Accumulated Deferred Income Tax'!$U$149:$U$225)</f>
        <v>-11302222</v>
      </c>
      <c r="E52" s="42">
        <f t="shared" si="15"/>
        <v>-11302222</v>
      </c>
      <c r="F52" s="59">
        <f>SUMIF('Accumulated Deferred Income Tax'!$AA$149:$AA$225,'Results Summary (ADIT)'!B52,'Accumulated Deferred Income Tax'!$Y$149:$Y$225)</f>
        <v>44315766</v>
      </c>
      <c r="G52" s="42">
        <f t="shared" si="16"/>
        <v>33013544</v>
      </c>
      <c r="H52" s="59">
        <f>SUMIF('Accumulated Deferred Income Tax'!$AA$149:$AA$225,'Results Summary (ADIT)'!B52,'Accumulated Deferred Income Tax'!$AE$149:$AE$225)</f>
        <v>-233703481</v>
      </c>
    </row>
    <row r="53" spans="1:8">
      <c r="A53" s="547"/>
      <c r="B53" s="17" t="s">
        <v>32</v>
      </c>
      <c r="C53" s="17" t="str">
        <f t="shared" si="14"/>
        <v>282WYP</v>
      </c>
      <c r="D53" s="59">
        <f>SUMIF('Accumulated Deferred Income Tax'!$AA$149:$AA$225,'Results Summary (ADIT)'!B53,'Accumulated Deferred Income Tax'!$U$149:$U$225)</f>
        <v>-21109905</v>
      </c>
      <c r="E53" s="42">
        <f t="shared" si="15"/>
        <v>-21109905</v>
      </c>
      <c r="F53" s="59">
        <f>SUMIF('Accumulated Deferred Income Tax'!$AA$149:$AA$225,'Results Summary (ADIT)'!B53,'Accumulated Deferred Income Tax'!$Y$149:$Y$225)</f>
        <v>-196190</v>
      </c>
      <c r="G53" s="42">
        <f t="shared" si="16"/>
        <v>-21306095</v>
      </c>
      <c r="H53" s="59">
        <f>SUMIF('Accumulated Deferred Income Tax'!$AA$149:$AA$225,'Results Summary (ADIT)'!B53,'Accumulated Deferred Income Tax'!$AE$149:$AE$225)</f>
        <v>0</v>
      </c>
    </row>
    <row r="54" spans="1:8">
      <c r="A54" s="547"/>
      <c r="B54" s="19" t="s">
        <v>80</v>
      </c>
      <c r="C54" s="19" t="str">
        <f t="shared" si="14"/>
        <v>282WYU</v>
      </c>
      <c r="D54" s="59">
        <f>SUMIF('Accumulated Deferred Income Tax'!$AA$149:$AA$225,'Results Summary (ADIT)'!B54,'Accumulated Deferred Income Tax'!$U$149:$U$225)</f>
        <v>0</v>
      </c>
      <c r="E54" s="42">
        <f t="shared" si="15"/>
        <v>0</v>
      </c>
      <c r="F54" s="59">
        <f>SUMIF('Accumulated Deferred Income Tax'!$AA$149:$AA$225,'Results Summary (ADIT)'!B54,'Accumulated Deferred Income Tax'!$Y$149:$Y$225)</f>
        <v>0</v>
      </c>
      <c r="G54" s="43">
        <f t="shared" si="16"/>
        <v>0</v>
      </c>
      <c r="H54" s="59">
        <f>SUMIF('Accumulated Deferred Income Tax'!$AA$149:$AA$225,'Results Summary (ADIT)'!B54,'Accumulated Deferred Income Tax'!$AE$149:$AE$225)</f>
        <v>0</v>
      </c>
    </row>
    <row r="55" spans="1:8">
      <c r="A55" s="547"/>
      <c r="B55" s="10"/>
      <c r="C55" s="10"/>
      <c r="D55" s="153">
        <f>SUBTOTAL(9,D46:D54)</f>
        <v>-91850363</v>
      </c>
      <c r="E55" s="153">
        <f t="shared" ref="E55:H55" si="17">SUBTOTAL(9,E46:E54)</f>
        <v>-91850363</v>
      </c>
      <c r="F55" s="153">
        <f t="shared" si="17"/>
        <v>44014129</v>
      </c>
      <c r="G55" s="153">
        <f t="shared" si="17"/>
        <v>-47836234</v>
      </c>
      <c r="H55" s="153">
        <f t="shared" si="17"/>
        <v>-233703481</v>
      </c>
    </row>
    <row r="56" spans="1:8">
      <c r="A56" s="547"/>
      <c r="B56" s="12" t="s">
        <v>58</v>
      </c>
      <c r="C56" s="12" t="str">
        <f t="shared" ref="C56:C74" si="18">CONCATENATE("282",B56)</f>
        <v>282BADDEBT</v>
      </c>
      <c r="D56" s="59">
        <f>SUMIF('Accumulated Deferred Income Tax'!$AA$149:$AA$225,'Results Summary (ADIT)'!B56,'Accumulated Deferred Income Tax'!$U$149:$U$225)</f>
        <v>0</v>
      </c>
      <c r="E56" s="56">
        <f t="shared" ref="E56:E74" si="19">SUM(D56:D56)</f>
        <v>0</v>
      </c>
      <c r="F56" s="57">
        <f>SUMIF('Accumulated Deferred Income Tax'!$AA$149:$AA$225,'Results Summary (ADIT)'!B56,'Accumulated Deferred Income Tax'!$Y$149:$Y$225)</f>
        <v>0</v>
      </c>
      <c r="G56" s="58">
        <f t="shared" ref="G56:G74" si="20">SUM(E56:F56)</f>
        <v>0</v>
      </c>
      <c r="H56" s="57">
        <f>SUMIF('Accumulated Deferred Income Tax'!$AA$149:$AA$225,'Results Summary (ADIT)'!B56,'Accumulated Deferred Income Tax'!$AE$149:$AE$225)</f>
        <v>0</v>
      </c>
    </row>
    <row r="57" spans="1:8">
      <c r="A57" s="547"/>
      <c r="B57" s="413" t="s">
        <v>119</v>
      </c>
      <c r="C57" s="17" t="str">
        <f t="shared" si="18"/>
        <v>282CAEE</v>
      </c>
      <c r="D57" s="59">
        <f>SUMIF('Accumulated Deferred Income Tax'!$AA$149:$AA$225,'Results Summary (ADIT)'!B57,'Accumulated Deferred Income Tax'!$U$149:$U$225)</f>
        <v>154520</v>
      </c>
      <c r="E57" s="42">
        <f t="shared" si="19"/>
        <v>154520</v>
      </c>
      <c r="F57" s="59">
        <f>SUMIF('Accumulated Deferred Income Tax'!$AA$149:$AA$225,'Results Summary (ADIT)'!B57,'Accumulated Deferred Income Tax'!$Y$149:$Y$225)</f>
        <v>2563</v>
      </c>
      <c r="G57" s="42">
        <f t="shared" si="20"/>
        <v>157083</v>
      </c>
      <c r="H57" s="59">
        <f>SUMIF('Accumulated Deferred Income Tax'!$AA$149:$AA$225,'Results Summary (ADIT)'!B57,'Accumulated Deferred Income Tax'!$AE$149:$AE$225)</f>
        <v>0</v>
      </c>
    </row>
    <row r="58" spans="1:8">
      <c r="A58" s="547"/>
      <c r="B58" s="413" t="s">
        <v>162</v>
      </c>
      <c r="C58" s="17" t="str">
        <f t="shared" si="18"/>
        <v>282CAGE</v>
      </c>
      <c r="D58" s="59">
        <f>SUMIF('Accumulated Deferred Income Tax'!$AA$149:$AA$225,'Results Summary (ADIT)'!B58,'Accumulated Deferred Income Tax'!$U$149:$U$225)</f>
        <v>-956838</v>
      </c>
      <c r="E58" s="42">
        <f t="shared" si="19"/>
        <v>-956838</v>
      </c>
      <c r="F58" s="59">
        <f>SUMIF('Accumulated Deferred Income Tax'!$AA$149:$AA$225,'Results Summary (ADIT)'!B58,'Accumulated Deferred Income Tax'!$Y$149:$Y$225)</f>
        <v>16190835</v>
      </c>
      <c r="G58" s="42">
        <f t="shared" si="20"/>
        <v>15233997</v>
      </c>
      <c r="H58" s="59">
        <f>SUMIF('Accumulated Deferred Income Tax'!$AA$149:$AA$225,'Results Summary (ADIT)'!B58,'Accumulated Deferred Income Tax'!$AE$149:$AE$225)</f>
        <v>0</v>
      </c>
    </row>
    <row r="59" spans="1:8">
      <c r="A59" s="547"/>
      <c r="B59" s="413" t="s">
        <v>160</v>
      </c>
      <c r="C59" s="17" t="str">
        <f t="shared" si="18"/>
        <v>282CAGW</v>
      </c>
      <c r="D59" s="59">
        <f>SUMIF('Accumulated Deferred Income Tax'!$AA$149:$AA$225,'Results Summary (ADIT)'!B59,'Accumulated Deferred Income Tax'!$U$149:$U$225)</f>
        <v>0</v>
      </c>
      <c r="E59" s="42">
        <f t="shared" si="19"/>
        <v>0</v>
      </c>
      <c r="F59" s="59">
        <f>SUMIF('Accumulated Deferred Income Tax'!$AA$149:$AA$225,'Results Summary (ADIT)'!B59,'Accumulated Deferred Income Tax'!$Y$149:$Y$225)</f>
        <v>9760497</v>
      </c>
      <c r="G59" s="42">
        <f t="shared" si="20"/>
        <v>9760497</v>
      </c>
      <c r="H59" s="59">
        <f>SUMIF('Accumulated Deferred Income Tax'!$AA$149:$AA$225,'Results Summary (ADIT)'!B59,'Accumulated Deferred Income Tax'!$AE$149:$AE$225)</f>
        <v>2106041</v>
      </c>
    </row>
    <row r="60" spans="1:8">
      <c r="A60" s="547"/>
      <c r="B60" s="413" t="s">
        <v>20</v>
      </c>
      <c r="C60" s="17" t="str">
        <f t="shared" si="18"/>
        <v>282CIAC</v>
      </c>
      <c r="D60" s="59">
        <f>SUMIF('Accumulated Deferred Income Tax'!$AA$149:$AA$225,'Results Summary (ADIT)'!B60,'Accumulated Deferred Income Tax'!$U$149:$U$225)</f>
        <v>0</v>
      </c>
      <c r="E60" s="42">
        <f t="shared" si="19"/>
        <v>0</v>
      </c>
      <c r="F60" s="59">
        <f>SUMIF('Accumulated Deferred Income Tax'!$AA$149:$AA$225,'Results Summary (ADIT)'!B60,'Accumulated Deferred Income Tax'!$Y$149:$Y$225)</f>
        <v>-35987</v>
      </c>
      <c r="G60" s="42">
        <f t="shared" si="20"/>
        <v>-35987</v>
      </c>
      <c r="H60" s="59">
        <f>SUMIF('Accumulated Deferred Income Tax'!$AA$149:$AA$225,'Results Summary (ADIT)'!B60,'Accumulated Deferred Income Tax'!$AE$149:$AE$225)</f>
        <v>0</v>
      </c>
    </row>
    <row r="61" spans="1:8">
      <c r="A61" s="547"/>
      <c r="B61" s="17" t="s">
        <v>60</v>
      </c>
      <c r="C61" s="17" t="str">
        <f t="shared" si="18"/>
        <v>282CN</v>
      </c>
      <c r="D61" s="59">
        <f>SUMIF('Accumulated Deferred Income Tax'!$AA$149:$AA$225,'Results Summary (ADIT)'!B61,'Accumulated Deferred Income Tax'!$U$149:$U$225)</f>
        <v>0</v>
      </c>
      <c r="E61" s="42">
        <f t="shared" si="19"/>
        <v>0</v>
      </c>
      <c r="F61" s="59">
        <f>SUMIF('Accumulated Deferred Income Tax'!$AA$149:$AA$225,'Results Summary (ADIT)'!B61,'Accumulated Deferred Income Tax'!$Y$149:$Y$225)</f>
        <v>89607</v>
      </c>
      <c r="G61" s="42">
        <f t="shared" si="20"/>
        <v>89607</v>
      </c>
      <c r="H61" s="59">
        <f>SUMIF('Accumulated Deferred Income Tax'!$AA$149:$AA$225,'Results Summary (ADIT)'!B61,'Accumulated Deferred Income Tax'!$AE$149:$AE$225)</f>
        <v>6215</v>
      </c>
    </row>
    <row r="62" spans="1:8">
      <c r="A62" s="547"/>
      <c r="B62" s="15" t="s">
        <v>239</v>
      </c>
      <c r="C62" s="17" t="str">
        <f t="shared" si="18"/>
        <v>282DITBAL</v>
      </c>
      <c r="D62" s="59">
        <f>SUMIF('Accumulated Deferred Income Tax'!$AA$149:$AA$225,'Results Summary (ADIT)'!B62,'Accumulated Deferred Income Tax'!$U$149:$U$225)</f>
        <v>-4148155842</v>
      </c>
      <c r="E62" s="42">
        <f t="shared" si="19"/>
        <v>-4148155842</v>
      </c>
      <c r="F62" s="59">
        <f>SUMIF('Accumulated Deferred Income Tax'!$AA$149:$AA$225,'Results Summary (ADIT)'!B62,'Accumulated Deferred Income Tax'!$Y$149:$Y$225)</f>
        <v>0</v>
      </c>
      <c r="G62" s="42">
        <f t="shared" si="20"/>
        <v>-4148155842</v>
      </c>
      <c r="H62" s="59">
        <f>SUMIF('Accumulated Deferred Income Tax'!$AA$149:$AA$225,'Results Summary (ADIT)'!B62,'Accumulated Deferred Income Tax'!$AE$149:$AE$225)</f>
        <v>0</v>
      </c>
    </row>
    <row r="63" spans="1:8">
      <c r="A63" s="547"/>
      <c r="B63" s="17" t="s">
        <v>49</v>
      </c>
      <c r="C63" s="17" t="str">
        <f t="shared" si="18"/>
        <v>282GPS</v>
      </c>
      <c r="D63" s="59">
        <f>SUMIF('Accumulated Deferred Income Tax'!$AA$149:$AA$225,'Results Summary (ADIT)'!B63,'Accumulated Deferred Income Tax'!$U$149:$U$225)</f>
        <v>0</v>
      </c>
      <c r="E63" s="42">
        <f t="shared" si="19"/>
        <v>0</v>
      </c>
      <c r="F63" s="59">
        <f>SUMIF('Accumulated Deferred Income Tax'!$AA$149:$AA$225,'Results Summary (ADIT)'!B63,'Accumulated Deferred Income Tax'!$Y$149:$Y$225)</f>
        <v>0</v>
      </c>
      <c r="G63" s="42">
        <f t="shared" si="20"/>
        <v>0</v>
      </c>
      <c r="H63" s="59">
        <f>SUMIF('Accumulated Deferred Income Tax'!$AA$149:$AA$225,'Results Summary (ADIT)'!B63,'Accumulated Deferred Income Tax'!$AE$149:$AE$225)</f>
        <v>0</v>
      </c>
    </row>
    <row r="64" spans="1:8">
      <c r="A64" s="547"/>
      <c r="B64" s="17" t="s">
        <v>170</v>
      </c>
      <c r="C64" s="17" t="str">
        <f t="shared" si="18"/>
        <v>282JBE</v>
      </c>
      <c r="D64" s="59">
        <f>SUMIF('Accumulated Deferred Income Tax'!$AA$149:$AA$225,'Results Summary (ADIT)'!B64,'Accumulated Deferred Income Tax'!$U$149:$U$225)</f>
        <v>-8026757</v>
      </c>
      <c r="E64" s="42">
        <f t="shared" si="19"/>
        <v>-8026757</v>
      </c>
      <c r="F64" s="59">
        <f>SUMIF('Accumulated Deferred Income Tax'!$AA$149:$AA$225,'Results Summary (ADIT)'!B64,'Accumulated Deferred Income Tax'!$Y$149:$Y$225)</f>
        <v>0</v>
      </c>
      <c r="G64" s="42">
        <f t="shared" si="20"/>
        <v>-8026757</v>
      </c>
      <c r="H64" s="59">
        <f>SUMIF('Accumulated Deferred Income Tax'!$AA$149:$AA$225,'Results Summary (ADIT)'!B64,'Accumulated Deferred Income Tax'!$AE$149:$AE$225)</f>
        <v>-1813371</v>
      </c>
    </row>
    <row r="65" spans="1:13">
      <c r="A65" s="547"/>
      <c r="B65" s="17" t="s">
        <v>168</v>
      </c>
      <c r="C65" s="17" t="str">
        <f t="shared" si="18"/>
        <v>282JBG</v>
      </c>
      <c r="D65" s="59">
        <f>SUMIF('Accumulated Deferred Income Tax'!$AA$149:$AA$225,'Results Summary (ADIT)'!B65,'Accumulated Deferred Income Tax'!$U$149:$U$225)</f>
        <v>0</v>
      </c>
      <c r="E65" s="42">
        <f t="shared" si="19"/>
        <v>0</v>
      </c>
      <c r="F65" s="59">
        <f>SUMIF('Accumulated Deferred Income Tax'!$AA$149:$AA$225,'Results Summary (ADIT)'!B65,'Accumulated Deferred Income Tax'!$Y$149:$Y$225)</f>
        <v>42108074</v>
      </c>
      <c r="G65" s="42">
        <f t="shared" si="20"/>
        <v>42108074</v>
      </c>
      <c r="H65" s="59">
        <f>SUMIF('Accumulated Deferred Income Tax'!$AA$149:$AA$225,'Results Summary (ADIT)'!B65,'Accumulated Deferred Income Tax'!$AE$149:$AE$225)</f>
        <v>9086341</v>
      </c>
    </row>
    <row r="66" spans="1:13">
      <c r="A66" s="547"/>
      <c r="B66" s="18" t="s">
        <v>331</v>
      </c>
      <c r="C66" s="17" t="str">
        <f t="shared" si="18"/>
        <v>282NREG</v>
      </c>
      <c r="D66" s="59">
        <f>SUMIF('Accumulated Deferred Income Tax'!$AA$149:$AA$225,'Results Summary (ADIT)'!B66,'Accumulated Deferred Income Tax'!$U$149:$U$225)</f>
        <v>1316958988</v>
      </c>
      <c r="E66" s="42">
        <f t="shared" si="19"/>
        <v>1316958988</v>
      </c>
      <c r="F66" s="59">
        <f>SUMIF('Accumulated Deferred Income Tax'!$AA$149:$AA$225,'Results Summary (ADIT)'!B66,'Accumulated Deferred Income Tax'!$Y$149:$Y$225)</f>
        <v>0</v>
      </c>
      <c r="G66" s="42">
        <f t="shared" si="20"/>
        <v>1316958988</v>
      </c>
      <c r="H66" s="59">
        <f>SUMIF('Accumulated Deferred Income Tax'!$AA$149:$AA$225,'Results Summary (ADIT)'!B66,'Accumulated Deferred Income Tax'!$AE$149:$AE$225)</f>
        <v>0</v>
      </c>
    </row>
    <row r="67" spans="1:13">
      <c r="A67" s="547"/>
      <c r="B67" s="18" t="s">
        <v>11</v>
      </c>
      <c r="C67" s="17" t="str">
        <f t="shared" si="18"/>
        <v>282SCHMDEXP</v>
      </c>
      <c r="D67" s="59">
        <f>SUMIF('Accumulated Deferred Income Tax'!$AA$149:$AA$225,'Results Summary (ADIT)'!B67,'Accumulated Deferred Income Tax'!$U$149:$U$225)</f>
        <v>0</v>
      </c>
      <c r="E67" s="42">
        <f t="shared" si="19"/>
        <v>0</v>
      </c>
      <c r="F67" s="59">
        <f>SUMIF('Accumulated Deferred Income Tax'!$AA$149:$AA$225,'Results Summary (ADIT)'!B67,'Accumulated Deferred Income Tax'!$Y$149:$Y$225)</f>
        <v>0</v>
      </c>
      <c r="G67" s="42">
        <f t="shared" si="20"/>
        <v>0</v>
      </c>
      <c r="H67" s="59">
        <f>SUMIF('Accumulated Deferred Income Tax'!$AA$149:$AA$225,'Results Summary (ADIT)'!B67,'Accumulated Deferred Income Tax'!$AE$149:$AE$225)</f>
        <v>0</v>
      </c>
    </row>
    <row r="68" spans="1:13">
      <c r="A68" s="547"/>
      <c r="B68" s="18" t="s">
        <v>13</v>
      </c>
      <c r="C68" s="17" t="str">
        <f t="shared" si="18"/>
        <v>282SE</v>
      </c>
      <c r="D68" s="59">
        <f>SUMIF('Accumulated Deferred Income Tax'!$AA$149:$AA$225,'Results Summary (ADIT)'!B68,'Accumulated Deferred Income Tax'!$U$149:$U$225)</f>
        <v>0</v>
      </c>
      <c r="E68" s="42">
        <f t="shared" si="19"/>
        <v>0</v>
      </c>
      <c r="F68" s="59">
        <f>SUMIF('Accumulated Deferred Income Tax'!$AA$149:$AA$225,'Results Summary (ADIT)'!B68,'Accumulated Deferred Income Tax'!$Y$149:$Y$225)</f>
        <v>0</v>
      </c>
      <c r="G68" s="42">
        <f t="shared" si="20"/>
        <v>0</v>
      </c>
      <c r="H68" s="59">
        <f>SUMIF('Accumulated Deferred Income Tax'!$AA$149:$AA$225,'Results Summary (ADIT)'!B68,'Accumulated Deferred Income Tax'!$AE$149:$AE$225)</f>
        <v>0</v>
      </c>
    </row>
    <row r="69" spans="1:13">
      <c r="A69" s="547"/>
      <c r="B69" s="17" t="s">
        <v>19</v>
      </c>
      <c r="C69" s="17" t="str">
        <f t="shared" si="18"/>
        <v>282SG</v>
      </c>
      <c r="D69" s="59">
        <f>SUMIF('Accumulated Deferred Income Tax'!$AA$149:$AA$225,'Results Summary (ADIT)'!B69,'Accumulated Deferred Income Tax'!$U$149:$U$225)</f>
        <v>0</v>
      </c>
      <c r="E69" s="42">
        <f t="shared" si="19"/>
        <v>0</v>
      </c>
      <c r="F69" s="59">
        <f>SUMIF('Accumulated Deferred Income Tax'!$AA$149:$AA$225,'Results Summary (ADIT)'!B69,'Accumulated Deferred Income Tax'!$Y$149:$Y$225)</f>
        <v>-91210420</v>
      </c>
      <c r="G69" s="42">
        <f t="shared" si="20"/>
        <v>-91210420</v>
      </c>
      <c r="H69" s="59">
        <f>SUMIF('Accumulated Deferred Income Tax'!$AA$149:$AA$225,'Results Summary (ADIT)'!B69,'Accumulated Deferred Income Tax'!$AE$149:$AE$225)</f>
        <v>-5873055</v>
      </c>
    </row>
    <row r="70" spans="1:13">
      <c r="A70" s="547"/>
      <c r="B70" s="18" t="s">
        <v>16</v>
      </c>
      <c r="C70" s="17" t="str">
        <f t="shared" si="18"/>
        <v>282SNP</v>
      </c>
      <c r="D70" s="59">
        <f>SUMIF('Accumulated Deferred Income Tax'!$AA$149:$AA$225,'Results Summary (ADIT)'!B70,'Accumulated Deferred Income Tax'!$U$149:$U$225)</f>
        <v>0</v>
      </c>
      <c r="E70" s="42">
        <f t="shared" si="19"/>
        <v>0</v>
      </c>
      <c r="F70" s="59">
        <f>SUMIF('Accumulated Deferred Income Tax'!$AA$149:$AA$225,'Results Summary (ADIT)'!B70,'Accumulated Deferred Income Tax'!$Y$149:$Y$225)</f>
        <v>2682998</v>
      </c>
      <c r="G70" s="42">
        <f t="shared" si="20"/>
        <v>2682998</v>
      </c>
      <c r="H70" s="59">
        <f>SUMIF('Accumulated Deferred Income Tax'!$AA$149:$AA$225,'Results Summary (ADIT)'!B70,'Accumulated Deferred Income Tax'!$AE$149:$AE$225)</f>
        <v>0</v>
      </c>
    </row>
    <row r="71" spans="1:13">
      <c r="A71" s="547"/>
      <c r="B71" s="17" t="s">
        <v>21</v>
      </c>
      <c r="C71" s="17" t="str">
        <f t="shared" si="18"/>
        <v>282SNPD</v>
      </c>
      <c r="D71" s="59">
        <f>SUMIF('Accumulated Deferred Income Tax'!$AA$149:$AA$225,'Results Summary (ADIT)'!B71,'Accumulated Deferred Income Tax'!$U$149:$U$225)</f>
        <v>0</v>
      </c>
      <c r="E71" s="42">
        <f t="shared" si="19"/>
        <v>0</v>
      </c>
      <c r="F71" s="59">
        <f>SUMIF('Accumulated Deferred Income Tax'!$AA$149:$AA$225,'Results Summary (ADIT)'!B71,'Accumulated Deferred Income Tax'!$Y$149:$Y$225)</f>
        <v>405626</v>
      </c>
      <c r="G71" s="42">
        <f t="shared" si="20"/>
        <v>405626</v>
      </c>
      <c r="H71" s="59">
        <f>SUMIF('Accumulated Deferred Income Tax'!$AA$149:$AA$225,'Results Summary (ADIT)'!B71,'Accumulated Deferred Income Tax'!$AE$149:$AE$225)</f>
        <v>0</v>
      </c>
    </row>
    <row r="72" spans="1:13">
      <c r="A72" s="547"/>
      <c r="B72" s="18" t="s">
        <v>10</v>
      </c>
      <c r="C72" s="17" t="str">
        <f t="shared" si="18"/>
        <v>282SO</v>
      </c>
      <c r="D72" s="59">
        <f>SUMIF('Accumulated Deferred Income Tax'!$AA$149:$AA$225,'Results Summary (ADIT)'!B72,'Accumulated Deferred Income Tax'!$U$149:$U$225)</f>
        <v>-1010291</v>
      </c>
      <c r="E72" s="42">
        <f t="shared" si="19"/>
        <v>-1010291</v>
      </c>
      <c r="F72" s="59">
        <f>SUMIF('Accumulated Deferred Income Tax'!$AA$149:$AA$225,'Results Summary (ADIT)'!B72,'Accumulated Deferred Income Tax'!$Y$149:$Y$225)</f>
        <v>-2109101</v>
      </c>
      <c r="G72" s="42">
        <f t="shared" si="20"/>
        <v>-3119392</v>
      </c>
      <c r="H72" s="59">
        <f>SUMIF('Accumulated Deferred Income Tax'!$AA$149:$AA$225,'Results Summary (ADIT)'!B72,'Accumulated Deferred Income Tax'!$AE$149:$AE$225)</f>
        <v>-236184</v>
      </c>
      <c r="J72" s="393"/>
      <c r="K72" s="3"/>
    </row>
    <row r="73" spans="1:13">
      <c r="A73" s="547"/>
      <c r="B73" s="17" t="s">
        <v>45</v>
      </c>
      <c r="C73" s="17" t="str">
        <f t="shared" si="18"/>
        <v>282TAXDEPR</v>
      </c>
      <c r="D73" s="59">
        <f>SUMIF('Accumulated Deferred Income Tax'!$AA$149:$AA$225,'Results Summary (ADIT)'!B73,'Accumulated Deferred Income Tax'!$U$149:$U$225)</f>
        <v>0</v>
      </c>
      <c r="E73" s="42">
        <f t="shared" si="19"/>
        <v>0</v>
      </c>
      <c r="F73" s="59">
        <f>SUMIF('Accumulated Deferred Income Tax'!$AA$149:$AA$225,'Results Summary (ADIT)'!B73,'Accumulated Deferred Income Tax'!$Y$149:$Y$225)</f>
        <v>0</v>
      </c>
      <c r="G73" s="42">
        <f t="shared" si="20"/>
        <v>0</v>
      </c>
      <c r="H73" s="59">
        <f>SUMIF('Accumulated Deferred Income Tax'!$AA$149:$AA$225,'Results Summary (ADIT)'!B73,'Accumulated Deferred Income Tax'!$AE$149:$AE$225)</f>
        <v>0</v>
      </c>
    </row>
    <row r="74" spans="1:13">
      <c r="A74" s="548"/>
      <c r="B74" s="22" t="s">
        <v>40</v>
      </c>
      <c r="C74" s="22" t="str">
        <f t="shared" si="18"/>
        <v>282TROJD</v>
      </c>
      <c r="D74" s="59">
        <f>SUMIF('Accumulated Deferred Income Tax'!$AA$149:$AA$225,'Results Summary (ADIT)'!B74,'Accumulated Deferred Income Tax'!$U$149:$U$225)</f>
        <v>0</v>
      </c>
      <c r="E74" s="42">
        <f t="shared" si="19"/>
        <v>0</v>
      </c>
      <c r="F74" s="59">
        <f>SUMIF('Accumulated Deferred Income Tax'!$AA$149:$AA$225,'Results Summary (ADIT)'!B74,'Accumulated Deferred Income Tax'!$Y$149:$Y$225)</f>
        <v>0</v>
      </c>
      <c r="G74" s="43">
        <f t="shared" si="20"/>
        <v>0</v>
      </c>
      <c r="H74" s="59">
        <f>SUMIF('Accumulated Deferred Income Tax'!$AA$149:$AA$225,'Results Summary (ADIT)'!B74,'Accumulated Deferred Income Tax'!$AE$149:$AE$225)</f>
        <v>0</v>
      </c>
    </row>
    <row r="75" spans="1:13">
      <c r="A75" s="154"/>
      <c r="B75" s="154"/>
      <c r="C75" s="154"/>
      <c r="D75" s="153">
        <f t="shared" ref="D75:H75" si="21">SUBTOTAL(9,D46:D74)</f>
        <v>-2932886583</v>
      </c>
      <c r="E75" s="153">
        <f t="shared" si="21"/>
        <v>-2932886583</v>
      </c>
      <c r="F75" s="153">
        <f t="shared" si="21"/>
        <v>21898821</v>
      </c>
      <c r="G75" s="153">
        <f t="shared" si="21"/>
        <v>-2910987762</v>
      </c>
      <c r="H75" s="153">
        <f t="shared" si="21"/>
        <v>-230427494</v>
      </c>
      <c r="M75" s="3"/>
    </row>
    <row r="76" spans="1:13" ht="12.75" customHeight="1">
      <c r="A76" s="546">
        <v>283</v>
      </c>
      <c r="B76" s="12" t="s">
        <v>17</v>
      </c>
      <c r="C76" s="12" t="str">
        <f t="shared" ref="C76:C84" si="22">CONCATENATE("283",B76)</f>
        <v>283CA</v>
      </c>
      <c r="D76" s="59">
        <f>SUMIF('Accumulated Deferred Income Tax'!$AA$228:$AA$341,'Results Summary (ADIT)'!B76,'Accumulated Deferred Income Tax'!$U$228:$U$341)</f>
        <v>620358</v>
      </c>
      <c r="E76" s="56">
        <f t="shared" ref="E76:E84" si="23">SUM(D76:D76)</f>
        <v>620358</v>
      </c>
      <c r="F76" s="59">
        <f>SUMIF('Accumulated Deferred Income Tax'!$AA$228:$AA$341,'Results Summary (ADIT)'!B76,'Accumulated Deferred Income Tax'!$Y$228:$Y$341)</f>
        <v>0</v>
      </c>
      <c r="G76" s="58">
        <f t="shared" ref="G76:G84" si="24">SUM(E76:F76)</f>
        <v>620358</v>
      </c>
      <c r="H76" s="59">
        <f>SUMIF('Accumulated Deferred Income Tax'!$AA$228:$AA$341,'Results Summary (ADIT)'!B76,'Accumulated Deferred Income Tax'!$AE$228:$AE$341)</f>
        <v>0</v>
      </c>
    </row>
    <row r="77" spans="1:13">
      <c r="A77" s="547"/>
      <c r="B77" s="15" t="s">
        <v>72</v>
      </c>
      <c r="C77" s="17" t="str">
        <f t="shared" si="22"/>
        <v>283FERC</v>
      </c>
      <c r="D77" s="59">
        <f>SUMIF('Accumulated Deferred Income Tax'!$AA$228:$AA$341,'Results Summary (ADIT)'!B77,'Accumulated Deferred Income Tax'!$U$228:$U$341)</f>
        <v>0</v>
      </c>
      <c r="E77" s="42">
        <f t="shared" si="23"/>
        <v>0</v>
      </c>
      <c r="F77" s="59">
        <f>SUMIF('Accumulated Deferred Income Tax'!$AA$228:$AA$341,'Results Summary (ADIT)'!B77,'Accumulated Deferred Income Tax'!$Y$228:$Y$341)</f>
        <v>0</v>
      </c>
      <c r="G77" s="42">
        <f t="shared" si="24"/>
        <v>0</v>
      </c>
      <c r="H77" s="59">
        <f>SUMIF('Accumulated Deferred Income Tax'!$AA$228:$AA$341,'Results Summary (ADIT)'!B77,'Accumulated Deferred Income Tax'!$AE$228:$AE$341)</f>
        <v>0</v>
      </c>
    </row>
    <row r="78" spans="1:13">
      <c r="A78" s="547"/>
      <c r="B78" s="17" t="s">
        <v>29</v>
      </c>
      <c r="C78" s="17" t="str">
        <f t="shared" si="22"/>
        <v>283IDU</v>
      </c>
      <c r="D78" s="59">
        <f>SUMIF('Accumulated Deferred Income Tax'!$AA$228:$AA$341,'Results Summary (ADIT)'!B78,'Accumulated Deferred Income Tax'!$U$228:$U$341)</f>
        <v>70594</v>
      </c>
      <c r="E78" s="42">
        <f t="shared" si="23"/>
        <v>70594</v>
      </c>
      <c r="F78" s="59">
        <f>SUMIF('Accumulated Deferred Income Tax'!$AA$228:$AA$341,'Results Summary (ADIT)'!B78,'Accumulated Deferred Income Tax'!$Y$228:$Y$341)</f>
        <v>0</v>
      </c>
      <c r="G78" s="42">
        <f t="shared" si="24"/>
        <v>70594</v>
      </c>
      <c r="H78" s="59">
        <f>SUMIF('Accumulated Deferred Income Tax'!$AA$228:$AA$341,'Results Summary (ADIT)'!B78,'Accumulated Deferred Income Tax'!$AE$228:$AE$341)</f>
        <v>0</v>
      </c>
    </row>
    <row r="79" spans="1:13">
      <c r="A79" s="547"/>
      <c r="B79" s="17" t="s">
        <v>30</v>
      </c>
      <c r="C79" s="17" t="str">
        <f t="shared" si="22"/>
        <v>283OR</v>
      </c>
      <c r="D79" s="59">
        <f>SUMIF('Accumulated Deferred Income Tax'!$AA$228:$AA$341,'Results Summary (ADIT)'!B79,'Accumulated Deferred Income Tax'!$U$228:$U$341)</f>
        <v>-340845</v>
      </c>
      <c r="E79" s="42">
        <f t="shared" si="23"/>
        <v>-340845</v>
      </c>
      <c r="F79" s="59">
        <f>SUMIF('Accumulated Deferred Income Tax'!$AA$228:$AA$341,'Results Summary (ADIT)'!B79,'Accumulated Deferred Income Tax'!$Y$228:$Y$341)</f>
        <v>0</v>
      </c>
      <c r="G79" s="42">
        <f t="shared" si="24"/>
        <v>-340845</v>
      </c>
      <c r="H79" s="59">
        <f>SUMIF('Accumulated Deferred Income Tax'!$AA$228:$AA$341,'Results Summary (ADIT)'!B79,'Accumulated Deferred Income Tax'!$AE$228:$AE$341)</f>
        <v>0</v>
      </c>
    </row>
    <row r="80" spans="1:13">
      <c r="A80" s="547"/>
      <c r="B80" s="18" t="s">
        <v>15</v>
      </c>
      <c r="C80" s="17" t="str">
        <f t="shared" si="22"/>
        <v>283OTHER</v>
      </c>
      <c r="D80" s="59">
        <f>SUMIF('Accumulated Deferred Income Tax'!$AA$228:$AA$341,'Results Summary (ADIT)'!B80,'Accumulated Deferred Income Tax'!$U$228:$U$341)</f>
        <v>-23231823</v>
      </c>
      <c r="E80" s="42">
        <f t="shared" si="23"/>
        <v>-23231823</v>
      </c>
      <c r="F80" s="59">
        <f>SUMIF('Accumulated Deferred Income Tax'!$AA$228:$AA$341,'Results Summary (ADIT)'!B80,'Accumulated Deferred Income Tax'!$Y$228:$Y$341)</f>
        <v>0</v>
      </c>
      <c r="G80" s="42">
        <f t="shared" si="24"/>
        <v>-23231823</v>
      </c>
      <c r="H80" s="59">
        <f>SUMIF('Accumulated Deferred Income Tax'!$AA$228:$AA$341,'Results Summary (ADIT)'!B80,'Accumulated Deferred Income Tax'!$AE$228:$AE$341)</f>
        <v>0</v>
      </c>
    </row>
    <row r="81" spans="1:10">
      <c r="A81" s="547"/>
      <c r="B81" s="18" t="s">
        <v>28</v>
      </c>
      <c r="C81" s="17" t="str">
        <f t="shared" si="22"/>
        <v>283UT</v>
      </c>
      <c r="D81" s="59">
        <f>SUMIF('Accumulated Deferred Income Tax'!$AA$228:$AA$341,'Results Summary (ADIT)'!B81,'Accumulated Deferred Income Tax'!$U$228:$U$341)</f>
        <v>-5058642</v>
      </c>
      <c r="E81" s="42">
        <f t="shared" si="23"/>
        <v>-5058642</v>
      </c>
      <c r="F81" s="59">
        <f>SUMIF('Accumulated Deferred Income Tax'!$AA$228:$AA$341,'Results Summary (ADIT)'!B81,'Accumulated Deferred Income Tax'!$Y$228:$Y$341)</f>
        <v>0</v>
      </c>
      <c r="G81" s="42">
        <f t="shared" si="24"/>
        <v>-5058642</v>
      </c>
      <c r="H81" s="59">
        <f>SUMIF('Accumulated Deferred Income Tax'!$AA$228:$AA$341,'Results Summary (ADIT)'!B81,'Accumulated Deferred Income Tax'!$AE$228:$AE$341)</f>
        <v>0</v>
      </c>
    </row>
    <row r="82" spans="1:10">
      <c r="A82" s="547"/>
      <c r="B82" s="17" t="s">
        <v>26</v>
      </c>
      <c r="C82" s="17" t="str">
        <f t="shared" si="22"/>
        <v>283WA</v>
      </c>
      <c r="D82" s="59">
        <f>SUMIF('Accumulated Deferred Income Tax'!$AA$228:$AA$341,'Results Summary (ADIT)'!B82,'Accumulated Deferred Income Tax'!$U$228:$U$341)</f>
        <v>468086</v>
      </c>
      <c r="E82" s="42">
        <f t="shared" si="23"/>
        <v>468086</v>
      </c>
      <c r="F82" s="59">
        <f>SUMIF('Accumulated Deferred Income Tax'!$AA$228:$AA$341,'Results Summary (ADIT)'!B82,'Accumulated Deferred Income Tax'!$Y$228:$Y$341)</f>
        <v>-391087</v>
      </c>
      <c r="G82" s="42">
        <f t="shared" si="24"/>
        <v>76999</v>
      </c>
      <c r="H82" s="59">
        <f>SUMIF('Accumulated Deferred Income Tax'!$AA$228:$AA$341,'Results Summary (ADIT)'!B82,'Accumulated Deferred Income Tax'!$AE$228:$AE$341)</f>
        <v>76999</v>
      </c>
    </row>
    <row r="83" spans="1:10">
      <c r="A83" s="547"/>
      <c r="B83" s="17" t="s">
        <v>32</v>
      </c>
      <c r="C83" s="17" t="str">
        <f t="shared" si="22"/>
        <v>283WYP</v>
      </c>
      <c r="D83" s="59">
        <f>SUMIF('Accumulated Deferred Income Tax'!$AA$228:$AA$341,'Results Summary (ADIT)'!B83,'Accumulated Deferred Income Tax'!$U$228:$U$341)</f>
        <v>-2977759</v>
      </c>
      <c r="E83" s="42">
        <f t="shared" si="23"/>
        <v>-2977759</v>
      </c>
      <c r="F83" s="59">
        <f>SUMIF('Accumulated Deferred Income Tax'!$AA$228:$AA$341,'Results Summary (ADIT)'!B83,'Accumulated Deferred Income Tax'!$Y$228:$Y$341)</f>
        <v>0</v>
      </c>
      <c r="G83" s="42">
        <f t="shared" si="24"/>
        <v>-2977759</v>
      </c>
      <c r="H83" s="59">
        <f>SUMIF('Accumulated Deferred Income Tax'!$AA$228:$AA$341,'Results Summary (ADIT)'!B83,'Accumulated Deferred Income Tax'!$AE$228:$AE$341)</f>
        <v>0</v>
      </c>
      <c r="J83" s="92"/>
    </row>
    <row r="84" spans="1:10">
      <c r="A84" s="547"/>
      <c r="B84" s="19" t="s">
        <v>80</v>
      </c>
      <c r="C84" s="19" t="str">
        <f t="shared" si="22"/>
        <v>283WYU</v>
      </c>
      <c r="D84" s="59">
        <f>SUMIF('Accumulated Deferred Income Tax'!$AA$228:$AA$341,'Results Summary (ADIT)'!B84,'Accumulated Deferred Income Tax'!$U$228:$U$341)</f>
        <v>-100825</v>
      </c>
      <c r="E84" s="42">
        <f t="shared" si="23"/>
        <v>-100825</v>
      </c>
      <c r="F84" s="59">
        <f>SUMIF('Accumulated Deferred Income Tax'!$AA$228:$AA$341,'Results Summary (ADIT)'!B84,'Accumulated Deferred Income Tax'!$Y$228:$Y$341)</f>
        <v>0</v>
      </c>
      <c r="G84" s="42">
        <f t="shared" si="24"/>
        <v>-100825</v>
      </c>
      <c r="H84" s="59">
        <f>SUMIF('Accumulated Deferred Income Tax'!$AA$228:$AA$341,'Results Summary (ADIT)'!B84,'Accumulated Deferred Income Tax'!$AE$228:$AE$341)</f>
        <v>0</v>
      </c>
    </row>
    <row r="85" spans="1:10">
      <c r="A85" s="547"/>
      <c r="B85" s="10"/>
      <c r="C85" s="10"/>
      <c r="D85" s="153">
        <f>SUBTOTAL(9,D76:D84)</f>
        <v>-30550856</v>
      </c>
      <c r="E85" s="153">
        <f t="shared" ref="E85:H85" si="25">SUBTOTAL(9,E76:E84)</f>
        <v>-30550856</v>
      </c>
      <c r="F85" s="153">
        <f t="shared" si="25"/>
        <v>-391087</v>
      </c>
      <c r="G85" s="153">
        <f t="shared" si="25"/>
        <v>-30941943</v>
      </c>
      <c r="H85" s="153">
        <f t="shared" si="25"/>
        <v>76999</v>
      </c>
    </row>
    <row r="86" spans="1:10">
      <c r="A86" s="547"/>
      <c r="B86" s="12" t="s">
        <v>58</v>
      </c>
      <c r="C86" s="12" t="str">
        <f t="shared" ref="C86:C100" si="26">CONCATENATE("283",B86)</f>
        <v>283BADDEBT</v>
      </c>
      <c r="D86" s="59">
        <f>SUMIF('Accumulated Deferred Income Tax'!$AA$228:$AA$341,'Results Summary (ADIT)'!B86,'Accumulated Deferred Income Tax'!$U$228:$U$341)</f>
        <v>0</v>
      </c>
      <c r="E86" s="56">
        <f t="shared" ref="E86:E100" si="27">SUM(D86:D86)</f>
        <v>0</v>
      </c>
      <c r="F86" s="59">
        <f>SUMIF('Accumulated Deferred Income Tax'!$AA$228:$AA$341,'Results Summary (ADIT)'!B86,'Accumulated Deferred Income Tax'!$Y$228:$Y$341)</f>
        <v>0</v>
      </c>
      <c r="G86" s="58">
        <f t="shared" ref="G86:G100" si="28">SUM(E86:F86)</f>
        <v>0</v>
      </c>
      <c r="H86" s="59">
        <f>SUMIF('Accumulated Deferred Income Tax'!$AA$228:$AA$341,'Results Summary (ADIT)'!B86,'Accumulated Deferred Income Tax'!$AE$228:$AE$341)</f>
        <v>0</v>
      </c>
    </row>
    <row r="87" spans="1:10">
      <c r="A87" s="547"/>
      <c r="B87" s="413" t="s">
        <v>119</v>
      </c>
      <c r="C87" s="17" t="str">
        <f t="shared" si="26"/>
        <v>283CAEE</v>
      </c>
      <c r="D87" s="59">
        <f>SUMIF('Accumulated Deferred Income Tax'!$AA$228:$AA$341,'Results Summary (ADIT)'!B87,'Accumulated Deferred Income Tax'!$U$228:$U$341)</f>
        <v>-44111274</v>
      </c>
      <c r="E87" s="42">
        <f t="shared" si="27"/>
        <v>-44111274</v>
      </c>
      <c r="F87" s="59">
        <f>SUMIF('Accumulated Deferred Income Tax'!$AA$228:$AA$341,'Results Summary (ADIT)'!B87,'Accumulated Deferred Income Tax'!$Y$228:$Y$341)</f>
        <v>0</v>
      </c>
      <c r="G87" s="42">
        <f t="shared" si="28"/>
        <v>-44111274</v>
      </c>
      <c r="H87" s="59">
        <f>SUMIF('Accumulated Deferred Income Tax'!$AA$228:$AA$341,'Results Summary (ADIT)'!B87,'Accumulated Deferred Income Tax'!$AE$228:$AE$341)</f>
        <v>0</v>
      </c>
    </row>
    <row r="88" spans="1:10">
      <c r="A88" s="547"/>
      <c r="B88" s="413" t="s">
        <v>162</v>
      </c>
      <c r="C88" s="17" t="str">
        <f t="shared" si="26"/>
        <v>283CAGE</v>
      </c>
      <c r="D88" s="59">
        <f>SUMIF('Accumulated Deferred Income Tax'!$AA$228:$AA$341,'Results Summary (ADIT)'!B88,'Accumulated Deferred Income Tax'!$U$228:$U$341)</f>
        <v>-1017254</v>
      </c>
      <c r="E88" s="42">
        <f t="shared" si="27"/>
        <v>-1017254</v>
      </c>
      <c r="F88" s="59">
        <f>SUMIF('Accumulated Deferred Income Tax'!$AA$228:$AA$341,'Results Summary (ADIT)'!B88,'Accumulated Deferred Income Tax'!$Y$228:$Y$341)</f>
        <v>0</v>
      </c>
      <c r="G88" s="42">
        <f t="shared" si="28"/>
        <v>-1017254</v>
      </c>
      <c r="H88" s="59">
        <f>SUMIF('Accumulated Deferred Income Tax'!$AA$228:$AA$341,'Results Summary (ADIT)'!B88,'Accumulated Deferred Income Tax'!$AE$228:$AE$341)</f>
        <v>0</v>
      </c>
    </row>
    <row r="89" spans="1:10">
      <c r="A89" s="547"/>
      <c r="B89" s="413" t="s">
        <v>160</v>
      </c>
      <c r="C89" s="17" t="str">
        <f t="shared" si="26"/>
        <v>283CAGW</v>
      </c>
      <c r="D89" s="59">
        <f>SUMIF('Accumulated Deferred Income Tax'!$AA$228:$AA$341,'Results Summary (ADIT)'!B89,'Accumulated Deferred Income Tax'!$U$228:$U$341)</f>
        <v>-742255</v>
      </c>
      <c r="E89" s="42">
        <f t="shared" si="27"/>
        <v>-742255</v>
      </c>
      <c r="F89" s="59">
        <f>SUMIF('Accumulated Deferred Income Tax'!$AA$228:$AA$341,'Results Summary (ADIT)'!B89,'Accumulated Deferred Income Tax'!$Y$228:$Y$341)</f>
        <v>0</v>
      </c>
      <c r="G89" s="42">
        <f t="shared" si="28"/>
        <v>-742255</v>
      </c>
      <c r="H89" s="59">
        <f>SUMIF('Accumulated Deferred Income Tax'!$AA$228:$AA$341,'Results Summary (ADIT)'!B89,'Accumulated Deferred Income Tax'!$AE$228:$AE$341)</f>
        <v>-160158</v>
      </c>
    </row>
    <row r="90" spans="1:10">
      <c r="A90" s="547"/>
      <c r="B90" s="17" t="s">
        <v>49</v>
      </c>
      <c r="C90" s="17" t="str">
        <f t="shared" si="26"/>
        <v>283GPS</v>
      </c>
      <c r="D90" s="59">
        <f>SUMIF('Accumulated Deferred Income Tax'!$AA$228:$AA$341,'Results Summary (ADIT)'!B90,'Accumulated Deferred Income Tax'!$U$228:$U$341)</f>
        <v>-3444682</v>
      </c>
      <c r="E90" s="42">
        <f t="shared" si="27"/>
        <v>-3444682</v>
      </c>
      <c r="F90" s="59">
        <f>SUMIF('Accumulated Deferred Income Tax'!$AA$228:$AA$341,'Results Summary (ADIT)'!B90,'Accumulated Deferred Income Tax'!$Y$228:$Y$341)</f>
        <v>0</v>
      </c>
      <c r="G90" s="42">
        <f t="shared" si="28"/>
        <v>-3444682</v>
      </c>
      <c r="H90" s="59">
        <f>SUMIF('Accumulated Deferred Income Tax'!$AA$228:$AA$341,'Results Summary (ADIT)'!B90,'Accumulated Deferred Income Tax'!$AE$228:$AE$341)</f>
        <v>-230854</v>
      </c>
    </row>
    <row r="91" spans="1:10">
      <c r="A91" s="547"/>
      <c r="B91" s="17" t="s">
        <v>170</v>
      </c>
      <c r="C91" s="17" t="str">
        <f t="shared" si="26"/>
        <v>283JBE</v>
      </c>
      <c r="D91" s="59">
        <f>SUMIF('Accumulated Deferred Income Tax'!$AA$228:$AA$341,'Results Summary (ADIT)'!B91,'Accumulated Deferred Income Tax'!$U$228:$U$341)</f>
        <v>-22439</v>
      </c>
      <c r="E91" s="42">
        <f t="shared" si="27"/>
        <v>-22439</v>
      </c>
      <c r="F91" s="59">
        <f>SUMIF('Accumulated Deferred Income Tax'!$AA$228:$AA$341,'Results Summary (ADIT)'!B91,'Accumulated Deferred Income Tax'!$Y$228:$Y$341)</f>
        <v>0</v>
      </c>
      <c r="G91" s="42">
        <f t="shared" si="28"/>
        <v>-22439</v>
      </c>
      <c r="H91" s="59">
        <f>SUMIF('Accumulated Deferred Income Tax'!$AA$228:$AA$341,'Results Summary (ADIT)'!B91,'Accumulated Deferred Income Tax'!$AE$228:$AE$341)</f>
        <v>-5069</v>
      </c>
    </row>
    <row r="92" spans="1:10">
      <c r="A92" s="547"/>
      <c r="B92" s="18" t="s">
        <v>331</v>
      </c>
      <c r="C92" s="17" t="str">
        <f t="shared" si="26"/>
        <v>283NREG</v>
      </c>
      <c r="D92" s="59">
        <f>SUMIF('Accumulated Deferred Income Tax'!$AA$228:$AA$341,'Results Summary (ADIT)'!B92,'Accumulated Deferred Income Tax'!$U$228:$U$341)</f>
        <v>-179297187</v>
      </c>
      <c r="E92" s="42">
        <f t="shared" si="27"/>
        <v>-179297187</v>
      </c>
      <c r="F92" s="59">
        <f>SUMIF('Accumulated Deferred Income Tax'!$AA$228:$AA$341,'Results Summary (ADIT)'!B92,'Accumulated Deferred Income Tax'!$Y$228:$Y$341)</f>
        <v>0</v>
      </c>
      <c r="G92" s="42">
        <f t="shared" si="28"/>
        <v>-179297187</v>
      </c>
      <c r="H92" s="59">
        <f>SUMIF('Accumulated Deferred Income Tax'!$AA$228:$AA$341,'Results Summary (ADIT)'!B92,'Accumulated Deferred Income Tax'!$AE$228:$AE$341)</f>
        <v>0</v>
      </c>
    </row>
    <row r="93" spans="1:10">
      <c r="A93" s="547"/>
      <c r="B93" s="18" t="s">
        <v>11</v>
      </c>
      <c r="C93" s="17" t="str">
        <f t="shared" si="26"/>
        <v>283SCHMDEXP</v>
      </c>
      <c r="D93" s="59">
        <f>SUMIF('Accumulated Deferred Income Tax'!$AA$228:$AA$341,'Results Summary (ADIT)'!B93,'Accumulated Deferred Income Tax'!$U$228:$U$341)</f>
        <v>0</v>
      </c>
      <c r="E93" s="42">
        <f t="shared" si="27"/>
        <v>0</v>
      </c>
      <c r="F93" s="59">
        <f>SUMIF('Accumulated Deferred Income Tax'!$AA$228:$AA$341,'Results Summary (ADIT)'!B93,'Accumulated Deferred Income Tax'!$Y$228:$Y$341)</f>
        <v>0</v>
      </c>
      <c r="G93" s="42">
        <f t="shared" si="28"/>
        <v>0</v>
      </c>
      <c r="H93" s="59">
        <f>SUMIF('Accumulated Deferred Income Tax'!$AA$228:$AA$341,'Results Summary (ADIT)'!B93,'Accumulated Deferred Income Tax'!$AE$228:$AE$341)</f>
        <v>0</v>
      </c>
    </row>
    <row r="94" spans="1:10">
      <c r="A94" s="547"/>
      <c r="B94" s="18" t="s">
        <v>13</v>
      </c>
      <c r="C94" s="17" t="str">
        <f t="shared" si="26"/>
        <v>283SE</v>
      </c>
      <c r="D94" s="59">
        <f>SUMIF('Accumulated Deferred Income Tax'!$AA$228:$AA$341,'Results Summary (ADIT)'!B94,'Accumulated Deferred Income Tax'!$U$228:$U$341)</f>
        <v>0</v>
      </c>
      <c r="E94" s="42">
        <f t="shared" si="27"/>
        <v>0</v>
      </c>
      <c r="F94" s="59">
        <f>SUMIF('Accumulated Deferred Income Tax'!$AA$228:$AA$341,'Results Summary (ADIT)'!B94,'Accumulated Deferred Income Tax'!$Y$228:$Y$341)</f>
        <v>0</v>
      </c>
      <c r="G94" s="42">
        <f t="shared" si="28"/>
        <v>0</v>
      </c>
      <c r="H94" s="59">
        <f>SUMIF('Accumulated Deferred Income Tax'!$AA$228:$AA$341,'Results Summary (ADIT)'!B94,'Accumulated Deferred Income Tax'!$AE$228:$AE$341)</f>
        <v>0</v>
      </c>
      <c r="J94" s="92"/>
    </row>
    <row r="95" spans="1:10">
      <c r="A95" s="547"/>
      <c r="B95" s="17" t="s">
        <v>19</v>
      </c>
      <c r="C95" s="17" t="str">
        <f t="shared" si="26"/>
        <v>283SG</v>
      </c>
      <c r="D95" s="59">
        <f>SUMIF('Accumulated Deferred Income Tax'!$AA$228:$AA$341,'Results Summary (ADIT)'!B95,'Accumulated Deferred Income Tax'!$U$228:$U$341)</f>
        <v>-4780</v>
      </c>
      <c r="E95" s="42">
        <f t="shared" si="27"/>
        <v>-4780</v>
      </c>
      <c r="F95" s="59">
        <f>SUMIF('Accumulated Deferred Income Tax'!$AA$228:$AA$341,'Results Summary (ADIT)'!B95,'Accumulated Deferred Income Tax'!$Y$228:$Y$341)</f>
        <v>0</v>
      </c>
      <c r="G95" s="42">
        <f t="shared" si="28"/>
        <v>-4780</v>
      </c>
      <c r="H95" s="59">
        <f>SUMIF('Accumulated Deferred Income Tax'!$AA$228:$AA$341,'Results Summary (ADIT)'!B95,'Accumulated Deferred Income Tax'!$AE$228:$AE$341)</f>
        <v>-373</v>
      </c>
      <c r="J95" s="92"/>
    </row>
    <row r="96" spans="1:10">
      <c r="A96" s="547"/>
      <c r="B96" s="18" t="s">
        <v>16</v>
      </c>
      <c r="C96" s="17" t="str">
        <f t="shared" si="26"/>
        <v>283SNP</v>
      </c>
      <c r="D96" s="59">
        <f>SUMIF('Accumulated Deferred Income Tax'!$AA$228:$AA$341,'Results Summary (ADIT)'!B96,'Accumulated Deferred Income Tax'!$U$228:$U$341)</f>
        <v>-1119888</v>
      </c>
      <c r="E96" s="42">
        <f t="shared" si="27"/>
        <v>-1119888</v>
      </c>
      <c r="F96" s="59">
        <f>SUMIF('Accumulated Deferred Income Tax'!$AA$228:$AA$341,'Results Summary (ADIT)'!B96,'Accumulated Deferred Income Tax'!$Y$228:$Y$341)</f>
        <v>0</v>
      </c>
      <c r="G96" s="42">
        <f t="shared" si="28"/>
        <v>-1119888</v>
      </c>
      <c r="H96" s="59">
        <f>SUMIF('Accumulated Deferred Income Tax'!$AA$228:$AA$341,'Results Summary (ADIT)'!B96,'Accumulated Deferred Income Tax'!$AE$228:$AE$341)</f>
        <v>-68195</v>
      </c>
    </row>
    <row r="97" spans="1:13">
      <c r="A97" s="547"/>
      <c r="B97" s="17" t="s">
        <v>21</v>
      </c>
      <c r="C97" s="17" t="str">
        <f t="shared" si="26"/>
        <v>283SNPD</v>
      </c>
      <c r="D97" s="59">
        <f>SUMIF('Accumulated Deferred Income Tax'!$AA$228:$AA$341,'Results Summary (ADIT)'!B97,'Accumulated Deferred Income Tax'!$U$228:$U$341)</f>
        <v>0</v>
      </c>
      <c r="E97" s="42">
        <f t="shared" si="27"/>
        <v>0</v>
      </c>
      <c r="F97" s="59">
        <f>SUMIF('Accumulated Deferred Income Tax'!$AA$228:$AA$341,'Results Summary (ADIT)'!B97,'Accumulated Deferred Income Tax'!$Y$228:$Y$341)</f>
        <v>0</v>
      </c>
      <c r="G97" s="42">
        <f t="shared" si="28"/>
        <v>0</v>
      </c>
      <c r="H97" s="59">
        <f>SUMIF('Accumulated Deferred Income Tax'!$AA$228:$AA$341,'Results Summary (ADIT)'!B97,'Accumulated Deferred Income Tax'!$AE$228:$AE$341)</f>
        <v>0</v>
      </c>
    </row>
    <row r="98" spans="1:13">
      <c r="A98" s="547"/>
      <c r="B98" s="18" t="s">
        <v>10</v>
      </c>
      <c r="C98" s="17" t="str">
        <f t="shared" si="26"/>
        <v>283SO</v>
      </c>
      <c r="D98" s="59">
        <f>SUMIF('Accumulated Deferred Income Tax'!$AA$228:$AA$341,'Results Summary (ADIT)'!B98,'Accumulated Deferred Income Tax'!$U$228:$U$341)</f>
        <v>-21711223</v>
      </c>
      <c r="E98" s="42">
        <f t="shared" si="27"/>
        <v>-21711223</v>
      </c>
      <c r="F98" s="59">
        <f>SUMIF('Accumulated Deferred Income Tax'!$AA$228:$AA$341,'Results Summary (ADIT)'!B98,'Accumulated Deferred Income Tax'!$Y$228:$Y$341)</f>
        <v>20768208</v>
      </c>
      <c r="G98" s="42">
        <f t="shared" si="28"/>
        <v>-943015</v>
      </c>
      <c r="H98" s="59">
        <f>SUMIF('Accumulated Deferred Income Tax'!$AA$228:$AA$341,'Results Summary (ADIT)'!B98,'Accumulated Deferred Income Tax'!$AE$228:$AE$341)</f>
        <v>-63199</v>
      </c>
      <c r="J98" s="393"/>
    </row>
    <row r="99" spans="1:13">
      <c r="A99" s="547"/>
      <c r="B99" s="17" t="s">
        <v>45</v>
      </c>
      <c r="C99" s="17" t="str">
        <f t="shared" si="26"/>
        <v>283TAXDEPR</v>
      </c>
      <c r="D99" s="59">
        <f>SUMIF('Accumulated Deferred Income Tax'!$AA$228:$AA$341,'Results Summary (ADIT)'!B99,'Accumulated Deferred Income Tax'!$U$228:$U$341)</f>
        <v>0</v>
      </c>
      <c r="E99" s="42">
        <f t="shared" si="27"/>
        <v>0</v>
      </c>
      <c r="F99" s="59">
        <f>SUMIF('Accumulated Deferred Income Tax'!$AA$228:$AA$341,'Results Summary (ADIT)'!B99,'Accumulated Deferred Income Tax'!$Y$228:$Y$341)</f>
        <v>0</v>
      </c>
      <c r="G99" s="42">
        <f t="shared" si="28"/>
        <v>0</v>
      </c>
      <c r="H99" s="59">
        <f>SUMIF('Accumulated Deferred Income Tax'!$AA$228:$AA$341,'Results Summary (ADIT)'!B99,'Accumulated Deferred Income Tax'!$AE$228:$AE$341)</f>
        <v>0</v>
      </c>
    </row>
    <row r="100" spans="1:13">
      <c r="A100" s="548"/>
      <c r="B100" s="22" t="s">
        <v>40</v>
      </c>
      <c r="C100" s="22" t="str">
        <f t="shared" si="26"/>
        <v>283TROJD</v>
      </c>
      <c r="D100" s="59">
        <f>SUMIF('Accumulated Deferred Income Tax'!$AA$228:$AA$341,'Results Summary (ADIT)'!B100,'Accumulated Deferred Income Tax'!$U$228:$U$341)</f>
        <v>0</v>
      </c>
      <c r="E100" s="42">
        <f t="shared" si="27"/>
        <v>0</v>
      </c>
      <c r="F100" s="59">
        <f>SUMIF('Accumulated Deferred Income Tax'!$AA$228:$AA$341,'Results Summary (ADIT)'!B100,'Accumulated Deferred Income Tax'!$Y$228:$Y$341)</f>
        <v>0</v>
      </c>
      <c r="G100" s="42">
        <f t="shared" si="28"/>
        <v>0</v>
      </c>
      <c r="H100" s="59">
        <f>SUMIF('Accumulated Deferred Income Tax'!$AA$228:$AA$341,'Results Summary (ADIT)'!B100,'Accumulated Deferred Income Tax'!$AE$228:$AE$341)</f>
        <v>0</v>
      </c>
    </row>
    <row r="101" spans="1:13" ht="15">
      <c r="A101" s="154"/>
      <c r="B101" s="154"/>
      <c r="C101" s="154"/>
      <c r="D101" s="153">
        <f t="shared" ref="D101:H101" si="29">SUBTOTAL(9,D76:D100)</f>
        <v>-282021838</v>
      </c>
      <c r="E101" s="153">
        <f t="shared" si="29"/>
        <v>-282021838</v>
      </c>
      <c r="F101" s="153">
        <f t="shared" si="29"/>
        <v>20377121</v>
      </c>
      <c r="G101" s="153">
        <f t="shared" si="29"/>
        <v>-261644717</v>
      </c>
      <c r="H101" s="153">
        <f t="shared" si="29"/>
        <v>-450849</v>
      </c>
      <c r="M101" s="391"/>
    </row>
    <row r="102" spans="1:13">
      <c r="A102" s="154"/>
      <c r="B102" s="154"/>
      <c r="C102" s="154"/>
      <c r="D102" s="153">
        <f t="shared" ref="D102:H102" si="30">SUBTOTAL(9,D3:D101)</f>
        <v>-2556900077</v>
      </c>
      <c r="E102" s="153">
        <f t="shared" si="30"/>
        <v>-2556900077</v>
      </c>
      <c r="F102" s="153">
        <f t="shared" si="30"/>
        <v>30030603</v>
      </c>
      <c r="G102" s="153">
        <f t="shared" si="30"/>
        <v>-2526869474</v>
      </c>
      <c r="H102" s="153">
        <f t="shared" si="30"/>
        <v>-222734018</v>
      </c>
    </row>
    <row r="103" spans="1:13" ht="12.75" customHeight="1">
      <c r="A103" s="549">
        <v>255</v>
      </c>
      <c r="B103" s="65" t="s">
        <v>206</v>
      </c>
      <c r="C103" s="65" t="str">
        <f t="shared" ref="C103:C111" si="31">CONCATENATE("255",B103)</f>
        <v>255ITC84</v>
      </c>
      <c r="D103" s="150">
        <f>SUMIF('Accumulated Deferred Income Tax'!$AA$353:$AA$360,'Results Summary (ADIT)'!B103,'Accumulated Deferred Income Tax'!$U$353:$U$360)</f>
        <v>0</v>
      </c>
      <c r="E103" s="151">
        <f t="shared" ref="E103:E111" si="32">SUM(D103:D103)</f>
        <v>0</v>
      </c>
      <c r="F103" s="150">
        <f>SUMIF('Accumulated Deferred Income Tax'!$AA$353:$AA$360,'Results Summary (ADIT)'!B103,'Accumulated Deferred Income Tax'!$Y$353:$Y$360)</f>
        <v>0</v>
      </c>
      <c r="G103" s="151">
        <f t="shared" ref="G103:G111" si="33">SUM(E103:F103)</f>
        <v>0</v>
      </c>
      <c r="H103" s="150">
        <f>SUMIF('Accumulated Deferred Income Tax'!$AA$353:$AA$360,'Results Summary (ADIT)'!B103,'Accumulated Deferred Income Tax'!$AE$353:$AE$360)</f>
        <v>0</v>
      </c>
    </row>
    <row r="104" spans="1:13">
      <c r="A104" s="550"/>
      <c r="B104" s="66" t="s">
        <v>208</v>
      </c>
      <c r="C104" s="66" t="str">
        <f t="shared" si="31"/>
        <v>255ITC85</v>
      </c>
      <c r="D104" s="59">
        <f>SUMIF('Accumulated Deferred Income Tax'!$AA$353:$AA$360,'Results Summary (ADIT)'!B104,'Accumulated Deferred Income Tax'!$U$353:$U$360)</f>
        <v>0</v>
      </c>
      <c r="E104" s="42">
        <f t="shared" si="32"/>
        <v>0</v>
      </c>
      <c r="F104" s="59">
        <f>SUMIF('Accumulated Deferred Income Tax'!$AA$353:$AA$360,'Results Summary (ADIT)'!B104,'Accumulated Deferred Income Tax'!$Y$353:$Y$360)</f>
        <v>0</v>
      </c>
      <c r="G104" s="42">
        <f t="shared" si="33"/>
        <v>0</v>
      </c>
      <c r="H104" s="59">
        <f>SUMIF('Accumulated Deferred Income Tax'!$AA$353:$AA$360,'Results Summary (ADIT)'!B104,'Accumulated Deferred Income Tax'!$AE$353:$AE$360)</f>
        <v>0</v>
      </c>
    </row>
    <row r="105" spans="1:13">
      <c r="A105" s="550"/>
      <c r="B105" s="66" t="s">
        <v>210</v>
      </c>
      <c r="C105" s="66" t="str">
        <f t="shared" si="31"/>
        <v>255ITC86</v>
      </c>
      <c r="D105" s="59">
        <f>SUMIF('Accumulated Deferred Income Tax'!$AA$353:$AA$360,'Results Summary (ADIT)'!B105,'Accumulated Deferred Income Tax'!$U$353:$U$360)</f>
        <v>0</v>
      </c>
      <c r="E105" s="42">
        <f t="shared" si="32"/>
        <v>0</v>
      </c>
      <c r="F105" s="59">
        <f>SUMIF('Accumulated Deferred Income Tax'!$AA$353:$AA$360,'Results Summary (ADIT)'!B105,'Accumulated Deferred Income Tax'!$Y$353:$Y$360)</f>
        <v>0</v>
      </c>
      <c r="G105" s="42">
        <f t="shared" si="33"/>
        <v>0</v>
      </c>
      <c r="H105" s="59">
        <f>SUMIF('Accumulated Deferred Income Tax'!$AA$353:$AA$360,'Results Summary (ADIT)'!B105,'Accumulated Deferred Income Tax'!$AE$353:$AE$360)</f>
        <v>0</v>
      </c>
    </row>
    <row r="106" spans="1:13">
      <c r="A106" s="550"/>
      <c r="B106" s="66" t="s">
        <v>212</v>
      </c>
      <c r="C106" s="66" t="str">
        <f t="shared" si="31"/>
        <v>255ITC88</v>
      </c>
      <c r="D106" s="59">
        <f>SUMIF('Accumulated Deferred Income Tax'!$AA$353:$AA$360,'Results Summary (ADIT)'!B106,'Accumulated Deferred Income Tax'!$U$353:$U$360)</f>
        <v>0</v>
      </c>
      <c r="E106" s="42">
        <f t="shared" si="32"/>
        <v>0</v>
      </c>
      <c r="F106" s="59">
        <f>SUMIF('Accumulated Deferred Income Tax'!$AA$353:$AA$360,'Results Summary (ADIT)'!B106,'Accumulated Deferred Income Tax'!$Y$353:$Y$360)</f>
        <v>0</v>
      </c>
      <c r="G106" s="42">
        <f t="shared" si="33"/>
        <v>0</v>
      </c>
      <c r="H106" s="59">
        <f>SUMIF('Accumulated Deferred Income Tax'!$AA$353:$AA$360,'Results Summary (ADIT)'!B106,'Accumulated Deferred Income Tax'!$AE$353:$AE$360)</f>
        <v>0</v>
      </c>
    </row>
    <row r="107" spans="1:13">
      <c r="A107" s="550"/>
      <c r="B107" s="66" t="s">
        <v>214</v>
      </c>
      <c r="C107" s="66" t="str">
        <f t="shared" si="31"/>
        <v>255ITC89</v>
      </c>
      <c r="D107" s="59">
        <f>SUMIF('Accumulated Deferred Income Tax'!$AA$353:$AA$360,'Results Summary (ADIT)'!B107,'Accumulated Deferred Income Tax'!$U$353:$U$360)</f>
        <v>0</v>
      </c>
      <c r="E107" s="42">
        <f t="shared" si="32"/>
        <v>0</v>
      </c>
      <c r="F107" s="59">
        <f>SUMIF('Accumulated Deferred Income Tax'!$AA$353:$AA$360,'Results Summary (ADIT)'!B107,'Accumulated Deferred Income Tax'!$Y$353:$Y$360)</f>
        <v>0</v>
      </c>
      <c r="G107" s="42">
        <f t="shared" si="33"/>
        <v>0</v>
      </c>
      <c r="H107" s="59">
        <f>SUMIF('Accumulated Deferred Income Tax'!$AA$353:$AA$360,'Results Summary (ADIT)'!B107,'Accumulated Deferred Income Tax'!$AE$353:$AE$360)</f>
        <v>0</v>
      </c>
    </row>
    <row r="108" spans="1:13">
      <c r="A108" s="550"/>
      <c r="B108" s="66" t="s">
        <v>216</v>
      </c>
      <c r="C108" s="66" t="str">
        <f t="shared" si="31"/>
        <v>255ITC90</v>
      </c>
      <c r="D108" s="59">
        <f>SUMIF('Accumulated Deferred Income Tax'!$AA$353:$AA$360,'Results Summary (ADIT)'!B108,'Accumulated Deferred Income Tax'!$U$353:$U$360)</f>
        <v>-56922</v>
      </c>
      <c r="E108" s="42">
        <f t="shared" si="32"/>
        <v>-56922</v>
      </c>
      <c r="F108" s="59">
        <f>SUMIF('Accumulated Deferred Income Tax'!$AA$353:$AA$360,'Results Summary (ADIT)'!B108,'Accumulated Deferred Income Tax'!$Y$353:$Y$360)</f>
        <v>0</v>
      </c>
      <c r="G108" s="42">
        <f t="shared" si="33"/>
        <v>-56922</v>
      </c>
      <c r="H108" s="59">
        <f>SUMIF('Accumulated Deferred Income Tax'!$AA$353:$AA$360,'Results Summary (ADIT)'!B108,'Accumulated Deferred Income Tax'!$AE$353:$AE$360)</f>
        <v>-2227</v>
      </c>
    </row>
    <row r="109" spans="1:13">
      <c r="A109" s="550"/>
      <c r="B109" s="66" t="s">
        <v>29</v>
      </c>
      <c r="C109" s="66" t="str">
        <f t="shared" si="31"/>
        <v>255IDU</v>
      </c>
      <c r="D109" s="59">
        <f>SUMIF('Accumulated Deferred Income Tax'!$AA$353:$AA$360,'Results Summary (ADIT)'!B109,'Accumulated Deferred Income Tax'!$U$353:$U$360)</f>
        <v>-41279</v>
      </c>
      <c r="E109" s="42">
        <f t="shared" si="32"/>
        <v>-41279</v>
      </c>
      <c r="F109" s="59">
        <f>SUMIF('Accumulated Deferred Income Tax'!$AA$353:$AA$360,'Results Summary (ADIT)'!B109,'Accumulated Deferred Income Tax'!$Y$353:$Y$360)</f>
        <v>0</v>
      </c>
      <c r="G109" s="42">
        <f t="shared" si="33"/>
        <v>-41279</v>
      </c>
      <c r="H109" s="59">
        <f>SUMIF('Accumulated Deferred Income Tax'!$AA$353:$AA$360,'Results Summary (ADIT)'!B109,'Accumulated Deferred Income Tax'!$AE$353:$AE$360)</f>
        <v>0</v>
      </c>
    </row>
    <row r="110" spans="1:13">
      <c r="A110" s="550"/>
      <c r="B110" s="66" t="s">
        <v>19</v>
      </c>
      <c r="C110" s="66" t="str">
        <f t="shared" si="31"/>
        <v>255SG</v>
      </c>
      <c r="D110" s="59">
        <f>SUMIF('Accumulated Deferred Income Tax'!$AA$353:$AA$360,'Results Summary (ADIT)'!B110,'Accumulated Deferred Income Tax'!$U$353:$U$360)</f>
        <v>-222376</v>
      </c>
      <c r="E110" s="42">
        <f t="shared" si="32"/>
        <v>-222376</v>
      </c>
      <c r="F110" s="59">
        <f>SUMIF('Accumulated Deferred Income Tax'!$AA$353:$AA$360,'Results Summary (ADIT)'!B110,'Accumulated Deferred Income Tax'!$Y$353:$Y$360)</f>
        <v>0</v>
      </c>
      <c r="G110" s="42">
        <f t="shared" si="33"/>
        <v>-222376</v>
      </c>
      <c r="H110" s="59">
        <f>SUMIF('Accumulated Deferred Income Tax'!$AA$353:$AA$360,'Results Summary (ADIT)'!B110,'Accumulated Deferred Income Tax'!$AE$353:$AE$360)</f>
        <v>-17370</v>
      </c>
    </row>
    <row r="111" spans="1:13">
      <c r="A111" s="551"/>
      <c r="B111" s="66" t="s">
        <v>331</v>
      </c>
      <c r="C111" s="66" t="str">
        <f t="shared" si="31"/>
        <v>255NREG</v>
      </c>
      <c r="D111" s="59">
        <f>SUMIF('Accumulated Deferred Income Tax'!$AA$353:$AA$360,'Results Summary (ADIT)'!B111,'Accumulated Deferred Income Tax'!$U$353:$U$360)</f>
        <v>-12928639</v>
      </c>
      <c r="E111" s="42">
        <f t="shared" si="32"/>
        <v>-12928639</v>
      </c>
      <c r="F111" s="59">
        <f>SUMIF('Accumulated Deferred Income Tax'!$AA$353:$AA$360,'Results Summary (ADIT)'!B111,'Accumulated Deferred Income Tax'!$Y$353:$Y$360)</f>
        <v>0</v>
      </c>
      <c r="G111" s="42">
        <f t="shared" si="33"/>
        <v>-12928639</v>
      </c>
      <c r="H111" s="59">
        <f>SUMIF('Accumulated Deferred Income Tax'!$AA$353:$AA$360,'Results Summary (ADIT)'!B111,'Accumulated Deferred Income Tax'!$AE$353:$AE$360)</f>
        <v>0</v>
      </c>
    </row>
    <row r="112" spans="1:13">
      <c r="A112" s="152"/>
      <c r="B112" s="152"/>
      <c r="C112" s="152"/>
      <c r="D112" s="153">
        <f t="shared" ref="D112:H112" si="34">SUBTOTAL(9,D103:D111)</f>
        <v>-13249216</v>
      </c>
      <c r="E112" s="153">
        <f t="shared" si="34"/>
        <v>-13249216</v>
      </c>
      <c r="F112" s="153">
        <f t="shared" si="34"/>
        <v>0</v>
      </c>
      <c r="G112" s="153">
        <f t="shared" si="34"/>
        <v>-13249216</v>
      </c>
      <c r="H112" s="153">
        <f t="shared" si="34"/>
        <v>-19597</v>
      </c>
    </row>
    <row r="114" spans="1:8">
      <c r="A114" s="531" t="s">
        <v>747</v>
      </c>
      <c r="B114" s="525"/>
      <c r="C114" s="525"/>
      <c r="D114" s="525"/>
      <c r="E114" s="525"/>
      <c r="F114" s="525"/>
      <c r="G114" s="525"/>
      <c r="H114" s="526"/>
    </row>
    <row r="115" spans="1:8">
      <c r="A115" s="195" t="s">
        <v>342</v>
      </c>
      <c r="B115" s="1"/>
      <c r="C115" s="436"/>
      <c r="D115" s="436">
        <f t="shared" ref="D115:H115" si="35">+D92+D66+D20</f>
        <v>1817807853</v>
      </c>
      <c r="E115" s="436">
        <f t="shared" si="35"/>
        <v>1817807853</v>
      </c>
      <c r="F115" s="436">
        <f t="shared" si="35"/>
        <v>0</v>
      </c>
      <c r="G115" s="436">
        <f t="shared" si="35"/>
        <v>1817807853</v>
      </c>
      <c r="H115" s="527">
        <f t="shared" si="35"/>
        <v>0</v>
      </c>
    </row>
    <row r="116" spans="1:8">
      <c r="A116" s="528" t="s">
        <v>341</v>
      </c>
      <c r="B116" s="532"/>
      <c r="C116" s="529"/>
      <c r="D116" s="529">
        <f>+D102-D115</f>
        <v>-4374707930</v>
      </c>
      <c r="E116" s="529">
        <f t="shared" ref="E116:H116" si="36">+E102-E115</f>
        <v>-4374707930</v>
      </c>
      <c r="F116" s="529">
        <f t="shared" si="36"/>
        <v>30030603</v>
      </c>
      <c r="G116" s="529">
        <f t="shared" si="36"/>
        <v>-4344677327</v>
      </c>
      <c r="H116" s="530">
        <f t="shared" si="36"/>
        <v>-222734018</v>
      </c>
    </row>
  </sheetData>
  <mergeCells count="5">
    <mergeCell ref="A3:A28"/>
    <mergeCell ref="A30:A44"/>
    <mergeCell ref="A46:A74"/>
    <mergeCell ref="A76:A100"/>
    <mergeCell ref="A103:A111"/>
  </mergeCells>
  <pageMargins left="0.75" right="0.75" top="1" bottom="0.75" header="0.5" footer="0.5"/>
  <pageSetup scale="46" orientation="portrait" r:id="rId1"/>
  <headerFooter>
    <oddHeader>&amp;L&amp;"Arial,Bold"&amp;10PacifiCorp 
Washington - General Rate Case
Twelve Months Ending December 31, 2021</oddHeader>
    <oddFooter>&amp;L&amp;"Arial,Bold"&amp;10RESULTS SUMMARY ~ ACCUMULATED DEFERRED INCOME TAX&amp;R&amp;"Arial,Bold"&amp;10Page &amp;P of &amp;N</oddFooter>
  </headerFooter>
  <ignoredErrors>
    <ignoredError sqref="C40:C4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7"/>
  <sheetViews>
    <sheetView zoomScale="80" zoomScaleNormal="80" zoomScaleSheetLayoutView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ColWidth="9.140625" defaultRowHeight="12.75"/>
  <cols>
    <col min="1" max="1" width="71.7109375" style="31" bestFit="1" customWidth="1"/>
    <col min="2" max="2" width="15.7109375" style="33" customWidth="1"/>
    <col min="3" max="3" width="15.7109375" style="35" customWidth="1"/>
    <col min="4" max="4" width="16.42578125" style="71" bestFit="1" customWidth="1"/>
    <col min="5" max="5" width="15.7109375" style="31" customWidth="1"/>
    <col min="6" max="8" width="20.7109375" style="34" customWidth="1"/>
    <col min="9" max="9" width="20.7109375" style="72" customWidth="1"/>
    <col min="10" max="10" width="20.7109375" style="34" customWidth="1"/>
    <col min="11" max="16" width="20.7109375" style="31" customWidth="1"/>
    <col min="17" max="17" width="15.85546875" style="31" bestFit="1" customWidth="1"/>
    <col min="18" max="18" width="15.140625" style="31" bestFit="1" customWidth="1"/>
    <col min="19" max="19" width="12.28515625" style="31" bestFit="1" customWidth="1"/>
    <col min="20" max="16384" width="9.140625" style="31"/>
  </cols>
  <sheetData>
    <row r="1" spans="1:17">
      <c r="A1" s="94" t="s">
        <v>0</v>
      </c>
      <c r="B1" s="95" t="s">
        <v>85</v>
      </c>
      <c r="C1" s="96"/>
      <c r="D1" s="97" t="s">
        <v>278</v>
      </c>
      <c r="E1" s="98" t="s">
        <v>1</v>
      </c>
      <c r="F1" s="99" t="s">
        <v>2</v>
      </c>
      <c r="G1" s="45"/>
      <c r="H1" s="409"/>
      <c r="I1" s="45"/>
      <c r="J1" s="100"/>
      <c r="K1" s="99" t="s">
        <v>328</v>
      </c>
      <c r="L1" s="101"/>
      <c r="M1" s="45"/>
      <c r="N1" s="45"/>
      <c r="O1" s="100"/>
      <c r="P1" s="109" t="s">
        <v>88</v>
      </c>
    </row>
    <row r="2" spans="1:17">
      <c r="A2" s="102" t="s">
        <v>3</v>
      </c>
      <c r="B2" s="103" t="s">
        <v>4</v>
      </c>
      <c r="C2" s="104" t="s">
        <v>86</v>
      </c>
      <c r="D2" s="105" t="s">
        <v>5</v>
      </c>
      <c r="E2" s="106" t="s">
        <v>332</v>
      </c>
      <c r="F2" s="107" t="s">
        <v>280</v>
      </c>
      <c r="G2" s="107" t="s">
        <v>329</v>
      </c>
      <c r="H2" s="402" t="s">
        <v>90</v>
      </c>
      <c r="I2" s="107" t="s">
        <v>278</v>
      </c>
      <c r="J2" s="107" t="s">
        <v>88</v>
      </c>
      <c r="K2" s="107" t="s">
        <v>417</v>
      </c>
      <c r="L2" s="91" t="s">
        <v>89</v>
      </c>
      <c r="M2" s="107" t="s">
        <v>90</v>
      </c>
      <c r="N2" s="107" t="s">
        <v>278</v>
      </c>
      <c r="O2" s="107" t="s">
        <v>88</v>
      </c>
      <c r="P2" s="89" t="s">
        <v>91</v>
      </c>
    </row>
    <row r="3" spans="1:17">
      <c r="A3" s="110" t="s">
        <v>84</v>
      </c>
      <c r="B3" s="111"/>
      <c r="C3" s="112"/>
      <c r="D3" s="113"/>
      <c r="E3" s="114"/>
      <c r="F3" s="387">
        <v>786129502</v>
      </c>
      <c r="G3" s="399">
        <f>+F3</f>
        <v>786129502</v>
      </c>
      <c r="H3" s="399">
        <f>+G3</f>
        <v>786129502</v>
      </c>
      <c r="I3" s="115"/>
      <c r="J3" s="40">
        <f>+G3</f>
        <v>786129502</v>
      </c>
      <c r="K3" s="116"/>
      <c r="L3" s="114"/>
      <c r="M3" s="115"/>
      <c r="N3" s="115"/>
      <c r="O3" s="40">
        <f>381274536-313532780-23896756</f>
        <v>43845000</v>
      </c>
      <c r="P3" s="40">
        <f>+O3+2991532</f>
        <v>46836532</v>
      </c>
      <c r="Q3" s="394"/>
    </row>
    <row r="4" spans="1:17">
      <c r="A4" s="28" t="s">
        <v>438</v>
      </c>
      <c r="B4" s="320" t="s">
        <v>8</v>
      </c>
      <c r="C4" s="273">
        <v>105.127</v>
      </c>
      <c r="D4" s="320">
        <v>7.5</v>
      </c>
      <c r="E4" s="29" t="s">
        <v>9</v>
      </c>
      <c r="F4" s="30">
        <v>129290</v>
      </c>
      <c r="G4" s="410">
        <f t="shared" ref="G4:G17" si="0">+F4</f>
        <v>129290</v>
      </c>
      <c r="H4" s="30">
        <f t="shared" ref="H4:H17" si="1">IF(E4="U",G4,0)</f>
        <v>129290</v>
      </c>
      <c r="I4" s="30">
        <v>17894</v>
      </c>
      <c r="J4" s="30">
        <f t="shared" ref="J4:J17" si="2">SUM(H4:I4)</f>
        <v>147184</v>
      </c>
      <c r="K4" s="29" t="s">
        <v>11</v>
      </c>
      <c r="L4" s="270">
        <f>SUMIF('Allocation Factors'!$B$3:$B$89,'Current Income Tax Expense'!K4,'Allocation Factors'!$P$3:$P$89)</f>
        <v>6.7702726582684086E-2</v>
      </c>
      <c r="M4" s="30">
        <f t="shared" ref="M4" si="3">ROUND(H4*L4,0)</f>
        <v>8753</v>
      </c>
      <c r="N4" s="30">
        <f t="shared" ref="N4:N17" si="4">ROUND(I4*L4,0)</f>
        <v>1211</v>
      </c>
      <c r="O4" s="30">
        <f t="shared" ref="O4:O17" si="5">SUM(M4:N4)</f>
        <v>9964</v>
      </c>
      <c r="P4" s="30">
        <f t="shared" ref="P4:P17" si="6">O4</f>
        <v>9964</v>
      </c>
    </row>
    <row r="5" spans="1:17">
      <c r="A5" s="28" t="s">
        <v>439</v>
      </c>
      <c r="B5" s="29" t="s">
        <v>8</v>
      </c>
      <c r="C5" s="273">
        <v>130.1</v>
      </c>
      <c r="D5" s="29">
        <v>7.5</v>
      </c>
      <c r="E5" s="29" t="s">
        <v>9</v>
      </c>
      <c r="F5" s="30">
        <v>1509120</v>
      </c>
      <c r="G5" s="30">
        <f t="shared" si="0"/>
        <v>1509120</v>
      </c>
      <c r="H5" s="30">
        <f t="shared" si="1"/>
        <v>1509120</v>
      </c>
      <c r="I5" s="30">
        <v>831880</v>
      </c>
      <c r="J5" s="30">
        <f t="shared" si="2"/>
        <v>2341000</v>
      </c>
      <c r="K5" s="29" t="s">
        <v>10</v>
      </c>
      <c r="L5" s="270">
        <f>SUMIF('Allocation Factors'!$B$3:$B$89,'Current Income Tax Expense'!K5,'Allocation Factors'!$P$3:$P$89)</f>
        <v>6.7017620954721469E-2</v>
      </c>
      <c r="M5" s="30">
        <f>ROUND(H5*L5,0)</f>
        <v>101138</v>
      </c>
      <c r="N5" s="30">
        <f t="shared" si="4"/>
        <v>55751</v>
      </c>
      <c r="O5" s="30">
        <f t="shared" si="5"/>
        <v>156889</v>
      </c>
      <c r="P5" s="30">
        <f t="shared" si="6"/>
        <v>156889</v>
      </c>
    </row>
    <row r="6" spans="1:17">
      <c r="A6" s="90" t="s">
        <v>386</v>
      </c>
      <c r="B6" s="29" t="s">
        <v>8</v>
      </c>
      <c r="C6" s="273">
        <v>130.11000000000001</v>
      </c>
      <c r="D6" s="29" t="s">
        <v>8</v>
      </c>
      <c r="E6" s="276" t="s">
        <v>333</v>
      </c>
      <c r="F6" s="30">
        <v>9353</v>
      </c>
      <c r="G6" s="30">
        <f t="shared" si="0"/>
        <v>9353</v>
      </c>
      <c r="H6" s="30">
        <f t="shared" si="1"/>
        <v>0</v>
      </c>
      <c r="I6" s="30">
        <v>0</v>
      </c>
      <c r="J6" s="30">
        <f t="shared" si="2"/>
        <v>0</v>
      </c>
      <c r="K6" s="276" t="s">
        <v>331</v>
      </c>
      <c r="L6" s="270">
        <f>SUMIF('Allocation Factors'!$B$3:$B$89,'Current Income Tax Expense'!K6,'Allocation Factors'!$P$3:$P$89)</f>
        <v>0</v>
      </c>
      <c r="M6" s="30">
        <f t="shared" ref="M6:M19" si="7">ROUND(H6*L6,0)</f>
        <v>0</v>
      </c>
      <c r="N6" s="30">
        <f t="shared" si="4"/>
        <v>0</v>
      </c>
      <c r="O6" s="30">
        <f t="shared" si="5"/>
        <v>0</v>
      </c>
      <c r="P6" s="30">
        <f t="shared" ref="P6" si="8">O6</f>
        <v>0</v>
      </c>
    </row>
    <row r="7" spans="1:17">
      <c r="A7" s="90" t="s">
        <v>302</v>
      </c>
      <c r="B7" s="318" t="s">
        <v>8</v>
      </c>
      <c r="C7" s="273">
        <v>130.19999999999999</v>
      </c>
      <c r="D7" s="318" t="s">
        <v>8</v>
      </c>
      <c r="E7" s="276" t="s">
        <v>333</v>
      </c>
      <c r="F7" s="30">
        <v>1047392</v>
      </c>
      <c r="G7" s="30">
        <f t="shared" si="0"/>
        <v>1047392</v>
      </c>
      <c r="H7" s="30">
        <f t="shared" si="1"/>
        <v>0</v>
      </c>
      <c r="I7" s="30">
        <v>0</v>
      </c>
      <c r="J7" s="30">
        <f t="shared" si="2"/>
        <v>0</v>
      </c>
      <c r="K7" s="276" t="s">
        <v>331</v>
      </c>
      <c r="L7" s="270">
        <f>SUMIF('Allocation Factors'!$B$3:$B$89,'Current Income Tax Expense'!K7,'Allocation Factors'!$P$3:$P$89)</f>
        <v>0</v>
      </c>
      <c r="M7" s="30">
        <f t="shared" si="7"/>
        <v>0</v>
      </c>
      <c r="N7" s="30">
        <f t="shared" si="4"/>
        <v>0</v>
      </c>
      <c r="O7" s="30">
        <f t="shared" si="5"/>
        <v>0</v>
      </c>
      <c r="P7" s="30">
        <f t="shared" si="6"/>
        <v>0</v>
      </c>
    </row>
    <row r="8" spans="1:17">
      <c r="A8" s="90" t="s">
        <v>440</v>
      </c>
      <c r="B8" s="318" t="s">
        <v>8</v>
      </c>
      <c r="C8" s="273">
        <v>130.21</v>
      </c>
      <c r="D8" s="318" t="s">
        <v>8</v>
      </c>
      <c r="E8" s="276" t="s">
        <v>333</v>
      </c>
      <c r="F8" s="30">
        <v>59094</v>
      </c>
      <c r="G8" s="30">
        <f t="shared" si="0"/>
        <v>59094</v>
      </c>
      <c r="H8" s="30">
        <f t="shared" si="1"/>
        <v>0</v>
      </c>
      <c r="I8" s="30">
        <v>0</v>
      </c>
      <c r="J8" s="30">
        <f t="shared" si="2"/>
        <v>0</v>
      </c>
      <c r="K8" s="276" t="s">
        <v>331</v>
      </c>
      <c r="L8" s="270">
        <f>SUMIF('Allocation Factors'!$B$3:$B$89,'Current Income Tax Expense'!K8,'Allocation Factors'!$P$3:$P$89)</f>
        <v>0</v>
      </c>
      <c r="M8" s="30">
        <f t="shared" si="7"/>
        <v>0</v>
      </c>
      <c r="N8" s="30">
        <f t="shared" si="4"/>
        <v>0</v>
      </c>
      <c r="O8" s="30">
        <f t="shared" si="5"/>
        <v>0</v>
      </c>
      <c r="P8" s="30">
        <f t="shared" si="6"/>
        <v>0</v>
      </c>
    </row>
    <row r="9" spans="1:17">
      <c r="A9" s="90" t="s">
        <v>441</v>
      </c>
      <c r="B9" s="318" t="s">
        <v>8</v>
      </c>
      <c r="C9" s="273">
        <v>130.30000000000001</v>
      </c>
      <c r="D9" s="318" t="s">
        <v>8</v>
      </c>
      <c r="E9" s="276" t="s">
        <v>333</v>
      </c>
      <c r="F9" s="30">
        <v>764071</v>
      </c>
      <c r="G9" s="30">
        <f t="shared" si="0"/>
        <v>764071</v>
      </c>
      <c r="H9" s="30">
        <f t="shared" si="1"/>
        <v>0</v>
      </c>
      <c r="I9" s="30">
        <v>0</v>
      </c>
      <c r="J9" s="30">
        <f t="shared" si="2"/>
        <v>0</v>
      </c>
      <c r="K9" s="276" t="s">
        <v>331</v>
      </c>
      <c r="L9" s="270">
        <f>SUMIF('Allocation Factors'!$B$3:$B$89,'Current Income Tax Expense'!K9,'Allocation Factors'!$P$3:$P$89)</f>
        <v>0</v>
      </c>
      <c r="M9" s="30">
        <f t="shared" si="7"/>
        <v>0</v>
      </c>
      <c r="N9" s="30">
        <f t="shared" si="4"/>
        <v>0</v>
      </c>
      <c r="O9" s="30">
        <f t="shared" si="5"/>
        <v>0</v>
      </c>
      <c r="P9" s="30">
        <f t="shared" si="6"/>
        <v>0</v>
      </c>
    </row>
    <row r="10" spans="1:17">
      <c r="A10" s="90" t="s">
        <v>442</v>
      </c>
      <c r="B10" s="318" t="s">
        <v>8</v>
      </c>
      <c r="C10" s="273">
        <v>130.31</v>
      </c>
      <c r="D10" s="318" t="s">
        <v>8</v>
      </c>
      <c r="E10" s="276" t="s">
        <v>333</v>
      </c>
      <c r="F10" s="30">
        <v>1644</v>
      </c>
      <c r="G10" s="30">
        <f t="shared" si="0"/>
        <v>1644</v>
      </c>
      <c r="H10" s="30">
        <f t="shared" si="1"/>
        <v>0</v>
      </c>
      <c r="I10" s="30">
        <v>0</v>
      </c>
      <c r="J10" s="30">
        <f t="shared" si="2"/>
        <v>0</v>
      </c>
      <c r="K10" s="276" t="s">
        <v>331</v>
      </c>
      <c r="L10" s="270">
        <f>SUMIF('Allocation Factors'!$B$3:$B$89,'Current Income Tax Expense'!K10,'Allocation Factors'!$P$3:$P$89)</f>
        <v>0</v>
      </c>
      <c r="M10" s="30">
        <f t="shared" si="7"/>
        <v>0</v>
      </c>
      <c r="N10" s="30">
        <f t="shared" si="4"/>
        <v>0</v>
      </c>
      <c r="O10" s="30">
        <f t="shared" si="5"/>
        <v>0</v>
      </c>
      <c r="P10" s="30">
        <f t="shared" si="6"/>
        <v>0</v>
      </c>
    </row>
    <row r="11" spans="1:17">
      <c r="A11" s="90" t="s">
        <v>12</v>
      </c>
      <c r="B11" s="318" t="s">
        <v>8</v>
      </c>
      <c r="C11" s="273">
        <v>130.4</v>
      </c>
      <c r="D11" s="318">
        <v>7.5</v>
      </c>
      <c r="E11" s="276" t="s">
        <v>9</v>
      </c>
      <c r="F11" s="30">
        <v>39606</v>
      </c>
      <c r="G11" s="30">
        <f t="shared" si="0"/>
        <v>39606</v>
      </c>
      <c r="H11" s="30">
        <f t="shared" si="1"/>
        <v>39606</v>
      </c>
      <c r="I11" s="30">
        <v>-39606</v>
      </c>
      <c r="J11" s="30">
        <f t="shared" si="2"/>
        <v>0</v>
      </c>
      <c r="K11" s="276" t="s">
        <v>170</v>
      </c>
      <c r="L11" s="270">
        <f>SUMIF('Allocation Factors'!$B$3:$B$89,'Current Income Tax Expense'!K11,'Allocation Factors'!$P$3:$P$89)</f>
        <v>0.22591574269314921</v>
      </c>
      <c r="M11" s="30">
        <f t="shared" si="7"/>
        <v>8948</v>
      </c>
      <c r="N11" s="30">
        <f t="shared" si="4"/>
        <v>-8948</v>
      </c>
      <c r="O11" s="30">
        <f t="shared" si="5"/>
        <v>0</v>
      </c>
      <c r="P11" s="30">
        <f t="shared" si="6"/>
        <v>0</v>
      </c>
    </row>
    <row r="12" spans="1:17">
      <c r="A12" s="90" t="s">
        <v>405</v>
      </c>
      <c r="B12" s="318" t="s">
        <v>8</v>
      </c>
      <c r="C12" s="273">
        <v>130.51</v>
      </c>
      <c r="D12" s="318" t="s">
        <v>8</v>
      </c>
      <c r="E12" s="276" t="s">
        <v>333</v>
      </c>
      <c r="F12" s="30">
        <v>300000</v>
      </c>
      <c r="G12" s="30">
        <f t="shared" si="0"/>
        <v>300000</v>
      </c>
      <c r="H12" s="30">
        <f t="shared" si="1"/>
        <v>0</v>
      </c>
      <c r="I12" s="30">
        <v>0</v>
      </c>
      <c r="J12" s="30">
        <f t="shared" si="2"/>
        <v>0</v>
      </c>
      <c r="K12" s="276" t="s">
        <v>331</v>
      </c>
      <c r="L12" s="270">
        <f>SUMIF('Allocation Factors'!$B$3:$B$89,'Current Income Tax Expense'!K12,'Allocation Factors'!$P$3:$P$89)</f>
        <v>0</v>
      </c>
      <c r="M12" s="30">
        <f t="shared" ref="M12" si="9">ROUND(H12*L12,0)</f>
        <v>0</v>
      </c>
      <c r="N12" s="30">
        <f t="shared" ref="N12" si="10">ROUND(I12*L12,0)</f>
        <v>0</v>
      </c>
      <c r="O12" s="30">
        <f t="shared" ref="O12" si="11">SUM(M12:N12)</f>
        <v>0</v>
      </c>
      <c r="P12" s="30">
        <f t="shared" ref="P12" si="12">O12</f>
        <v>0</v>
      </c>
    </row>
    <row r="13" spans="1:17">
      <c r="A13" s="90" t="s">
        <v>388</v>
      </c>
      <c r="B13" s="318" t="s">
        <v>8</v>
      </c>
      <c r="C13" s="273">
        <v>130.75</v>
      </c>
      <c r="D13" s="318">
        <v>7.5</v>
      </c>
      <c r="E13" s="276" t="s">
        <v>9</v>
      </c>
      <c r="F13" s="30">
        <v>526530</v>
      </c>
      <c r="G13" s="30">
        <f t="shared" si="0"/>
        <v>526530</v>
      </c>
      <c r="H13" s="30">
        <f t="shared" si="1"/>
        <v>526530</v>
      </c>
      <c r="I13" s="30">
        <v>-46530</v>
      </c>
      <c r="J13" s="30">
        <f t="shared" si="2"/>
        <v>480000</v>
      </c>
      <c r="K13" s="276" t="s">
        <v>10</v>
      </c>
      <c r="L13" s="270">
        <f>SUMIF('Allocation Factors'!$B$3:$B$89,'Current Income Tax Expense'!K13,'Allocation Factors'!$P$3:$P$89)</f>
        <v>6.7017620954721469E-2</v>
      </c>
      <c r="M13" s="30">
        <f t="shared" si="7"/>
        <v>35287</v>
      </c>
      <c r="N13" s="30">
        <f t="shared" si="4"/>
        <v>-3118</v>
      </c>
      <c r="O13" s="30">
        <f t="shared" si="5"/>
        <v>32169</v>
      </c>
      <c r="P13" s="30">
        <f t="shared" ref="P13" si="13">O13</f>
        <v>32169</v>
      </c>
    </row>
    <row r="14" spans="1:17">
      <c r="A14" s="90" t="s">
        <v>404</v>
      </c>
      <c r="B14" s="318" t="s">
        <v>8</v>
      </c>
      <c r="C14" s="273">
        <v>130.755</v>
      </c>
      <c r="D14" s="318">
        <v>7.5</v>
      </c>
      <c r="E14" s="276" t="s">
        <v>9</v>
      </c>
      <c r="F14" s="30">
        <v>329061</v>
      </c>
      <c r="G14" s="30">
        <f t="shared" si="0"/>
        <v>329061</v>
      </c>
      <c r="H14" s="30">
        <f t="shared" si="1"/>
        <v>329061</v>
      </c>
      <c r="I14" s="30">
        <v>87939</v>
      </c>
      <c r="J14" s="30">
        <f t="shared" si="2"/>
        <v>417000</v>
      </c>
      <c r="K14" s="276" t="s">
        <v>10</v>
      </c>
      <c r="L14" s="270">
        <f>SUMIF('Allocation Factors'!$B$3:$B$89,'Current Income Tax Expense'!K14,'Allocation Factors'!$P$3:$P$89)</f>
        <v>6.7017620954721469E-2</v>
      </c>
      <c r="M14" s="30">
        <f t="shared" ref="M14" si="14">ROUND(H14*L14,0)</f>
        <v>22053</v>
      </c>
      <c r="N14" s="30">
        <f t="shared" ref="N14" si="15">ROUND(I14*L14,0)</f>
        <v>5893</v>
      </c>
      <c r="O14" s="30">
        <f t="shared" ref="O14" si="16">SUM(M14:N14)</f>
        <v>27946</v>
      </c>
      <c r="P14" s="30">
        <f t="shared" ref="P14" si="17">O14</f>
        <v>27946</v>
      </c>
    </row>
    <row r="15" spans="1:17">
      <c r="A15" s="90" t="s">
        <v>741</v>
      </c>
      <c r="B15" s="318" t="s">
        <v>8</v>
      </c>
      <c r="C15" s="273">
        <v>505.505</v>
      </c>
      <c r="D15" s="318">
        <v>7.5</v>
      </c>
      <c r="E15" s="276" t="s">
        <v>9</v>
      </c>
      <c r="F15" s="30">
        <v>-2499</v>
      </c>
      <c r="G15" s="30">
        <f t="shared" si="0"/>
        <v>-2499</v>
      </c>
      <c r="H15" s="30">
        <f t="shared" si="1"/>
        <v>-2499</v>
      </c>
      <c r="I15" s="30">
        <v>2499</v>
      </c>
      <c r="J15" s="30">
        <f t="shared" si="2"/>
        <v>0</v>
      </c>
      <c r="K15" s="276" t="s">
        <v>10</v>
      </c>
      <c r="L15" s="270">
        <f>SUMIF('Allocation Factors'!$B$3:$B$89,'Current Income Tax Expense'!K15,'Allocation Factors'!$P$3:$P$89)</f>
        <v>6.7017620954721469E-2</v>
      </c>
      <c r="M15" s="30">
        <f t="shared" si="7"/>
        <v>-167</v>
      </c>
      <c r="N15" s="30">
        <f t="shared" si="4"/>
        <v>167</v>
      </c>
      <c r="O15" s="30">
        <f t="shared" si="5"/>
        <v>0</v>
      </c>
      <c r="P15" s="30">
        <f t="shared" si="6"/>
        <v>0</v>
      </c>
    </row>
    <row r="16" spans="1:17">
      <c r="A16" s="90" t="s">
        <v>14</v>
      </c>
      <c r="B16" s="318" t="s">
        <v>8</v>
      </c>
      <c r="C16" s="273">
        <v>610.10599999999999</v>
      </c>
      <c r="D16" s="318">
        <v>7.5</v>
      </c>
      <c r="E16" s="276" t="s">
        <v>9</v>
      </c>
      <c r="F16" s="30">
        <v>18519</v>
      </c>
      <c r="G16" s="30">
        <f t="shared" si="0"/>
        <v>18519</v>
      </c>
      <c r="H16" s="30">
        <f t="shared" si="1"/>
        <v>18519</v>
      </c>
      <c r="I16" s="30">
        <v>-519</v>
      </c>
      <c r="J16" s="30">
        <f t="shared" si="2"/>
        <v>18000</v>
      </c>
      <c r="K16" s="276" t="s">
        <v>170</v>
      </c>
      <c r="L16" s="270">
        <f>SUMIF('Allocation Factors'!$B$3:$B$89,'Current Income Tax Expense'!K16,'Allocation Factors'!$P$3:$P$89)</f>
        <v>0.22591574269314921</v>
      </c>
      <c r="M16" s="30">
        <f t="shared" si="7"/>
        <v>4184</v>
      </c>
      <c r="N16" s="30">
        <f t="shared" si="4"/>
        <v>-117</v>
      </c>
      <c r="O16" s="30">
        <f t="shared" si="5"/>
        <v>4067</v>
      </c>
      <c r="P16" s="30">
        <f t="shared" si="6"/>
        <v>4067</v>
      </c>
    </row>
    <row r="17" spans="1:18">
      <c r="A17" s="28" t="s">
        <v>291</v>
      </c>
      <c r="B17" s="29" t="s">
        <v>8</v>
      </c>
      <c r="C17" s="273">
        <v>610.10699999999997</v>
      </c>
      <c r="D17" s="29">
        <v>7.5</v>
      </c>
      <c r="E17" s="29" t="s">
        <v>9</v>
      </c>
      <c r="F17" s="406">
        <v>9007</v>
      </c>
      <c r="G17" s="30">
        <f t="shared" si="0"/>
        <v>9007</v>
      </c>
      <c r="H17" s="30">
        <f t="shared" si="1"/>
        <v>9007</v>
      </c>
      <c r="I17" s="30">
        <v>-9007</v>
      </c>
      <c r="J17" s="30">
        <f t="shared" si="2"/>
        <v>0</v>
      </c>
      <c r="K17" s="276" t="s">
        <v>10</v>
      </c>
      <c r="L17" s="270">
        <f>SUMIF('Allocation Factors'!$B$3:$B$89,'Current Income Tax Expense'!K17,'Allocation Factors'!$P$3:$P$89)</f>
        <v>6.7017620954721469E-2</v>
      </c>
      <c r="M17" s="30">
        <f t="shared" si="7"/>
        <v>604</v>
      </c>
      <c r="N17" s="30">
        <f t="shared" si="4"/>
        <v>-604</v>
      </c>
      <c r="O17" s="30">
        <f t="shared" si="5"/>
        <v>0</v>
      </c>
      <c r="P17" s="30">
        <f t="shared" si="6"/>
        <v>0</v>
      </c>
    </row>
    <row r="18" spans="1:18" s="2" customFormat="1">
      <c r="A18" s="108" t="s">
        <v>281</v>
      </c>
      <c r="B18" s="37"/>
      <c r="C18" s="70"/>
      <c r="D18" s="70"/>
      <c r="E18" s="38"/>
      <c r="F18" s="27">
        <f t="shared" ref="F18:J18" si="18">SUBTOTAL(9,F4:F17)</f>
        <v>4740188</v>
      </c>
      <c r="G18" s="27">
        <f t="shared" si="18"/>
        <v>4740188</v>
      </c>
      <c r="H18" s="27">
        <f t="shared" si="18"/>
        <v>2558634</v>
      </c>
      <c r="I18" s="27">
        <f t="shared" si="18"/>
        <v>844550</v>
      </c>
      <c r="J18" s="27">
        <f t="shared" si="18"/>
        <v>3403184</v>
      </c>
      <c r="K18" s="69"/>
      <c r="L18" s="39"/>
      <c r="M18" s="27">
        <f>SUBTOTAL(9,M4:M17)</f>
        <v>180800</v>
      </c>
      <c r="N18" s="27">
        <f>SUBTOTAL(9,N4:N17)</f>
        <v>50235</v>
      </c>
      <c r="O18" s="27">
        <f>SUBTOTAL(9,O4:O17)</f>
        <v>231035</v>
      </c>
      <c r="P18" s="27">
        <f>SUBTOTAL(9,P4:P17)</f>
        <v>231035</v>
      </c>
    </row>
    <row r="19" spans="1:18">
      <c r="A19" s="90" t="s">
        <v>438</v>
      </c>
      <c r="B19" s="318" t="s">
        <v>8</v>
      </c>
      <c r="C19" s="273">
        <v>105.127</v>
      </c>
      <c r="D19" s="318">
        <v>7.5</v>
      </c>
      <c r="E19" s="276" t="s">
        <v>9</v>
      </c>
      <c r="F19" s="30">
        <v>19357</v>
      </c>
      <c r="G19" s="30">
        <f t="shared" ref="G19:G25" si="19">+F19</f>
        <v>19357</v>
      </c>
      <c r="H19" s="30">
        <f t="shared" ref="H19:H25" si="20">IF(E19="U",G19,0)</f>
        <v>19357</v>
      </c>
      <c r="I19" s="30">
        <v>-19357</v>
      </c>
      <c r="J19" s="30">
        <f t="shared" ref="J19:J25" si="21">SUM(H19:I19)</f>
        <v>0</v>
      </c>
      <c r="K19" s="276" t="s">
        <v>11</v>
      </c>
      <c r="L19" s="270">
        <f>SUMIF('Allocation Factors'!$B$3:$B$89,'Current Income Tax Expense'!K19,'Allocation Factors'!$P$3:$P$89)</f>
        <v>6.7702726582684086E-2</v>
      </c>
      <c r="M19" s="30">
        <f t="shared" si="7"/>
        <v>1311</v>
      </c>
      <c r="N19" s="30">
        <f t="shared" ref="N19" si="22">ROUND(I19*L19,0)</f>
        <v>-1311</v>
      </c>
      <c r="O19" s="30">
        <f t="shared" ref="O19" si="23">SUM(M19:N19)</f>
        <v>0</v>
      </c>
      <c r="P19" s="30">
        <f t="shared" ref="P19" si="24">O19</f>
        <v>0</v>
      </c>
    </row>
    <row r="20" spans="1:18">
      <c r="A20" s="90" t="s">
        <v>742</v>
      </c>
      <c r="B20" s="318" t="s">
        <v>8</v>
      </c>
      <c r="C20" s="273">
        <v>110.205</v>
      </c>
      <c r="D20" s="318">
        <v>7.5</v>
      </c>
      <c r="E20" s="276" t="s">
        <v>9</v>
      </c>
      <c r="F20" s="30">
        <v>0</v>
      </c>
      <c r="G20" s="30">
        <f t="shared" si="19"/>
        <v>0</v>
      </c>
      <c r="H20" s="30">
        <f t="shared" si="20"/>
        <v>0</v>
      </c>
      <c r="I20" s="30">
        <v>-516226</v>
      </c>
      <c r="J20" s="30">
        <f t="shared" si="21"/>
        <v>-516226</v>
      </c>
      <c r="K20" s="276" t="s">
        <v>13</v>
      </c>
      <c r="L20" s="270">
        <f>SUMIF('Allocation Factors'!$B$3:$B$89,'Current Income Tax Expense'!K20,'Allocation Factors'!$P$3:$P$89)</f>
        <v>7.4366076253439578E-2</v>
      </c>
      <c r="M20" s="30">
        <f t="shared" ref="M20:M25" si="25">ROUND(H20*L20,0)</f>
        <v>0</v>
      </c>
      <c r="N20" s="30">
        <f t="shared" ref="N20:N25" si="26">ROUND(I20*L20,0)</f>
        <v>-38390</v>
      </c>
      <c r="O20" s="30">
        <f t="shared" ref="O20:O25" si="27">SUM(M20:N20)</f>
        <v>-38390</v>
      </c>
      <c r="P20" s="30">
        <f t="shared" ref="P20:P25" si="28">O20</f>
        <v>-38390</v>
      </c>
    </row>
    <row r="21" spans="1:18">
      <c r="A21" s="90" t="s">
        <v>443</v>
      </c>
      <c r="B21" s="318" t="s">
        <v>8</v>
      </c>
      <c r="C21" s="273">
        <v>120.1</v>
      </c>
      <c r="D21" s="318">
        <v>7.5</v>
      </c>
      <c r="E21" s="276" t="s">
        <v>9</v>
      </c>
      <c r="F21" s="30">
        <v>-106610</v>
      </c>
      <c r="G21" s="30">
        <f t="shared" si="19"/>
        <v>-106610</v>
      </c>
      <c r="H21" s="30">
        <f t="shared" si="20"/>
        <v>-106610</v>
      </c>
      <c r="I21" s="30">
        <v>-1325</v>
      </c>
      <c r="J21" s="30">
        <f t="shared" si="21"/>
        <v>-107935</v>
      </c>
      <c r="K21" s="276" t="s">
        <v>16</v>
      </c>
      <c r="L21" s="270">
        <f>SUMIF('Allocation Factors'!$B$3:$B$89,'Current Income Tax Expense'!K21,'Allocation Factors'!$P$3:$P$89)</f>
        <v>6.0894111271351227E-2</v>
      </c>
      <c r="M21" s="30">
        <f t="shared" si="25"/>
        <v>-6492</v>
      </c>
      <c r="N21" s="30">
        <f t="shared" si="26"/>
        <v>-81</v>
      </c>
      <c r="O21" s="30">
        <f t="shared" si="27"/>
        <v>-6573</v>
      </c>
      <c r="P21" s="30">
        <f t="shared" si="28"/>
        <v>-6573</v>
      </c>
    </row>
    <row r="22" spans="1:18">
      <c r="A22" s="90" t="s">
        <v>444</v>
      </c>
      <c r="B22" s="318" t="s">
        <v>8</v>
      </c>
      <c r="C22" s="273">
        <v>130.5</v>
      </c>
      <c r="D22" s="318" t="s">
        <v>8</v>
      </c>
      <c r="E22" s="276" t="s">
        <v>333</v>
      </c>
      <c r="F22" s="30">
        <v>-3858136</v>
      </c>
      <c r="G22" s="30">
        <f t="shared" si="19"/>
        <v>-3858136</v>
      </c>
      <c r="H22" s="30">
        <f t="shared" si="20"/>
        <v>0</v>
      </c>
      <c r="I22" s="30">
        <v>0</v>
      </c>
      <c r="J22" s="30">
        <f t="shared" si="21"/>
        <v>0</v>
      </c>
      <c r="K22" s="276" t="s">
        <v>331</v>
      </c>
      <c r="L22" s="270">
        <f>SUMIF('Allocation Factors'!$B$3:$B$89,'Current Income Tax Expense'!K22,'Allocation Factors'!$P$3:$P$89)</f>
        <v>0</v>
      </c>
      <c r="M22" s="30">
        <f t="shared" si="25"/>
        <v>0</v>
      </c>
      <c r="N22" s="30">
        <f t="shared" si="26"/>
        <v>0</v>
      </c>
      <c r="O22" s="30">
        <f t="shared" si="27"/>
        <v>0</v>
      </c>
      <c r="P22" s="30">
        <f t="shared" si="28"/>
        <v>0</v>
      </c>
    </row>
    <row r="23" spans="1:18">
      <c r="A23" s="90" t="s">
        <v>310</v>
      </c>
      <c r="B23" s="318" t="s">
        <v>8</v>
      </c>
      <c r="C23" s="273">
        <v>130.65</v>
      </c>
      <c r="D23" s="318" t="s">
        <v>8</v>
      </c>
      <c r="E23" s="276" t="s">
        <v>333</v>
      </c>
      <c r="F23" s="30">
        <v>-202538</v>
      </c>
      <c r="G23" s="30">
        <f t="shared" si="19"/>
        <v>-202538</v>
      </c>
      <c r="H23" s="30">
        <f t="shared" si="20"/>
        <v>0</v>
      </c>
      <c r="I23" s="30">
        <v>0</v>
      </c>
      <c r="J23" s="30">
        <f t="shared" si="21"/>
        <v>0</v>
      </c>
      <c r="K23" s="276" t="s">
        <v>331</v>
      </c>
      <c r="L23" s="270">
        <f>SUMIF('Allocation Factors'!$B$3:$B$89,'Current Income Tax Expense'!K23,'Allocation Factors'!$P$3:$P$89)</f>
        <v>0</v>
      </c>
      <c r="M23" s="30">
        <f t="shared" si="25"/>
        <v>0</v>
      </c>
      <c r="N23" s="30">
        <f t="shared" si="26"/>
        <v>0</v>
      </c>
      <c r="O23" s="30">
        <f t="shared" si="27"/>
        <v>0</v>
      </c>
      <c r="P23" s="30">
        <f t="shared" si="28"/>
        <v>0</v>
      </c>
    </row>
    <row r="24" spans="1:18">
      <c r="A24" s="90" t="s">
        <v>632</v>
      </c>
      <c r="B24" s="318" t="s">
        <v>8</v>
      </c>
      <c r="C24" s="273">
        <v>910.9</v>
      </c>
      <c r="D24" s="318">
        <v>7.5</v>
      </c>
      <c r="E24" s="276" t="s">
        <v>9</v>
      </c>
      <c r="F24" s="30">
        <v>0</v>
      </c>
      <c r="G24" s="30">
        <f t="shared" si="19"/>
        <v>0</v>
      </c>
      <c r="H24" s="30">
        <f t="shared" si="20"/>
        <v>0</v>
      </c>
      <c r="I24" s="30">
        <v>-2475854</v>
      </c>
      <c r="J24" s="30">
        <f t="shared" si="21"/>
        <v>-2475854</v>
      </c>
      <c r="K24" s="276" t="s">
        <v>170</v>
      </c>
      <c r="L24" s="270">
        <f>SUMIF('Allocation Factors'!$B$3:$B$89,'Current Income Tax Expense'!K24,'Allocation Factors'!$P$3:$P$89)</f>
        <v>0.22591574269314921</v>
      </c>
      <c r="M24" s="30">
        <f t="shared" si="25"/>
        <v>0</v>
      </c>
      <c r="N24" s="30">
        <f t="shared" si="26"/>
        <v>-559334</v>
      </c>
      <c r="O24" s="30">
        <f t="shared" si="27"/>
        <v>-559334</v>
      </c>
      <c r="P24" s="30">
        <f t="shared" si="28"/>
        <v>-559334</v>
      </c>
    </row>
    <row r="25" spans="1:18">
      <c r="A25" s="90" t="s">
        <v>445</v>
      </c>
      <c r="B25" s="318" t="s">
        <v>8</v>
      </c>
      <c r="C25" s="273">
        <v>920.10599999999999</v>
      </c>
      <c r="D25" s="318" t="s">
        <v>8</v>
      </c>
      <c r="E25" s="276" t="s">
        <v>333</v>
      </c>
      <c r="F25" s="30">
        <v>-820546</v>
      </c>
      <c r="G25" s="30">
        <f t="shared" si="19"/>
        <v>-820546</v>
      </c>
      <c r="H25" s="30">
        <f t="shared" si="20"/>
        <v>0</v>
      </c>
      <c r="I25" s="30">
        <v>0</v>
      </c>
      <c r="J25" s="30">
        <f t="shared" si="21"/>
        <v>0</v>
      </c>
      <c r="K25" s="276" t="s">
        <v>331</v>
      </c>
      <c r="L25" s="270">
        <f>SUMIF('Allocation Factors'!$B$3:$B$89,'Current Income Tax Expense'!K25,'Allocation Factors'!$P$3:$P$89)</f>
        <v>0</v>
      </c>
      <c r="M25" s="30">
        <f t="shared" si="25"/>
        <v>0</v>
      </c>
      <c r="N25" s="30">
        <f t="shared" si="26"/>
        <v>0</v>
      </c>
      <c r="O25" s="30">
        <f t="shared" si="27"/>
        <v>0</v>
      </c>
      <c r="P25" s="30">
        <f t="shared" si="28"/>
        <v>0</v>
      </c>
    </row>
    <row r="26" spans="1:18" s="2" customFormat="1">
      <c r="A26" s="108" t="s">
        <v>282</v>
      </c>
      <c r="B26" s="288"/>
      <c r="C26" s="291"/>
      <c r="D26" s="291"/>
      <c r="E26" s="321"/>
      <c r="F26" s="27">
        <f t="shared" ref="F26:J26" si="29">SUBTOTAL(9,F19:F25)</f>
        <v>-4968473</v>
      </c>
      <c r="G26" s="27">
        <f t="shared" si="29"/>
        <v>-4968473</v>
      </c>
      <c r="H26" s="27">
        <f t="shared" si="29"/>
        <v>-87253</v>
      </c>
      <c r="I26" s="27">
        <f t="shared" si="29"/>
        <v>-3012762</v>
      </c>
      <c r="J26" s="27">
        <f t="shared" si="29"/>
        <v>-3100015</v>
      </c>
      <c r="K26" s="251"/>
      <c r="L26" s="287"/>
      <c r="M26" s="27">
        <f>SUBTOTAL(9,M19:M25)</f>
        <v>-5181</v>
      </c>
      <c r="N26" s="27">
        <f>SUBTOTAL(9,N19:N25)</f>
        <v>-599116</v>
      </c>
      <c r="O26" s="27">
        <f>SUBTOTAL(9,O19:O25)</f>
        <v>-604297</v>
      </c>
      <c r="P26" s="27">
        <f>SUBTOTAL(9,P19:P25)</f>
        <v>-604297</v>
      </c>
    </row>
    <row r="27" spans="1:18" s="2" customFormat="1">
      <c r="A27" s="108" t="s">
        <v>283</v>
      </c>
      <c r="B27" s="288"/>
      <c r="C27" s="291"/>
      <c r="D27" s="291"/>
      <c r="E27" s="321"/>
      <c r="F27" s="27">
        <f t="shared" ref="F27:J27" si="30">SUBTOTAL(9,F4:F26)</f>
        <v>-228285</v>
      </c>
      <c r="G27" s="27">
        <f t="shared" si="30"/>
        <v>-228285</v>
      </c>
      <c r="H27" s="27">
        <f t="shared" si="30"/>
        <v>2471381</v>
      </c>
      <c r="I27" s="27">
        <f t="shared" si="30"/>
        <v>-2168212</v>
      </c>
      <c r="J27" s="27">
        <f t="shared" si="30"/>
        <v>303169</v>
      </c>
      <c r="K27" s="251"/>
      <c r="L27" s="287"/>
      <c r="M27" s="27">
        <f>SUBTOTAL(9,M4:M26)</f>
        <v>175619</v>
      </c>
      <c r="N27" s="27">
        <f>SUBTOTAL(9,N4:N26)</f>
        <v>-548881</v>
      </c>
      <c r="O27" s="27">
        <f>SUBTOTAL(9,O4:O26)</f>
        <v>-373262</v>
      </c>
      <c r="P27" s="27">
        <f>SUBTOTAL(9,P4:P26)</f>
        <v>-373262</v>
      </c>
      <c r="Q27" s="433"/>
    </row>
    <row r="28" spans="1:18">
      <c r="A28" s="293" t="s">
        <v>446</v>
      </c>
      <c r="B28" s="267">
        <v>287605</v>
      </c>
      <c r="C28" s="294">
        <v>105.1</v>
      </c>
      <c r="D28" s="267" t="s">
        <v>8</v>
      </c>
      <c r="E28" s="267" t="s">
        <v>9</v>
      </c>
      <c r="F28" s="268">
        <v>1987044</v>
      </c>
      <c r="G28" s="30">
        <f t="shared" ref="G28:G59" si="31">+F28</f>
        <v>1987044</v>
      </c>
      <c r="H28" s="268">
        <f t="shared" ref="H28:H59" si="32">IF(E28="U",G28,0)</f>
        <v>1987044</v>
      </c>
      <c r="I28" s="268">
        <v>0</v>
      </c>
      <c r="J28" s="30">
        <f t="shared" ref="J28:J58" si="33">SUM(H28:I28)</f>
        <v>1987044</v>
      </c>
      <c r="K28" s="267" t="s">
        <v>10</v>
      </c>
      <c r="L28" s="270">
        <f>SUMIF('Allocation Factors'!$B$3:$B$89,'Current Income Tax Expense'!K28,'Allocation Factors'!$P$3:$P$89)</f>
        <v>6.7017620954721469E-2</v>
      </c>
      <c r="M28" s="30">
        <f t="shared" ref="M28:M91" si="34">ROUND(H28*L28,0)</f>
        <v>133167</v>
      </c>
      <c r="N28" s="268">
        <f t="shared" ref="N28:N58" si="35">ROUND(I28*L28,0)</f>
        <v>0</v>
      </c>
      <c r="O28" s="268">
        <f t="shared" ref="O28:O58" si="36">SUM(M28:N28)</f>
        <v>133167</v>
      </c>
      <c r="P28" s="268">
        <f t="shared" ref="P28:P64" si="37">O28</f>
        <v>133167</v>
      </c>
      <c r="Q28" s="394"/>
      <c r="R28" s="394"/>
    </row>
    <row r="29" spans="1:18">
      <c r="A29" s="28" t="s">
        <v>18</v>
      </c>
      <c r="B29" s="29">
        <v>287605</v>
      </c>
      <c r="C29" s="273">
        <v>105.12</v>
      </c>
      <c r="D29" s="276" t="s">
        <v>719</v>
      </c>
      <c r="E29" s="29" t="s">
        <v>9</v>
      </c>
      <c r="F29" s="30">
        <v>984007982</v>
      </c>
      <c r="G29" s="30">
        <f t="shared" si="31"/>
        <v>984007982</v>
      </c>
      <c r="H29" s="30">
        <f t="shared" si="32"/>
        <v>984007982</v>
      </c>
      <c r="I29" s="30">
        <f>+SCHMAT!E20</f>
        <v>-180778619</v>
      </c>
      <c r="J29" s="30">
        <f t="shared" si="33"/>
        <v>803229363</v>
      </c>
      <c r="K29" s="29" t="s">
        <v>11</v>
      </c>
      <c r="L29" s="270">
        <f>SUMIF('Allocation Factors'!$B$3:$B$89,'Current Income Tax Expense'!K29,'Allocation Factors'!$P$3:$P$89)</f>
        <v>6.7702726582684086E-2</v>
      </c>
      <c r="M29" s="30">
        <f t="shared" si="34"/>
        <v>66620023</v>
      </c>
      <c r="N29" s="30">
        <f t="shared" si="35"/>
        <v>-12239205</v>
      </c>
      <c r="O29" s="30">
        <f t="shared" si="36"/>
        <v>54380818</v>
      </c>
      <c r="P29" s="30">
        <f t="shared" si="37"/>
        <v>54380818</v>
      </c>
      <c r="Q29" s="394"/>
      <c r="R29" s="394"/>
    </row>
    <row r="30" spans="1:18">
      <c r="A30" s="28" t="s">
        <v>260</v>
      </c>
      <c r="B30" s="29">
        <v>287726</v>
      </c>
      <c r="C30" s="273">
        <v>105.121</v>
      </c>
      <c r="D30" s="29" t="s">
        <v>8</v>
      </c>
      <c r="E30" s="29" t="s">
        <v>9</v>
      </c>
      <c r="F30" s="30">
        <v>16620851</v>
      </c>
      <c r="G30" s="30">
        <f t="shared" si="31"/>
        <v>16620851</v>
      </c>
      <c r="H30" s="30">
        <f t="shared" si="32"/>
        <v>16620851</v>
      </c>
      <c r="I30" s="30">
        <v>0</v>
      </c>
      <c r="J30" s="30">
        <f t="shared" si="33"/>
        <v>16620851</v>
      </c>
      <c r="K30" s="276" t="s">
        <v>170</v>
      </c>
      <c r="L30" s="270">
        <f>SUMIF('Allocation Factors'!$B$3:$B$89,'Current Income Tax Expense'!K30,'Allocation Factors'!$P$3:$P$89)</f>
        <v>0.22591574269314921</v>
      </c>
      <c r="M30" s="30">
        <f t="shared" si="34"/>
        <v>3754912</v>
      </c>
      <c r="N30" s="30">
        <f t="shared" si="35"/>
        <v>0</v>
      </c>
      <c r="O30" s="30">
        <f t="shared" si="36"/>
        <v>3754912</v>
      </c>
      <c r="P30" s="30">
        <f t="shared" si="37"/>
        <v>3754912</v>
      </c>
      <c r="Q30" s="394"/>
      <c r="R30" s="394"/>
    </row>
    <row r="31" spans="1:18">
      <c r="A31" s="28" t="s">
        <v>262</v>
      </c>
      <c r="B31" s="29">
        <v>287605</v>
      </c>
      <c r="C31" s="273">
        <v>105.13</v>
      </c>
      <c r="D31" s="29" t="s">
        <v>8</v>
      </c>
      <c r="E31" s="29" t="s">
        <v>9</v>
      </c>
      <c r="F31" s="30">
        <v>103001232</v>
      </c>
      <c r="G31" s="30">
        <f t="shared" si="31"/>
        <v>103001232</v>
      </c>
      <c r="H31" s="30">
        <f t="shared" si="32"/>
        <v>103001232</v>
      </c>
      <c r="I31" s="30">
        <v>0</v>
      </c>
      <c r="J31" s="30">
        <f t="shared" si="33"/>
        <v>103001232</v>
      </c>
      <c r="K31" s="29" t="s">
        <v>20</v>
      </c>
      <c r="L31" s="270">
        <f>SUMIF('Allocation Factors'!$B$3:$B$89,'Current Income Tax Expense'!K31,'Allocation Factors'!$P$3:$P$89)</f>
        <v>6.4409240866138473E-2</v>
      </c>
      <c r="M31" s="30">
        <f t="shared" si="34"/>
        <v>6634231</v>
      </c>
      <c r="N31" s="30">
        <f t="shared" si="35"/>
        <v>0</v>
      </c>
      <c r="O31" s="30">
        <f t="shared" si="36"/>
        <v>6634231</v>
      </c>
      <c r="P31" s="30">
        <f t="shared" si="37"/>
        <v>6634231</v>
      </c>
      <c r="Q31" s="394"/>
      <c r="R31" s="394"/>
    </row>
    <row r="32" spans="1:18">
      <c r="A32" s="28" t="s">
        <v>296</v>
      </c>
      <c r="B32" s="29">
        <v>287605</v>
      </c>
      <c r="C32" s="273">
        <v>105.14</v>
      </c>
      <c r="D32" s="29" t="s">
        <v>8</v>
      </c>
      <c r="E32" s="29" t="s">
        <v>9</v>
      </c>
      <c r="F32" s="30">
        <v>2098862</v>
      </c>
      <c r="G32" s="30">
        <f t="shared" si="31"/>
        <v>2098862</v>
      </c>
      <c r="H32" s="30">
        <f t="shared" si="32"/>
        <v>2098862</v>
      </c>
      <c r="I32" s="30">
        <v>0</v>
      </c>
      <c r="J32" s="30">
        <f t="shared" si="33"/>
        <v>2098862</v>
      </c>
      <c r="K32" s="29" t="s">
        <v>21</v>
      </c>
      <c r="L32" s="270">
        <f>SUMIF('Allocation Factors'!$B$3:$B$89,'Current Income Tax Expense'!K32,'Allocation Factors'!$P$3:$P$89)</f>
        <v>6.4409240866138473E-2</v>
      </c>
      <c r="M32" s="30">
        <f t="shared" si="34"/>
        <v>135186</v>
      </c>
      <c r="N32" s="30">
        <f t="shared" si="35"/>
        <v>0</v>
      </c>
      <c r="O32" s="30">
        <f t="shared" si="36"/>
        <v>135186</v>
      </c>
      <c r="P32" s="30">
        <f t="shared" si="37"/>
        <v>135186</v>
      </c>
      <c r="Q32" s="394"/>
      <c r="R32" s="394"/>
    </row>
    <row r="33" spans="1:18">
      <c r="A33" s="28" t="s">
        <v>263</v>
      </c>
      <c r="B33" s="29">
        <v>287605</v>
      </c>
      <c r="C33" s="273">
        <v>105.142</v>
      </c>
      <c r="D33" s="29" t="s">
        <v>8</v>
      </c>
      <c r="E33" s="29" t="s">
        <v>9</v>
      </c>
      <c r="F33" s="30">
        <v>41261751</v>
      </c>
      <c r="G33" s="30">
        <f t="shared" si="31"/>
        <v>41261751</v>
      </c>
      <c r="H33" s="30">
        <f t="shared" si="32"/>
        <v>41261751</v>
      </c>
      <c r="I33" s="30">
        <v>0</v>
      </c>
      <c r="J33" s="30">
        <f t="shared" si="33"/>
        <v>41261751</v>
      </c>
      <c r="K33" s="29" t="s">
        <v>16</v>
      </c>
      <c r="L33" s="270">
        <f>SUMIF('Allocation Factors'!$B$3:$B$89,'Current Income Tax Expense'!K33,'Allocation Factors'!$P$3:$P$89)</f>
        <v>6.0894111271351227E-2</v>
      </c>
      <c r="M33" s="30">
        <f t="shared" si="34"/>
        <v>2512598</v>
      </c>
      <c r="N33" s="30">
        <f t="shared" si="35"/>
        <v>0</v>
      </c>
      <c r="O33" s="30">
        <f t="shared" si="36"/>
        <v>2512598</v>
      </c>
      <c r="P33" s="30">
        <f t="shared" si="37"/>
        <v>2512598</v>
      </c>
      <c r="Q33" s="394"/>
      <c r="R33" s="394"/>
    </row>
    <row r="34" spans="1:18">
      <c r="A34" s="28" t="s">
        <v>23</v>
      </c>
      <c r="B34" s="29">
        <v>287339</v>
      </c>
      <c r="C34" s="273" t="s">
        <v>24</v>
      </c>
      <c r="D34" s="29" t="s">
        <v>8</v>
      </c>
      <c r="E34" s="29" t="s">
        <v>333</v>
      </c>
      <c r="F34" s="30">
        <v>8868356</v>
      </c>
      <c r="G34" s="30">
        <f t="shared" si="31"/>
        <v>8868356</v>
      </c>
      <c r="H34" s="30">
        <f t="shared" si="32"/>
        <v>0</v>
      </c>
      <c r="I34" s="30">
        <v>0</v>
      </c>
      <c r="J34" s="30">
        <f t="shared" si="33"/>
        <v>0</v>
      </c>
      <c r="K34" s="29" t="s">
        <v>331</v>
      </c>
      <c r="L34" s="270">
        <f>SUMIF('Allocation Factors'!$B$3:$B$89,'Current Income Tax Expense'!K34,'Allocation Factors'!$P$3:$P$89)</f>
        <v>0</v>
      </c>
      <c r="M34" s="30">
        <f t="shared" si="34"/>
        <v>0</v>
      </c>
      <c r="N34" s="30">
        <f t="shared" si="35"/>
        <v>0</v>
      </c>
      <c r="O34" s="30">
        <f t="shared" si="36"/>
        <v>0</v>
      </c>
      <c r="P34" s="30">
        <f t="shared" si="37"/>
        <v>0</v>
      </c>
      <c r="Q34" s="394"/>
      <c r="R34" s="394"/>
    </row>
    <row r="35" spans="1:18">
      <c r="A35" s="28" t="s">
        <v>300</v>
      </c>
      <c r="B35" s="29">
        <v>287313</v>
      </c>
      <c r="C35" s="273">
        <v>105.46</v>
      </c>
      <c r="D35" s="29" t="s">
        <v>8</v>
      </c>
      <c r="E35" s="29" t="s">
        <v>333</v>
      </c>
      <c r="F35" s="30">
        <v>-35266001</v>
      </c>
      <c r="G35" s="30">
        <f t="shared" si="31"/>
        <v>-35266001</v>
      </c>
      <c r="H35" s="30">
        <f t="shared" si="32"/>
        <v>0</v>
      </c>
      <c r="I35" s="30">
        <v>0</v>
      </c>
      <c r="J35" s="30">
        <f t="shared" si="33"/>
        <v>0</v>
      </c>
      <c r="K35" s="29" t="s">
        <v>331</v>
      </c>
      <c r="L35" s="270">
        <f>SUMIF('Allocation Factors'!$B$3:$B$89,'Current Income Tax Expense'!K35,'Allocation Factors'!$P$3:$P$89)</f>
        <v>0</v>
      </c>
      <c r="M35" s="30">
        <f t="shared" si="34"/>
        <v>0</v>
      </c>
      <c r="N35" s="30">
        <f t="shared" si="35"/>
        <v>0</v>
      </c>
      <c r="O35" s="30">
        <f t="shared" si="36"/>
        <v>0</v>
      </c>
      <c r="P35" s="30">
        <f t="shared" si="37"/>
        <v>0</v>
      </c>
      <c r="Q35" s="394"/>
      <c r="R35" s="394"/>
    </row>
    <row r="36" spans="1:18">
      <c r="A36" s="28" t="s">
        <v>27</v>
      </c>
      <c r="B36" s="29">
        <v>287650</v>
      </c>
      <c r="C36" s="273">
        <v>205.1</v>
      </c>
      <c r="D36" s="29" t="s">
        <v>8</v>
      </c>
      <c r="E36" s="29" t="s">
        <v>9</v>
      </c>
      <c r="F36" s="30">
        <v>248274</v>
      </c>
      <c r="G36" s="30">
        <f t="shared" si="31"/>
        <v>248274</v>
      </c>
      <c r="H36" s="30">
        <f t="shared" si="32"/>
        <v>248274</v>
      </c>
      <c r="I36" s="30">
        <v>0</v>
      </c>
      <c r="J36" s="30">
        <f t="shared" si="33"/>
        <v>248274</v>
      </c>
      <c r="K36" s="276" t="s">
        <v>119</v>
      </c>
      <c r="L36" s="270">
        <f>SUMIF('Allocation Factors'!$B$3:$B$89,'Current Income Tax Expense'!K36,'Allocation Factors'!$P$3:$P$89)</f>
        <v>0</v>
      </c>
      <c r="M36" s="30">
        <f t="shared" si="34"/>
        <v>0</v>
      </c>
      <c r="N36" s="30">
        <f t="shared" si="35"/>
        <v>0</v>
      </c>
      <c r="O36" s="30">
        <f t="shared" si="36"/>
        <v>0</v>
      </c>
      <c r="P36" s="30">
        <f t="shared" si="37"/>
        <v>0</v>
      </c>
      <c r="Q36" s="394"/>
      <c r="R36" s="394"/>
    </row>
    <row r="37" spans="1:18">
      <c r="A37" s="90" t="s">
        <v>447</v>
      </c>
      <c r="B37" s="29">
        <v>287708</v>
      </c>
      <c r="C37" s="273">
        <v>210.2</v>
      </c>
      <c r="D37" s="29" t="s">
        <v>8</v>
      </c>
      <c r="E37" s="29" t="s">
        <v>9</v>
      </c>
      <c r="F37" s="30">
        <v>-591042</v>
      </c>
      <c r="G37" s="30">
        <f t="shared" si="31"/>
        <v>-591042</v>
      </c>
      <c r="H37" s="30">
        <f t="shared" si="32"/>
        <v>-591042</v>
      </c>
      <c r="I37" s="30">
        <v>0</v>
      </c>
      <c r="J37" s="30">
        <f t="shared" si="33"/>
        <v>-591042</v>
      </c>
      <c r="K37" s="276" t="s">
        <v>49</v>
      </c>
      <c r="L37" s="270">
        <f>SUMIF('Allocation Factors'!$B$3:$B$89,'Current Income Tax Expense'!K37,'Allocation Factors'!$P$3:$P$89)</f>
        <v>6.7017620954721469E-2</v>
      </c>
      <c r="M37" s="30">
        <f t="shared" si="34"/>
        <v>-39610</v>
      </c>
      <c r="N37" s="30">
        <f t="shared" si="35"/>
        <v>0</v>
      </c>
      <c r="O37" s="30">
        <f t="shared" si="36"/>
        <v>-39610</v>
      </c>
      <c r="P37" s="30">
        <f t="shared" si="37"/>
        <v>-39610</v>
      </c>
      <c r="Q37" s="394"/>
      <c r="R37" s="394"/>
    </row>
    <row r="38" spans="1:18">
      <c r="A38" s="28" t="s">
        <v>448</v>
      </c>
      <c r="B38" s="29">
        <v>287340</v>
      </c>
      <c r="C38" s="273">
        <v>220.1</v>
      </c>
      <c r="D38" s="29" t="s">
        <v>8</v>
      </c>
      <c r="E38" s="29" t="s">
        <v>9</v>
      </c>
      <c r="F38" s="30">
        <v>397328</v>
      </c>
      <c r="G38" s="30">
        <f t="shared" si="31"/>
        <v>397328</v>
      </c>
      <c r="H38" s="30">
        <f t="shared" si="32"/>
        <v>397328</v>
      </c>
      <c r="I38" s="30">
        <v>0</v>
      </c>
      <c r="J38" s="30">
        <f t="shared" si="33"/>
        <v>397328</v>
      </c>
      <c r="K38" s="276" t="s">
        <v>58</v>
      </c>
      <c r="L38" s="270">
        <f>SUMIF('Allocation Factors'!$B$3:$B$89,'Current Income Tax Expense'!K38,'Allocation Factors'!$P$3:$P$89)</f>
        <v>0.12556621707988092</v>
      </c>
      <c r="M38" s="30">
        <f t="shared" si="34"/>
        <v>49891</v>
      </c>
      <c r="N38" s="30">
        <f t="shared" si="35"/>
        <v>0</v>
      </c>
      <c r="O38" s="30">
        <f t="shared" si="36"/>
        <v>49891</v>
      </c>
      <c r="P38" s="30">
        <f t="shared" si="37"/>
        <v>49891</v>
      </c>
      <c r="Q38" s="394"/>
      <c r="R38" s="394"/>
    </row>
    <row r="39" spans="1:18">
      <c r="A39" s="28" t="s">
        <v>449</v>
      </c>
      <c r="B39" s="29">
        <v>287738</v>
      </c>
      <c r="C39" s="273">
        <v>320.27</v>
      </c>
      <c r="D39" s="29" t="s">
        <v>8</v>
      </c>
      <c r="E39" s="276" t="s">
        <v>333</v>
      </c>
      <c r="F39" s="30">
        <v>36371746</v>
      </c>
      <c r="G39" s="30">
        <f t="shared" si="31"/>
        <v>36371746</v>
      </c>
      <c r="H39" s="30">
        <f t="shared" si="32"/>
        <v>0</v>
      </c>
      <c r="I39" s="30">
        <v>0</v>
      </c>
      <c r="J39" s="30">
        <f t="shared" si="33"/>
        <v>0</v>
      </c>
      <c r="K39" s="276" t="s">
        <v>331</v>
      </c>
      <c r="L39" s="270">
        <f>SUMIF('Allocation Factors'!$B$3:$B$89,'Current Income Tax Expense'!K39,'Allocation Factors'!$P$3:$P$89)</f>
        <v>0</v>
      </c>
      <c r="M39" s="30">
        <f t="shared" si="34"/>
        <v>0</v>
      </c>
      <c r="N39" s="30">
        <f t="shared" si="35"/>
        <v>0</v>
      </c>
      <c r="O39" s="30">
        <f t="shared" si="36"/>
        <v>0</v>
      </c>
      <c r="P39" s="30">
        <f t="shared" si="37"/>
        <v>0</v>
      </c>
      <c r="Q39" s="394"/>
      <c r="R39" s="394"/>
    </row>
    <row r="40" spans="1:18">
      <c r="A40" s="28" t="s">
        <v>450</v>
      </c>
      <c r="B40" s="29">
        <v>287739</v>
      </c>
      <c r="C40" s="273">
        <v>320.27999999999997</v>
      </c>
      <c r="D40" s="29" t="s">
        <v>8</v>
      </c>
      <c r="E40" s="276" t="s">
        <v>333</v>
      </c>
      <c r="F40" s="30">
        <v>-14044478</v>
      </c>
      <c r="G40" s="30">
        <f t="shared" si="31"/>
        <v>-14044478</v>
      </c>
      <c r="H40" s="30">
        <f t="shared" si="32"/>
        <v>0</v>
      </c>
      <c r="I40" s="30">
        <v>0</v>
      </c>
      <c r="J40" s="30">
        <f t="shared" si="33"/>
        <v>0</v>
      </c>
      <c r="K40" s="276" t="s">
        <v>331</v>
      </c>
      <c r="L40" s="270">
        <f>SUMIF('Allocation Factors'!$B$3:$B$89,'Current Income Tax Expense'!K40,'Allocation Factors'!$P$3:$P$89)</f>
        <v>0</v>
      </c>
      <c r="M40" s="30">
        <f t="shared" si="34"/>
        <v>0</v>
      </c>
      <c r="N40" s="30">
        <f t="shared" si="35"/>
        <v>0</v>
      </c>
      <c r="O40" s="30">
        <f t="shared" si="36"/>
        <v>0</v>
      </c>
      <c r="P40" s="30">
        <f t="shared" si="37"/>
        <v>0</v>
      </c>
      <c r="Q40" s="394"/>
      <c r="R40" s="394"/>
    </row>
    <row r="41" spans="1:18">
      <c r="A41" s="90" t="s">
        <v>451</v>
      </c>
      <c r="B41" s="29">
        <v>287848</v>
      </c>
      <c r="C41" s="273">
        <v>320.28100000000001</v>
      </c>
      <c r="D41" s="29" t="s">
        <v>8</v>
      </c>
      <c r="E41" s="276" t="s">
        <v>333</v>
      </c>
      <c r="F41" s="30">
        <v>353077</v>
      </c>
      <c r="G41" s="30">
        <f t="shared" si="31"/>
        <v>353077</v>
      </c>
      <c r="H41" s="30">
        <f t="shared" si="32"/>
        <v>0</v>
      </c>
      <c r="I41" s="30">
        <v>0</v>
      </c>
      <c r="J41" s="30">
        <f t="shared" si="33"/>
        <v>0</v>
      </c>
      <c r="K41" s="276" t="s">
        <v>331</v>
      </c>
      <c r="L41" s="270">
        <f>SUMIF('Allocation Factors'!$B$3:$B$89,'Current Income Tax Expense'!K41,'Allocation Factors'!$P$3:$P$89)</f>
        <v>0</v>
      </c>
      <c r="M41" s="30">
        <f t="shared" si="34"/>
        <v>0</v>
      </c>
      <c r="N41" s="30">
        <f t="shared" si="35"/>
        <v>0</v>
      </c>
      <c r="O41" s="30">
        <f t="shared" si="36"/>
        <v>0</v>
      </c>
      <c r="P41" s="30">
        <f t="shared" si="37"/>
        <v>0</v>
      </c>
      <c r="Q41" s="394"/>
      <c r="R41" s="394"/>
    </row>
    <row r="42" spans="1:18">
      <c r="A42" s="90" t="s">
        <v>452</v>
      </c>
      <c r="B42" s="29">
        <v>287933</v>
      </c>
      <c r="C42" s="273">
        <v>320.28199999999998</v>
      </c>
      <c r="D42" s="29" t="s">
        <v>8</v>
      </c>
      <c r="E42" s="276" t="s">
        <v>9</v>
      </c>
      <c r="F42" s="30">
        <v>-291300</v>
      </c>
      <c r="G42" s="30">
        <f t="shared" si="31"/>
        <v>-291300</v>
      </c>
      <c r="H42" s="30">
        <f t="shared" si="32"/>
        <v>-291300</v>
      </c>
      <c r="I42" s="30">
        <v>0</v>
      </c>
      <c r="J42" s="30">
        <f t="shared" si="33"/>
        <v>-291300</v>
      </c>
      <c r="K42" s="276" t="s">
        <v>28</v>
      </c>
      <c r="L42" s="270">
        <f>SUMIF('Allocation Factors'!$B$3:$B$89,'Current Income Tax Expense'!K42,'Allocation Factors'!$P$3:$P$89)</f>
        <v>0</v>
      </c>
      <c r="M42" s="30">
        <f t="shared" si="34"/>
        <v>0</v>
      </c>
      <c r="N42" s="30">
        <f t="shared" si="35"/>
        <v>0</v>
      </c>
      <c r="O42" s="30">
        <f t="shared" si="36"/>
        <v>0</v>
      </c>
      <c r="P42" s="30">
        <f t="shared" si="37"/>
        <v>0</v>
      </c>
      <c r="Q42" s="394"/>
      <c r="R42" s="394"/>
    </row>
    <row r="43" spans="1:18">
      <c r="A43" s="90" t="s">
        <v>453</v>
      </c>
      <c r="B43" s="29">
        <v>287934</v>
      </c>
      <c r="C43" s="273">
        <v>320.28300000000002</v>
      </c>
      <c r="D43" s="29" t="s">
        <v>8</v>
      </c>
      <c r="E43" s="276" t="s">
        <v>9</v>
      </c>
      <c r="F43" s="30">
        <v>22244</v>
      </c>
      <c r="G43" s="30">
        <f t="shared" si="31"/>
        <v>22244</v>
      </c>
      <c r="H43" s="30">
        <f t="shared" si="32"/>
        <v>22244</v>
      </c>
      <c r="I43" s="30">
        <v>0</v>
      </c>
      <c r="J43" s="30">
        <f t="shared" si="33"/>
        <v>22244</v>
      </c>
      <c r="K43" s="276" t="s">
        <v>32</v>
      </c>
      <c r="L43" s="270">
        <f>SUMIF('Allocation Factors'!$B$3:$B$89,'Current Income Tax Expense'!K43,'Allocation Factors'!$P$3:$P$89)</f>
        <v>0</v>
      </c>
      <c r="M43" s="30">
        <f t="shared" si="34"/>
        <v>0</v>
      </c>
      <c r="N43" s="30">
        <f t="shared" si="35"/>
        <v>0</v>
      </c>
      <c r="O43" s="30">
        <f t="shared" si="36"/>
        <v>0</v>
      </c>
      <c r="P43" s="30">
        <f t="shared" si="37"/>
        <v>0</v>
      </c>
      <c r="Q43" s="394"/>
      <c r="R43" s="394"/>
    </row>
    <row r="44" spans="1:18">
      <c r="A44" s="90" t="s">
        <v>454</v>
      </c>
      <c r="B44" s="29">
        <v>287939</v>
      </c>
      <c r="C44" s="273">
        <v>415.11500000000001</v>
      </c>
      <c r="D44" s="29" t="s">
        <v>8</v>
      </c>
      <c r="E44" s="276" t="s">
        <v>9</v>
      </c>
      <c r="F44" s="30">
        <v>8870502</v>
      </c>
      <c r="G44" s="30">
        <f t="shared" si="31"/>
        <v>8870502</v>
      </c>
      <c r="H44" s="30">
        <f t="shared" si="32"/>
        <v>8870502</v>
      </c>
      <c r="I44" s="30">
        <v>0</v>
      </c>
      <c r="J44" s="30">
        <f t="shared" si="33"/>
        <v>8870502</v>
      </c>
      <c r="K44" s="276" t="s">
        <v>15</v>
      </c>
      <c r="L44" s="270">
        <f>SUMIF('Allocation Factors'!$B$3:$B$89,'Current Income Tax Expense'!K44,'Allocation Factors'!$P$3:$P$89)</f>
        <v>0</v>
      </c>
      <c r="M44" s="30">
        <f t="shared" si="34"/>
        <v>0</v>
      </c>
      <c r="N44" s="30">
        <f t="shared" si="35"/>
        <v>0</v>
      </c>
      <c r="O44" s="30">
        <f t="shared" si="36"/>
        <v>0</v>
      </c>
      <c r="P44" s="30">
        <f t="shared" si="37"/>
        <v>0</v>
      </c>
      <c r="Q44" s="394"/>
      <c r="R44" s="394"/>
    </row>
    <row r="45" spans="1:18">
      <c r="A45" s="28" t="s">
        <v>455</v>
      </c>
      <c r="B45" s="29">
        <v>287591</v>
      </c>
      <c r="C45" s="273">
        <v>415.30099999999999</v>
      </c>
      <c r="D45" s="29">
        <v>4.1100000000000003</v>
      </c>
      <c r="E45" s="29" t="s">
        <v>9</v>
      </c>
      <c r="F45" s="30">
        <v>103765</v>
      </c>
      <c r="G45" s="30">
        <f t="shared" si="31"/>
        <v>103765</v>
      </c>
      <c r="H45" s="30">
        <f t="shared" si="32"/>
        <v>103765</v>
      </c>
      <c r="I45" s="30">
        <f>-H45</f>
        <v>-103765</v>
      </c>
      <c r="J45" s="30">
        <f t="shared" si="33"/>
        <v>0</v>
      </c>
      <c r="K45" s="29" t="s">
        <v>26</v>
      </c>
      <c r="L45" s="270">
        <f>SUMIF('Allocation Factors'!$B$3:$B$89,'Current Income Tax Expense'!K45,'Allocation Factors'!$P$3:$P$89)</f>
        <v>1</v>
      </c>
      <c r="M45" s="30">
        <f t="shared" si="34"/>
        <v>103765</v>
      </c>
      <c r="N45" s="30">
        <f t="shared" si="35"/>
        <v>-103765</v>
      </c>
      <c r="O45" s="30">
        <f t="shared" si="36"/>
        <v>0</v>
      </c>
      <c r="P45" s="30">
        <f t="shared" si="37"/>
        <v>0</v>
      </c>
      <c r="Q45" s="394"/>
      <c r="R45" s="394"/>
    </row>
    <row r="46" spans="1:18">
      <c r="A46" s="90" t="s">
        <v>363</v>
      </c>
      <c r="B46" s="29">
        <v>287849</v>
      </c>
      <c r="C46" s="273">
        <v>415.42399999999998</v>
      </c>
      <c r="D46" s="29" t="s">
        <v>8</v>
      </c>
      <c r="E46" s="29" t="s">
        <v>9</v>
      </c>
      <c r="F46" s="30">
        <v>15773673</v>
      </c>
      <c r="G46" s="30">
        <f t="shared" si="31"/>
        <v>15773673</v>
      </c>
      <c r="H46" s="30">
        <f t="shared" si="32"/>
        <v>15773673</v>
      </c>
      <c r="I46" s="30">
        <v>0</v>
      </c>
      <c r="J46" s="30">
        <f t="shared" si="33"/>
        <v>15773673</v>
      </c>
      <c r="K46" s="276" t="s">
        <v>119</v>
      </c>
      <c r="L46" s="270">
        <f>SUMIF('Allocation Factors'!$B$3:$B$89,'Current Income Tax Expense'!K46,'Allocation Factors'!$P$3:$P$89)</f>
        <v>0</v>
      </c>
      <c r="M46" s="30">
        <f t="shared" si="34"/>
        <v>0</v>
      </c>
      <c r="N46" s="30">
        <f t="shared" si="35"/>
        <v>0</v>
      </c>
      <c r="O46" s="30">
        <f t="shared" si="36"/>
        <v>0</v>
      </c>
      <c r="P46" s="30">
        <f t="shared" si="37"/>
        <v>0</v>
      </c>
      <c r="Q46" s="394"/>
      <c r="R46" s="394"/>
    </row>
    <row r="47" spans="1:18">
      <c r="A47" s="90" t="s">
        <v>406</v>
      </c>
      <c r="B47" s="29">
        <v>287850</v>
      </c>
      <c r="C47" s="273">
        <v>415.42500000000001</v>
      </c>
      <c r="D47" s="29" t="s">
        <v>8</v>
      </c>
      <c r="E47" s="29" t="s">
        <v>9</v>
      </c>
      <c r="F47" s="30">
        <v>453581</v>
      </c>
      <c r="G47" s="30">
        <f t="shared" si="31"/>
        <v>453581</v>
      </c>
      <c r="H47" s="30">
        <f t="shared" si="32"/>
        <v>453581</v>
      </c>
      <c r="I47" s="30">
        <v>0</v>
      </c>
      <c r="J47" s="30">
        <f t="shared" si="33"/>
        <v>453581</v>
      </c>
      <c r="K47" s="276" t="s">
        <v>15</v>
      </c>
      <c r="L47" s="270">
        <f>SUMIF('Allocation Factors'!$B$3:$B$89,'Current Income Tax Expense'!K47,'Allocation Factors'!$P$3:$P$89)</f>
        <v>0</v>
      </c>
      <c r="M47" s="30">
        <f t="shared" ref="M47" si="38">ROUND(H47*L47,0)</f>
        <v>0</v>
      </c>
      <c r="N47" s="30">
        <f t="shared" ref="N47" si="39">ROUND(I47*L47,0)</f>
        <v>0</v>
      </c>
      <c r="O47" s="30">
        <f t="shared" ref="O47" si="40">SUM(M47:N47)</f>
        <v>0</v>
      </c>
      <c r="P47" s="30">
        <f t="shared" ref="P47" si="41">O47</f>
        <v>0</v>
      </c>
      <c r="Q47" s="394"/>
      <c r="R47" s="394"/>
    </row>
    <row r="48" spans="1:18">
      <c r="A48" s="90" t="s">
        <v>743</v>
      </c>
      <c r="B48" s="29">
        <v>286911</v>
      </c>
      <c r="C48" s="273">
        <v>415.43</v>
      </c>
      <c r="D48" s="29" t="s">
        <v>8</v>
      </c>
      <c r="E48" s="29" t="s">
        <v>9</v>
      </c>
      <c r="F48" s="30">
        <v>444891</v>
      </c>
      <c r="G48" s="30">
        <f t="shared" si="31"/>
        <v>444891</v>
      </c>
      <c r="H48" s="30">
        <f t="shared" si="32"/>
        <v>444891</v>
      </c>
      <c r="I48" s="30">
        <v>0</v>
      </c>
      <c r="J48" s="30">
        <f t="shared" si="33"/>
        <v>444891</v>
      </c>
      <c r="K48" s="276" t="s">
        <v>15</v>
      </c>
      <c r="L48" s="270">
        <f>SUMIF('Allocation Factors'!$B$3:$B$89,'Current Income Tax Expense'!K48,'Allocation Factors'!$P$3:$P$89)</f>
        <v>0</v>
      </c>
      <c r="M48" s="30">
        <f t="shared" ref="M48" si="42">ROUND(H48*L48,0)</f>
        <v>0</v>
      </c>
      <c r="N48" s="30">
        <f t="shared" ref="N48" si="43">ROUND(I48*L48,0)</f>
        <v>0</v>
      </c>
      <c r="O48" s="30">
        <f t="shared" ref="O48" si="44">SUM(M48:N48)</f>
        <v>0</v>
      </c>
      <c r="P48" s="30">
        <f t="shared" ref="P48" si="45">O48</f>
        <v>0</v>
      </c>
      <c r="Q48" s="394"/>
      <c r="R48" s="394"/>
    </row>
    <row r="49" spans="1:18">
      <c r="A49" s="28" t="s">
        <v>456</v>
      </c>
      <c r="B49" s="29">
        <v>287639</v>
      </c>
      <c r="C49" s="273">
        <v>415.51</v>
      </c>
      <c r="D49" s="29">
        <v>5.3</v>
      </c>
      <c r="E49" s="29" t="s">
        <v>9</v>
      </c>
      <c r="F49" s="30">
        <v>52188</v>
      </c>
      <c r="G49" s="30">
        <f t="shared" si="31"/>
        <v>52188</v>
      </c>
      <c r="H49" s="30">
        <f t="shared" si="32"/>
        <v>52188</v>
      </c>
      <c r="I49" s="30">
        <f>-H49</f>
        <v>-52188</v>
      </c>
      <c r="J49" s="30">
        <f t="shared" si="33"/>
        <v>0</v>
      </c>
      <c r="K49" s="29" t="s">
        <v>26</v>
      </c>
      <c r="L49" s="270">
        <f>SUMIF('Allocation Factors'!$B$3:$B$89,'Current Income Tax Expense'!K49,'Allocation Factors'!$P$3:$P$89)</f>
        <v>1</v>
      </c>
      <c r="M49" s="30">
        <f t="shared" si="34"/>
        <v>52188</v>
      </c>
      <c r="N49" s="30">
        <f t="shared" si="35"/>
        <v>-52188</v>
      </c>
      <c r="O49" s="30">
        <f t="shared" si="36"/>
        <v>0</v>
      </c>
      <c r="P49" s="30">
        <f t="shared" si="37"/>
        <v>0</v>
      </c>
      <c r="Q49" s="394"/>
      <c r="R49" s="394"/>
    </row>
    <row r="50" spans="1:18">
      <c r="A50" s="28" t="s">
        <v>457</v>
      </c>
      <c r="B50" s="29">
        <v>287571</v>
      </c>
      <c r="C50" s="273">
        <v>415.702</v>
      </c>
      <c r="D50" s="29" t="s">
        <v>8</v>
      </c>
      <c r="E50" s="29" t="s">
        <v>9</v>
      </c>
      <c r="F50" s="30">
        <v>27331</v>
      </c>
      <c r="G50" s="30">
        <f t="shared" si="31"/>
        <v>27331</v>
      </c>
      <c r="H50" s="30">
        <f t="shared" si="32"/>
        <v>27331</v>
      </c>
      <c r="I50" s="30">
        <v>0</v>
      </c>
      <c r="J50" s="30">
        <f t="shared" si="33"/>
        <v>27331</v>
      </c>
      <c r="K50" s="29" t="s">
        <v>32</v>
      </c>
      <c r="L50" s="270">
        <f>SUMIF('Allocation Factors'!$B$3:$B$89,'Current Income Tax Expense'!K50,'Allocation Factors'!$P$3:$P$89)</f>
        <v>0</v>
      </c>
      <c r="M50" s="30">
        <f t="shared" si="34"/>
        <v>0</v>
      </c>
      <c r="N50" s="30">
        <f t="shared" si="35"/>
        <v>0</v>
      </c>
      <c r="O50" s="30">
        <f t="shared" si="36"/>
        <v>0</v>
      </c>
      <c r="P50" s="30">
        <f t="shared" si="37"/>
        <v>0</v>
      </c>
      <c r="Q50" s="394"/>
      <c r="R50" s="394"/>
    </row>
    <row r="51" spans="1:18">
      <c r="A51" s="73" t="s">
        <v>458</v>
      </c>
      <c r="B51" s="297">
        <v>287597</v>
      </c>
      <c r="C51" s="273">
        <v>415.70299999999997</v>
      </c>
      <c r="D51" s="29" t="s">
        <v>8</v>
      </c>
      <c r="E51" s="75" t="s">
        <v>9</v>
      </c>
      <c r="F51" s="30">
        <v>21250</v>
      </c>
      <c r="G51" s="30">
        <f t="shared" si="31"/>
        <v>21250</v>
      </c>
      <c r="H51" s="30">
        <f t="shared" si="32"/>
        <v>21250</v>
      </c>
      <c r="I51" s="30">
        <v>0</v>
      </c>
      <c r="J51" s="30">
        <f t="shared" si="33"/>
        <v>21250</v>
      </c>
      <c r="K51" s="75" t="s">
        <v>32</v>
      </c>
      <c r="L51" s="270">
        <f>SUMIF('Allocation Factors'!$B$3:$B$89,'Current Income Tax Expense'!K51,'Allocation Factors'!$P$3:$P$89)</f>
        <v>0</v>
      </c>
      <c r="M51" s="30">
        <f t="shared" si="34"/>
        <v>0</v>
      </c>
      <c r="N51" s="30">
        <f t="shared" si="35"/>
        <v>0</v>
      </c>
      <c r="O51" s="30">
        <f t="shared" si="36"/>
        <v>0</v>
      </c>
      <c r="P51" s="30">
        <f t="shared" si="37"/>
        <v>0</v>
      </c>
      <c r="Q51" s="394"/>
      <c r="R51" s="394"/>
    </row>
    <row r="52" spans="1:18">
      <c r="A52" s="90" t="s">
        <v>367</v>
      </c>
      <c r="B52" s="29">
        <v>287268</v>
      </c>
      <c r="C52" s="273">
        <v>415.70600000000002</v>
      </c>
      <c r="D52" s="29" t="s">
        <v>8</v>
      </c>
      <c r="E52" s="276" t="s">
        <v>333</v>
      </c>
      <c r="F52" s="30">
        <v>462989</v>
      </c>
      <c r="G52" s="30">
        <f t="shared" si="31"/>
        <v>462989</v>
      </c>
      <c r="H52" s="30">
        <f t="shared" si="32"/>
        <v>0</v>
      </c>
      <c r="I52" s="30">
        <v>0</v>
      </c>
      <c r="J52" s="30">
        <f t="shared" si="33"/>
        <v>0</v>
      </c>
      <c r="K52" s="276" t="s">
        <v>331</v>
      </c>
      <c r="L52" s="270">
        <f>SUMIF('Allocation Factors'!$B$3:$B$89,'Current Income Tax Expense'!K52,'Allocation Factors'!$P$3:$P$89)</f>
        <v>0</v>
      </c>
      <c r="M52" s="30">
        <f t="shared" si="34"/>
        <v>0</v>
      </c>
      <c r="N52" s="30">
        <f t="shared" si="35"/>
        <v>0</v>
      </c>
      <c r="O52" s="30">
        <f t="shared" si="36"/>
        <v>0</v>
      </c>
      <c r="P52" s="30">
        <f t="shared" si="37"/>
        <v>0</v>
      </c>
      <c r="Q52" s="394"/>
      <c r="R52" s="394"/>
    </row>
    <row r="53" spans="1:18">
      <c r="A53" s="90" t="s">
        <v>379</v>
      </c>
      <c r="B53" s="29">
        <v>287206</v>
      </c>
      <c r="C53" s="273">
        <v>415.71</v>
      </c>
      <c r="D53" s="29">
        <v>8.1999999999999993</v>
      </c>
      <c r="E53" s="276" t="s">
        <v>9</v>
      </c>
      <c r="F53" s="30">
        <v>12611581</v>
      </c>
      <c r="G53" s="30">
        <f t="shared" si="31"/>
        <v>12611581</v>
      </c>
      <c r="H53" s="30">
        <f t="shared" si="32"/>
        <v>12611581</v>
      </c>
      <c r="I53" s="30">
        <v>4806530</v>
      </c>
      <c r="J53" s="30">
        <f t="shared" si="33"/>
        <v>17418111</v>
      </c>
      <c r="K53" s="276" t="s">
        <v>26</v>
      </c>
      <c r="L53" s="270">
        <f>SUMIF('Allocation Factors'!$B$3:$B$89,'Current Income Tax Expense'!K53,'Allocation Factors'!$P$3:$P$89)</f>
        <v>1</v>
      </c>
      <c r="M53" s="30">
        <f t="shared" si="34"/>
        <v>12611581</v>
      </c>
      <c r="N53" s="30">
        <f t="shared" si="35"/>
        <v>4806530</v>
      </c>
      <c r="O53" s="30">
        <f t="shared" si="36"/>
        <v>17418111</v>
      </c>
      <c r="P53" s="30">
        <f t="shared" si="37"/>
        <v>17418111</v>
      </c>
      <c r="Q53" s="394"/>
      <c r="R53" s="394"/>
    </row>
    <row r="54" spans="1:18">
      <c r="A54" s="28" t="s">
        <v>459</v>
      </c>
      <c r="B54" s="29">
        <v>287584</v>
      </c>
      <c r="C54" s="273">
        <v>415.827</v>
      </c>
      <c r="D54" s="29" t="s">
        <v>8</v>
      </c>
      <c r="E54" s="276" t="s">
        <v>333</v>
      </c>
      <c r="F54" s="30">
        <v>96518</v>
      </c>
      <c r="G54" s="30">
        <f t="shared" si="31"/>
        <v>96518</v>
      </c>
      <c r="H54" s="30">
        <f t="shared" si="32"/>
        <v>0</v>
      </c>
      <c r="I54" s="30">
        <v>0</v>
      </c>
      <c r="J54" s="30">
        <f t="shared" si="33"/>
        <v>0</v>
      </c>
      <c r="K54" s="276" t="s">
        <v>331</v>
      </c>
      <c r="L54" s="270">
        <f>SUMIF('Allocation Factors'!$B$3:$B$89,'Current Income Tax Expense'!K54,'Allocation Factors'!$P$3:$P$89)</f>
        <v>0</v>
      </c>
      <c r="M54" s="30">
        <f t="shared" si="34"/>
        <v>0</v>
      </c>
      <c r="N54" s="30">
        <f t="shared" si="35"/>
        <v>0</v>
      </c>
      <c r="O54" s="30">
        <f t="shared" si="36"/>
        <v>0</v>
      </c>
      <c r="P54" s="30">
        <f t="shared" si="37"/>
        <v>0</v>
      </c>
      <c r="Q54" s="394"/>
      <c r="R54" s="394"/>
    </row>
    <row r="55" spans="1:18">
      <c r="A55" s="28" t="s">
        <v>33</v>
      </c>
      <c r="B55" s="29">
        <v>287588</v>
      </c>
      <c r="C55" s="273">
        <v>415.83100000000002</v>
      </c>
      <c r="D55" s="29" t="s">
        <v>8</v>
      </c>
      <c r="E55" s="269" t="s">
        <v>333</v>
      </c>
      <c r="F55" s="30">
        <v>8744</v>
      </c>
      <c r="G55" s="30">
        <f t="shared" si="31"/>
        <v>8744</v>
      </c>
      <c r="H55" s="30">
        <f t="shared" si="32"/>
        <v>0</v>
      </c>
      <c r="I55" s="30">
        <v>0</v>
      </c>
      <c r="J55" s="30">
        <f t="shared" si="33"/>
        <v>0</v>
      </c>
      <c r="K55" s="276" t="s">
        <v>331</v>
      </c>
      <c r="L55" s="270">
        <f>SUMIF('Allocation Factors'!$B$3:$B$89,'Current Income Tax Expense'!K55,'Allocation Factors'!$P$3:$P$89)</f>
        <v>0</v>
      </c>
      <c r="M55" s="30">
        <f t="shared" si="34"/>
        <v>0</v>
      </c>
      <c r="N55" s="30">
        <f t="shared" si="35"/>
        <v>0</v>
      </c>
      <c r="O55" s="30">
        <f t="shared" si="36"/>
        <v>0</v>
      </c>
      <c r="P55" s="30">
        <f t="shared" si="37"/>
        <v>0</v>
      </c>
      <c r="Q55" s="394"/>
      <c r="R55" s="394"/>
    </row>
    <row r="56" spans="1:18">
      <c r="A56" s="28" t="s">
        <v>460</v>
      </c>
      <c r="B56" s="29">
        <v>287249</v>
      </c>
      <c r="C56" s="273">
        <v>415.839</v>
      </c>
      <c r="D56" s="29" t="s">
        <v>8</v>
      </c>
      <c r="E56" s="269" t="s">
        <v>333</v>
      </c>
      <c r="F56" s="30">
        <v>-10802709</v>
      </c>
      <c r="G56" s="30">
        <f t="shared" si="31"/>
        <v>-10802709</v>
      </c>
      <c r="H56" s="30">
        <f t="shared" si="32"/>
        <v>0</v>
      </c>
      <c r="I56" s="30">
        <v>0</v>
      </c>
      <c r="J56" s="30">
        <f t="shared" si="33"/>
        <v>0</v>
      </c>
      <c r="K56" s="29" t="s">
        <v>331</v>
      </c>
      <c r="L56" s="270">
        <f>SUMIF('Allocation Factors'!$B$3:$B$89,'Current Income Tax Expense'!K56,'Allocation Factors'!$P$3:$P$89)</f>
        <v>0</v>
      </c>
      <c r="M56" s="30">
        <f t="shared" si="34"/>
        <v>0</v>
      </c>
      <c r="N56" s="30">
        <f t="shared" si="35"/>
        <v>0</v>
      </c>
      <c r="O56" s="30">
        <f t="shared" si="36"/>
        <v>0</v>
      </c>
      <c r="P56" s="30">
        <f t="shared" si="37"/>
        <v>0</v>
      </c>
      <c r="Q56" s="394"/>
      <c r="R56" s="394"/>
    </row>
    <row r="57" spans="1:18">
      <c r="A57" s="28" t="s">
        <v>461</v>
      </c>
      <c r="B57" s="29">
        <v>287864</v>
      </c>
      <c r="C57" s="273">
        <v>415.85199999999998</v>
      </c>
      <c r="D57" s="29" t="s">
        <v>8</v>
      </c>
      <c r="E57" s="29" t="s">
        <v>9</v>
      </c>
      <c r="F57" s="30">
        <v>24893</v>
      </c>
      <c r="G57" s="30">
        <f t="shared" si="31"/>
        <v>24893</v>
      </c>
      <c r="H57" s="30">
        <f t="shared" si="32"/>
        <v>24893</v>
      </c>
      <c r="I57" s="30">
        <v>0</v>
      </c>
      <c r="J57" s="30">
        <f t="shared" si="33"/>
        <v>24893</v>
      </c>
      <c r="K57" s="276" t="s">
        <v>29</v>
      </c>
      <c r="L57" s="270">
        <f>SUMIF('Allocation Factors'!$B$3:$B$89,'Current Income Tax Expense'!K57,'Allocation Factors'!$P$3:$P$89)</f>
        <v>0</v>
      </c>
      <c r="M57" s="30">
        <f t="shared" si="34"/>
        <v>0</v>
      </c>
      <c r="N57" s="30">
        <f t="shared" si="35"/>
        <v>0</v>
      </c>
      <c r="O57" s="30">
        <f t="shared" si="36"/>
        <v>0</v>
      </c>
      <c r="P57" s="30">
        <f t="shared" si="37"/>
        <v>0</v>
      </c>
      <c r="Q57" s="394"/>
      <c r="R57" s="394"/>
    </row>
    <row r="58" spans="1:18">
      <c r="A58" s="28" t="s">
        <v>462</v>
      </c>
      <c r="B58" s="29">
        <v>287860</v>
      </c>
      <c r="C58" s="273">
        <v>415.85500000000002</v>
      </c>
      <c r="D58" s="29" t="s">
        <v>8</v>
      </c>
      <c r="E58" s="29" t="s">
        <v>9</v>
      </c>
      <c r="F58" s="30">
        <v>1468350</v>
      </c>
      <c r="G58" s="30">
        <f t="shared" si="31"/>
        <v>1468350</v>
      </c>
      <c r="H58" s="30">
        <f t="shared" si="32"/>
        <v>1468350</v>
      </c>
      <c r="I58" s="30">
        <v>0</v>
      </c>
      <c r="J58" s="30">
        <f t="shared" si="33"/>
        <v>1468350</v>
      </c>
      <c r="K58" s="276" t="s">
        <v>15</v>
      </c>
      <c r="L58" s="270">
        <f>SUMIF('Allocation Factors'!$B$3:$B$89,'Current Income Tax Expense'!K58,'Allocation Factors'!$P$3:$P$89)</f>
        <v>0</v>
      </c>
      <c r="M58" s="30">
        <f t="shared" si="34"/>
        <v>0</v>
      </c>
      <c r="N58" s="30">
        <f t="shared" si="35"/>
        <v>0</v>
      </c>
      <c r="O58" s="30">
        <f t="shared" si="36"/>
        <v>0</v>
      </c>
      <c r="P58" s="30">
        <f t="shared" si="37"/>
        <v>0</v>
      </c>
      <c r="Q58" s="394"/>
      <c r="R58" s="394"/>
    </row>
    <row r="59" spans="1:18">
      <c r="A59" s="28" t="s">
        <v>463</v>
      </c>
      <c r="B59" s="29">
        <v>287861</v>
      </c>
      <c r="C59" s="273">
        <v>415.85700000000003</v>
      </c>
      <c r="D59" s="29" t="s">
        <v>8</v>
      </c>
      <c r="E59" s="29" t="s">
        <v>9</v>
      </c>
      <c r="F59" s="30">
        <v>104388</v>
      </c>
      <c r="G59" s="30">
        <f t="shared" si="31"/>
        <v>104388</v>
      </c>
      <c r="H59" s="30">
        <f t="shared" si="32"/>
        <v>104388</v>
      </c>
      <c r="I59" s="30">
        <v>0</v>
      </c>
      <c r="J59" s="30">
        <f t="shared" ref="J59:J91" si="46">SUM(H59:I59)</f>
        <v>104388</v>
      </c>
      <c r="K59" s="276" t="s">
        <v>15</v>
      </c>
      <c r="L59" s="270">
        <f>SUMIF('Allocation Factors'!$B$3:$B$89,'Current Income Tax Expense'!K59,'Allocation Factors'!$P$3:$P$89)</f>
        <v>0</v>
      </c>
      <c r="M59" s="30">
        <f t="shared" si="34"/>
        <v>0</v>
      </c>
      <c r="N59" s="30">
        <f t="shared" ref="N59:N91" si="47">ROUND(I59*L59,0)</f>
        <v>0</v>
      </c>
      <c r="O59" s="30">
        <f t="shared" ref="O59:O91" si="48">SUM(M59:N59)</f>
        <v>0</v>
      </c>
      <c r="P59" s="30">
        <f t="shared" si="37"/>
        <v>0</v>
      </c>
      <c r="Q59" s="394"/>
      <c r="R59" s="394"/>
    </row>
    <row r="60" spans="1:18">
      <c r="A60" s="28" t="s">
        <v>464</v>
      </c>
      <c r="B60" s="29">
        <v>287868</v>
      </c>
      <c r="C60" s="273">
        <v>415.858</v>
      </c>
      <c r="D60" s="29" t="s">
        <v>8</v>
      </c>
      <c r="E60" s="29" t="s">
        <v>9</v>
      </c>
      <c r="F60" s="30">
        <v>293719</v>
      </c>
      <c r="G60" s="30">
        <f t="shared" ref="G60:G91" si="49">+F60</f>
        <v>293719</v>
      </c>
      <c r="H60" s="30">
        <f t="shared" ref="H60:H91" si="50">IF(E60="U",G60,0)</f>
        <v>293719</v>
      </c>
      <c r="I60" s="30">
        <v>0</v>
      </c>
      <c r="J60" s="30">
        <f t="shared" si="46"/>
        <v>293719</v>
      </c>
      <c r="K60" s="276" t="s">
        <v>32</v>
      </c>
      <c r="L60" s="270">
        <f>SUMIF('Allocation Factors'!$B$3:$B$89,'Current Income Tax Expense'!K60,'Allocation Factors'!$P$3:$P$89)</f>
        <v>0</v>
      </c>
      <c r="M60" s="30">
        <f t="shared" si="34"/>
        <v>0</v>
      </c>
      <c r="N60" s="30">
        <f t="shared" si="47"/>
        <v>0</v>
      </c>
      <c r="O60" s="30">
        <f t="shared" si="48"/>
        <v>0</v>
      </c>
      <c r="P60" s="30">
        <f t="shared" si="37"/>
        <v>0</v>
      </c>
      <c r="Q60" s="394"/>
      <c r="R60" s="394"/>
    </row>
    <row r="61" spans="1:18">
      <c r="A61" s="28" t="s">
        <v>465</v>
      </c>
      <c r="B61" s="29">
        <v>287971</v>
      </c>
      <c r="C61" s="273">
        <v>415.86799999999999</v>
      </c>
      <c r="D61" s="29" t="s">
        <v>8</v>
      </c>
      <c r="E61" s="276" t="s">
        <v>9</v>
      </c>
      <c r="F61" s="30">
        <v>-8870502</v>
      </c>
      <c r="G61" s="30">
        <f t="shared" si="49"/>
        <v>-8870502</v>
      </c>
      <c r="H61" s="30">
        <f t="shared" si="50"/>
        <v>-8870502</v>
      </c>
      <c r="I61" s="30">
        <v>0</v>
      </c>
      <c r="J61" s="30">
        <f t="shared" si="46"/>
        <v>-8870502</v>
      </c>
      <c r="K61" s="276" t="s">
        <v>15</v>
      </c>
      <c r="L61" s="270">
        <f>SUMIF('Allocation Factors'!$B$3:$B$89,'Current Income Tax Expense'!K61,'Allocation Factors'!$P$3:$P$89)</f>
        <v>0</v>
      </c>
      <c r="M61" s="30">
        <f t="shared" si="34"/>
        <v>0</v>
      </c>
      <c r="N61" s="30">
        <f t="shared" si="47"/>
        <v>0</v>
      </c>
      <c r="O61" s="30">
        <f t="shared" si="48"/>
        <v>0</v>
      </c>
      <c r="P61" s="30">
        <f t="shared" si="37"/>
        <v>0</v>
      </c>
      <c r="Q61" s="394"/>
      <c r="R61" s="394"/>
    </row>
    <row r="62" spans="1:18">
      <c r="A62" s="90" t="s">
        <v>466</v>
      </c>
      <c r="B62" s="29">
        <v>287882</v>
      </c>
      <c r="C62" s="273">
        <v>415.87599999999998</v>
      </c>
      <c r="D62" s="29" t="s">
        <v>8</v>
      </c>
      <c r="E62" s="276" t="s">
        <v>9</v>
      </c>
      <c r="F62" s="30">
        <v>-2907243</v>
      </c>
      <c r="G62" s="30">
        <f t="shared" si="49"/>
        <v>-2907243</v>
      </c>
      <c r="H62" s="30">
        <f t="shared" si="50"/>
        <v>-2907243</v>
      </c>
      <c r="I62" s="30">
        <v>0</v>
      </c>
      <c r="J62" s="30">
        <f t="shared" si="46"/>
        <v>-2907243</v>
      </c>
      <c r="K62" s="276" t="s">
        <v>15</v>
      </c>
      <c r="L62" s="270">
        <f>SUMIF('Allocation Factors'!$B$3:$B$89,'Current Income Tax Expense'!K62,'Allocation Factors'!$P$3:$P$89)</f>
        <v>0</v>
      </c>
      <c r="M62" s="30">
        <f t="shared" ref="M62" si="51">ROUND(H62*L62,0)</f>
        <v>0</v>
      </c>
      <c r="N62" s="30">
        <f t="shared" ref="N62" si="52">ROUND(I62*L62,0)</f>
        <v>0</v>
      </c>
      <c r="O62" s="30">
        <f t="shared" ref="O62" si="53">SUM(M62:N62)</f>
        <v>0</v>
      </c>
      <c r="P62" s="30">
        <f t="shared" ref="P62" si="54">O62</f>
        <v>0</v>
      </c>
      <c r="Q62" s="394"/>
      <c r="R62" s="394"/>
    </row>
    <row r="63" spans="1:18">
      <c r="A63" s="28" t="s">
        <v>467</v>
      </c>
      <c r="B63" s="29">
        <v>287887</v>
      </c>
      <c r="C63" s="273">
        <v>415.88099999999997</v>
      </c>
      <c r="D63" s="29" t="s">
        <v>8</v>
      </c>
      <c r="E63" s="29" t="s">
        <v>9</v>
      </c>
      <c r="F63" s="30">
        <v>203409</v>
      </c>
      <c r="G63" s="30">
        <f t="shared" si="49"/>
        <v>203409</v>
      </c>
      <c r="H63" s="30">
        <f t="shared" si="50"/>
        <v>203409</v>
      </c>
      <c r="I63" s="30">
        <v>0</v>
      </c>
      <c r="J63" s="30">
        <f t="shared" si="46"/>
        <v>203409</v>
      </c>
      <c r="K63" s="276" t="s">
        <v>15</v>
      </c>
      <c r="L63" s="270">
        <f>SUMIF('Allocation Factors'!$B$3:$B$89,'Current Income Tax Expense'!K63,'Allocation Factors'!$P$3:$P$89)</f>
        <v>0</v>
      </c>
      <c r="M63" s="30">
        <f t="shared" si="34"/>
        <v>0</v>
      </c>
      <c r="N63" s="30">
        <f t="shared" si="47"/>
        <v>0</v>
      </c>
      <c r="O63" s="30">
        <f t="shared" si="48"/>
        <v>0</v>
      </c>
      <c r="P63" s="30">
        <f t="shared" si="37"/>
        <v>0</v>
      </c>
      <c r="Q63" s="394"/>
      <c r="R63" s="394"/>
    </row>
    <row r="64" spans="1:18">
      <c r="A64" s="28" t="s">
        <v>468</v>
      </c>
      <c r="B64" s="29">
        <v>287889</v>
      </c>
      <c r="C64" s="273">
        <v>415.88299999999998</v>
      </c>
      <c r="D64" s="29" t="s">
        <v>8</v>
      </c>
      <c r="E64" s="29" t="s">
        <v>9</v>
      </c>
      <c r="F64" s="30">
        <v>339592</v>
      </c>
      <c r="G64" s="30">
        <f t="shared" si="49"/>
        <v>339592</v>
      </c>
      <c r="H64" s="30">
        <f t="shared" si="50"/>
        <v>339592</v>
      </c>
      <c r="I64" s="30">
        <v>0</v>
      </c>
      <c r="J64" s="30">
        <f t="shared" si="46"/>
        <v>339592</v>
      </c>
      <c r="K64" s="276" t="s">
        <v>15</v>
      </c>
      <c r="L64" s="270">
        <f>SUMIF('Allocation Factors'!$B$3:$B$89,'Current Income Tax Expense'!K64,'Allocation Factors'!$P$3:$P$89)</f>
        <v>0</v>
      </c>
      <c r="M64" s="30">
        <f t="shared" si="34"/>
        <v>0</v>
      </c>
      <c r="N64" s="30">
        <f t="shared" si="47"/>
        <v>0</v>
      </c>
      <c r="O64" s="30">
        <f t="shared" si="48"/>
        <v>0</v>
      </c>
      <c r="P64" s="30">
        <f t="shared" si="37"/>
        <v>0</v>
      </c>
      <c r="Q64" s="394"/>
      <c r="R64" s="394"/>
    </row>
    <row r="65" spans="1:18">
      <c r="A65" s="90" t="s">
        <v>351</v>
      </c>
      <c r="B65" s="29">
        <v>287486</v>
      </c>
      <c r="C65" s="273">
        <v>415.92599999999999</v>
      </c>
      <c r="D65" s="29" t="s">
        <v>8</v>
      </c>
      <c r="E65" s="276" t="s">
        <v>9</v>
      </c>
      <c r="F65" s="30">
        <v>1255908</v>
      </c>
      <c r="G65" s="30">
        <f t="shared" si="49"/>
        <v>1255908</v>
      </c>
      <c r="H65" s="30">
        <f t="shared" si="50"/>
        <v>1255908</v>
      </c>
      <c r="I65" s="30">
        <v>0</v>
      </c>
      <c r="J65" s="30">
        <f t="shared" si="46"/>
        <v>1255908</v>
      </c>
      <c r="K65" s="269" t="s">
        <v>15</v>
      </c>
      <c r="L65" s="270">
        <f>SUMIF('Allocation Factors'!$B$3:$B$89,'Current Income Tax Expense'!K65,'Allocation Factors'!$P$3:$P$89)</f>
        <v>0</v>
      </c>
      <c r="M65" s="30">
        <f t="shared" si="34"/>
        <v>0</v>
      </c>
      <c r="N65" s="30">
        <f t="shared" si="47"/>
        <v>0</v>
      </c>
      <c r="O65" s="30">
        <f t="shared" si="48"/>
        <v>0</v>
      </c>
      <c r="P65" s="30">
        <f t="shared" ref="P65:P101" si="55">O65</f>
        <v>0</v>
      </c>
      <c r="Q65" s="394"/>
      <c r="R65" s="394"/>
    </row>
    <row r="66" spans="1:18">
      <c r="A66" s="90" t="s">
        <v>343</v>
      </c>
      <c r="B66" s="276">
        <v>287919</v>
      </c>
      <c r="C66" s="273">
        <v>425.10500000000002</v>
      </c>
      <c r="D66" s="29" t="s">
        <v>8</v>
      </c>
      <c r="E66" s="276" t="s">
        <v>9</v>
      </c>
      <c r="F66" s="30">
        <v>141760</v>
      </c>
      <c r="G66" s="30">
        <f t="shared" si="49"/>
        <v>141760</v>
      </c>
      <c r="H66" s="30">
        <f t="shared" si="50"/>
        <v>141760</v>
      </c>
      <c r="I66" s="30">
        <v>0</v>
      </c>
      <c r="J66" s="30">
        <f t="shared" si="46"/>
        <v>141760</v>
      </c>
      <c r="K66" s="269" t="s">
        <v>15</v>
      </c>
      <c r="L66" s="270">
        <f>SUMIF('Allocation Factors'!$B$3:$B$89,'Current Income Tax Expense'!K66,'Allocation Factors'!$P$3:$P$89)</f>
        <v>0</v>
      </c>
      <c r="M66" s="30">
        <f t="shared" si="34"/>
        <v>0</v>
      </c>
      <c r="N66" s="30">
        <f t="shared" si="47"/>
        <v>0</v>
      </c>
      <c r="O66" s="30">
        <f t="shared" si="48"/>
        <v>0</v>
      </c>
      <c r="P66" s="30">
        <f t="shared" si="55"/>
        <v>0</v>
      </c>
      <c r="Q66" s="394"/>
      <c r="R66" s="394"/>
    </row>
    <row r="67" spans="1:18">
      <c r="A67" s="28" t="s">
        <v>34</v>
      </c>
      <c r="B67" s="29">
        <v>287392</v>
      </c>
      <c r="C67" s="273">
        <v>425.12</v>
      </c>
      <c r="D67" s="29" t="s">
        <v>8</v>
      </c>
      <c r="E67" s="29" t="s">
        <v>333</v>
      </c>
      <c r="F67" s="30">
        <v>-12901</v>
      </c>
      <c r="G67" s="30">
        <f t="shared" si="49"/>
        <v>-12901</v>
      </c>
      <c r="H67" s="30">
        <f t="shared" si="50"/>
        <v>0</v>
      </c>
      <c r="I67" s="30">
        <v>0</v>
      </c>
      <c r="J67" s="30">
        <f t="shared" si="46"/>
        <v>0</v>
      </c>
      <c r="K67" s="29" t="s">
        <v>331</v>
      </c>
      <c r="L67" s="270">
        <f>SUMIF('Allocation Factors'!$B$3:$B$89,'Current Income Tax Expense'!K67,'Allocation Factors'!$P$3:$P$89)</f>
        <v>0</v>
      </c>
      <c r="M67" s="30">
        <f t="shared" si="34"/>
        <v>0</v>
      </c>
      <c r="N67" s="30">
        <f t="shared" si="47"/>
        <v>0</v>
      </c>
      <c r="O67" s="30">
        <f t="shared" si="48"/>
        <v>0</v>
      </c>
      <c r="P67" s="30">
        <f t="shared" si="55"/>
        <v>0</v>
      </c>
      <c r="Q67" s="394"/>
      <c r="R67" s="394"/>
    </row>
    <row r="68" spans="1:18">
      <c r="A68" s="28" t="s">
        <v>35</v>
      </c>
      <c r="B68" s="29">
        <v>287564</v>
      </c>
      <c r="C68" s="273">
        <v>425.13</v>
      </c>
      <c r="D68" s="29" t="s">
        <v>8</v>
      </c>
      <c r="E68" s="29" t="s">
        <v>333</v>
      </c>
      <c r="F68" s="30">
        <v>-73640</v>
      </c>
      <c r="G68" s="30">
        <f t="shared" si="49"/>
        <v>-73640</v>
      </c>
      <c r="H68" s="30">
        <f t="shared" si="50"/>
        <v>0</v>
      </c>
      <c r="I68" s="30">
        <v>0</v>
      </c>
      <c r="J68" s="30">
        <f t="shared" si="46"/>
        <v>0</v>
      </c>
      <c r="K68" s="29" t="s">
        <v>331</v>
      </c>
      <c r="L68" s="270">
        <f>SUMIF('Allocation Factors'!$B$3:$B$89,'Current Income Tax Expense'!K68,'Allocation Factors'!$P$3:$P$89)</f>
        <v>0</v>
      </c>
      <c r="M68" s="30">
        <f t="shared" si="34"/>
        <v>0</v>
      </c>
      <c r="N68" s="30">
        <f t="shared" si="47"/>
        <v>0</v>
      </c>
      <c r="O68" s="30">
        <f t="shared" si="48"/>
        <v>0</v>
      </c>
      <c r="P68" s="30">
        <f t="shared" si="55"/>
        <v>0</v>
      </c>
      <c r="Q68" s="394"/>
      <c r="R68" s="394"/>
    </row>
    <row r="69" spans="1:18">
      <c r="A69" s="28" t="s">
        <v>36</v>
      </c>
      <c r="B69" s="29">
        <v>287290</v>
      </c>
      <c r="C69" s="273">
        <v>425.15</v>
      </c>
      <c r="D69" s="29" t="s">
        <v>8</v>
      </c>
      <c r="E69" s="29" t="s">
        <v>333</v>
      </c>
      <c r="F69" s="30">
        <v>15569</v>
      </c>
      <c r="G69" s="30">
        <f t="shared" si="49"/>
        <v>15569</v>
      </c>
      <c r="H69" s="30">
        <f t="shared" si="50"/>
        <v>0</v>
      </c>
      <c r="I69" s="30">
        <v>0</v>
      </c>
      <c r="J69" s="30">
        <f t="shared" si="46"/>
        <v>0</v>
      </c>
      <c r="K69" s="29" t="s">
        <v>331</v>
      </c>
      <c r="L69" s="270">
        <f>SUMIF('Allocation Factors'!$B$3:$B$89,'Current Income Tax Expense'!K69,'Allocation Factors'!$P$3:$P$89)</f>
        <v>0</v>
      </c>
      <c r="M69" s="30">
        <f t="shared" si="34"/>
        <v>0</v>
      </c>
      <c r="N69" s="30">
        <f t="shared" si="47"/>
        <v>0</v>
      </c>
      <c r="O69" s="30">
        <f t="shared" si="48"/>
        <v>0</v>
      </c>
      <c r="P69" s="30">
        <f t="shared" si="55"/>
        <v>0</v>
      </c>
      <c r="Q69" s="394"/>
      <c r="R69" s="394"/>
    </row>
    <row r="70" spans="1:18">
      <c r="A70" s="90" t="s">
        <v>425</v>
      </c>
      <c r="B70" s="29">
        <v>287183</v>
      </c>
      <c r="C70" s="273">
        <v>425.16</v>
      </c>
      <c r="D70" s="29" t="s">
        <v>8</v>
      </c>
      <c r="E70" s="29" t="s">
        <v>333</v>
      </c>
      <c r="F70" s="30">
        <v>13822154</v>
      </c>
      <c r="G70" s="30">
        <f t="shared" si="49"/>
        <v>13822154</v>
      </c>
      <c r="H70" s="30">
        <f t="shared" si="50"/>
        <v>0</v>
      </c>
      <c r="I70" s="30">
        <v>0</v>
      </c>
      <c r="J70" s="30">
        <f t="shared" si="46"/>
        <v>0</v>
      </c>
      <c r="K70" s="29" t="s">
        <v>331</v>
      </c>
      <c r="L70" s="270">
        <f>SUMIF('Allocation Factors'!$B$3:$B$89,'Current Income Tax Expense'!K70,'Allocation Factors'!$P$3:$P$89)</f>
        <v>0</v>
      </c>
      <c r="M70" s="30">
        <f t="shared" ref="M70" si="56">ROUND(H70*L70,0)</f>
        <v>0</v>
      </c>
      <c r="N70" s="30">
        <f t="shared" ref="N70" si="57">ROUND(I70*L70,0)</f>
        <v>0</v>
      </c>
      <c r="O70" s="30">
        <f t="shared" ref="O70" si="58">SUM(M70:N70)</f>
        <v>0</v>
      </c>
      <c r="P70" s="30">
        <f t="shared" ref="P70" si="59">O70</f>
        <v>0</v>
      </c>
      <c r="Q70" s="394"/>
      <c r="R70" s="394"/>
    </row>
    <row r="71" spans="1:18">
      <c r="A71" s="90" t="s">
        <v>373</v>
      </c>
      <c r="B71" s="29">
        <v>287211</v>
      </c>
      <c r="C71" s="273">
        <v>425.226</v>
      </c>
      <c r="D71" s="29" t="s">
        <v>8</v>
      </c>
      <c r="E71" s="276" t="s">
        <v>333</v>
      </c>
      <c r="F71" s="30">
        <v>890232</v>
      </c>
      <c r="G71" s="30">
        <f t="shared" si="49"/>
        <v>890232</v>
      </c>
      <c r="H71" s="30">
        <f t="shared" si="50"/>
        <v>0</v>
      </c>
      <c r="I71" s="30">
        <v>0</v>
      </c>
      <c r="J71" s="30">
        <f t="shared" si="46"/>
        <v>0</v>
      </c>
      <c r="K71" s="276" t="s">
        <v>331</v>
      </c>
      <c r="L71" s="270">
        <f>SUMIF('Allocation Factors'!$B$3:$B$89,'Current Income Tax Expense'!K71,'Allocation Factors'!$P$3:$P$89)</f>
        <v>0</v>
      </c>
      <c r="M71" s="30">
        <f t="shared" si="34"/>
        <v>0</v>
      </c>
      <c r="N71" s="30">
        <f t="shared" si="47"/>
        <v>0</v>
      </c>
      <c r="O71" s="30">
        <f t="shared" si="48"/>
        <v>0</v>
      </c>
      <c r="P71" s="30">
        <f t="shared" si="55"/>
        <v>0</v>
      </c>
      <c r="Q71" s="394"/>
      <c r="R71" s="394"/>
    </row>
    <row r="72" spans="1:18">
      <c r="A72" s="28" t="s">
        <v>37</v>
      </c>
      <c r="B72" s="29">
        <v>287653</v>
      </c>
      <c r="C72" s="273">
        <v>425.25</v>
      </c>
      <c r="D72" s="29" t="s">
        <v>8</v>
      </c>
      <c r="E72" s="29" t="s">
        <v>9</v>
      </c>
      <c r="F72" s="30">
        <v>15474</v>
      </c>
      <c r="G72" s="30">
        <f t="shared" si="49"/>
        <v>15474</v>
      </c>
      <c r="H72" s="30">
        <f t="shared" si="50"/>
        <v>15474</v>
      </c>
      <c r="I72" s="30">
        <v>0</v>
      </c>
      <c r="J72" s="30">
        <f t="shared" si="46"/>
        <v>15474</v>
      </c>
      <c r="K72" s="276" t="s">
        <v>162</v>
      </c>
      <c r="L72" s="270">
        <f>SUMIF('Allocation Factors'!$B$3:$B$89,'Current Income Tax Expense'!K72,'Allocation Factors'!$P$3:$P$89)</f>
        <v>0</v>
      </c>
      <c r="M72" s="30">
        <f t="shared" si="34"/>
        <v>0</v>
      </c>
      <c r="N72" s="30">
        <f t="shared" si="47"/>
        <v>0</v>
      </c>
      <c r="O72" s="30">
        <f t="shared" si="48"/>
        <v>0</v>
      </c>
      <c r="P72" s="30">
        <f t="shared" si="55"/>
        <v>0</v>
      </c>
      <c r="Q72" s="394"/>
      <c r="R72" s="394"/>
    </row>
    <row r="73" spans="1:18">
      <c r="A73" s="28" t="s">
        <v>469</v>
      </c>
      <c r="B73" s="29">
        <v>287928</v>
      </c>
      <c r="C73" s="273">
        <v>425.31</v>
      </c>
      <c r="D73" s="29" t="s">
        <v>8</v>
      </c>
      <c r="E73" s="29" t="s">
        <v>333</v>
      </c>
      <c r="F73" s="30">
        <v>1329735</v>
      </c>
      <c r="G73" s="30">
        <f t="shared" si="49"/>
        <v>1329735</v>
      </c>
      <c r="H73" s="30">
        <f t="shared" si="50"/>
        <v>0</v>
      </c>
      <c r="I73" s="30">
        <v>0</v>
      </c>
      <c r="J73" s="30">
        <f t="shared" si="46"/>
        <v>0</v>
      </c>
      <c r="K73" s="29" t="s">
        <v>331</v>
      </c>
      <c r="L73" s="270">
        <f>SUMIF('Allocation Factors'!$B$3:$B$89,'Current Income Tax Expense'!K73,'Allocation Factors'!$P$3:$P$89)</f>
        <v>0</v>
      </c>
      <c r="M73" s="30">
        <f t="shared" si="34"/>
        <v>0</v>
      </c>
      <c r="N73" s="30">
        <f t="shared" si="47"/>
        <v>0</v>
      </c>
      <c r="O73" s="30">
        <f t="shared" si="48"/>
        <v>0</v>
      </c>
      <c r="P73" s="30">
        <f t="shared" si="55"/>
        <v>0</v>
      </c>
      <c r="Q73" s="394"/>
      <c r="R73" s="394"/>
    </row>
    <row r="74" spans="1:18">
      <c r="A74" s="28" t="s">
        <v>470</v>
      </c>
      <c r="B74" s="29">
        <v>287391</v>
      </c>
      <c r="C74" s="273">
        <v>425.32</v>
      </c>
      <c r="D74" s="29" t="s">
        <v>8</v>
      </c>
      <c r="E74" s="29" t="s">
        <v>333</v>
      </c>
      <c r="F74" s="30">
        <v>-617750</v>
      </c>
      <c r="G74" s="30">
        <f t="shared" si="49"/>
        <v>-617750</v>
      </c>
      <c r="H74" s="30">
        <f t="shared" si="50"/>
        <v>0</v>
      </c>
      <c r="I74" s="30">
        <v>0</v>
      </c>
      <c r="J74" s="30">
        <f t="shared" si="46"/>
        <v>0</v>
      </c>
      <c r="K74" s="29" t="s">
        <v>331</v>
      </c>
      <c r="L74" s="270">
        <f>SUMIF('Allocation Factors'!$B$3:$B$89,'Current Income Tax Expense'!K74,'Allocation Factors'!$P$3:$P$89)</f>
        <v>0</v>
      </c>
      <c r="M74" s="30">
        <f t="shared" si="34"/>
        <v>0</v>
      </c>
      <c r="N74" s="30">
        <f t="shared" si="47"/>
        <v>0</v>
      </c>
      <c r="O74" s="30">
        <f t="shared" si="48"/>
        <v>0</v>
      </c>
      <c r="P74" s="30">
        <f t="shared" si="55"/>
        <v>0</v>
      </c>
      <c r="Q74" s="394"/>
      <c r="R74" s="394"/>
    </row>
    <row r="75" spans="1:18">
      <c r="A75" s="28" t="s">
        <v>38</v>
      </c>
      <c r="B75" s="29">
        <v>287661</v>
      </c>
      <c r="C75" s="273">
        <v>425.36</v>
      </c>
      <c r="D75" s="29" t="s">
        <v>8</v>
      </c>
      <c r="E75" s="29" t="s">
        <v>9</v>
      </c>
      <c r="F75" s="30">
        <v>171693</v>
      </c>
      <c r="G75" s="30">
        <f t="shared" si="49"/>
        <v>171693</v>
      </c>
      <c r="H75" s="30">
        <f t="shared" si="50"/>
        <v>171693</v>
      </c>
      <c r="I75" s="30">
        <v>0</v>
      </c>
      <c r="J75" s="30">
        <f t="shared" si="46"/>
        <v>171693</v>
      </c>
      <c r="K75" s="276" t="s">
        <v>160</v>
      </c>
      <c r="L75" s="270">
        <f>SUMIF('Allocation Factors'!$B$3:$B$89,'Current Income Tax Expense'!K75,'Allocation Factors'!$P$3:$P$89)</f>
        <v>0.21577192756641544</v>
      </c>
      <c r="M75" s="30">
        <f t="shared" si="34"/>
        <v>37047</v>
      </c>
      <c r="N75" s="30">
        <f t="shared" si="47"/>
        <v>0</v>
      </c>
      <c r="O75" s="30">
        <f t="shared" si="48"/>
        <v>37047</v>
      </c>
      <c r="P75" s="30">
        <f t="shared" si="55"/>
        <v>37047</v>
      </c>
      <c r="Q75" s="394"/>
      <c r="R75" s="394"/>
    </row>
    <row r="76" spans="1:18">
      <c r="A76" s="28" t="s">
        <v>471</v>
      </c>
      <c r="B76" s="29">
        <v>287213</v>
      </c>
      <c r="C76" s="273">
        <v>425.38099999999997</v>
      </c>
      <c r="D76" s="29" t="s">
        <v>8</v>
      </c>
      <c r="E76" s="276" t="s">
        <v>333</v>
      </c>
      <c r="F76" s="30">
        <v>-327958</v>
      </c>
      <c r="G76" s="30">
        <f t="shared" si="49"/>
        <v>-327958</v>
      </c>
      <c r="H76" s="30">
        <f t="shared" si="50"/>
        <v>0</v>
      </c>
      <c r="I76" s="30">
        <v>0</v>
      </c>
      <c r="J76" s="30">
        <f t="shared" si="46"/>
        <v>0</v>
      </c>
      <c r="K76" s="276" t="s">
        <v>331</v>
      </c>
      <c r="L76" s="270">
        <f>SUMIF('Allocation Factors'!$B$3:$B$89,'Current Income Tax Expense'!K76,'Allocation Factors'!$P$3:$P$89)</f>
        <v>0</v>
      </c>
      <c r="M76" s="30">
        <f t="shared" si="34"/>
        <v>0</v>
      </c>
      <c r="N76" s="30">
        <f t="shared" si="47"/>
        <v>0</v>
      </c>
      <c r="O76" s="30">
        <f t="shared" si="48"/>
        <v>0</v>
      </c>
      <c r="P76" s="30">
        <f t="shared" si="55"/>
        <v>0</v>
      </c>
      <c r="Q76" s="394"/>
      <c r="R76" s="394"/>
    </row>
    <row r="77" spans="1:18">
      <c r="A77" s="90" t="s">
        <v>472</v>
      </c>
      <c r="B77" s="29">
        <v>287614</v>
      </c>
      <c r="C77" s="273">
        <v>430.1</v>
      </c>
      <c r="D77" s="29" t="s">
        <v>8</v>
      </c>
      <c r="E77" s="29" t="s">
        <v>9</v>
      </c>
      <c r="F77" s="30">
        <v>9699580</v>
      </c>
      <c r="G77" s="30">
        <f t="shared" si="49"/>
        <v>9699580</v>
      </c>
      <c r="H77" s="30">
        <f t="shared" si="50"/>
        <v>9699580</v>
      </c>
      <c r="I77" s="30">
        <v>0</v>
      </c>
      <c r="J77" s="30">
        <f t="shared" si="46"/>
        <v>9699580</v>
      </c>
      <c r="K77" s="276" t="s">
        <v>15</v>
      </c>
      <c r="L77" s="270">
        <f>SUMIF('Allocation Factors'!$B$3:$B$89,'Current Income Tax Expense'!K77,'Allocation Factors'!$P$3:$P$89)</f>
        <v>0</v>
      </c>
      <c r="M77" s="30">
        <f t="shared" si="34"/>
        <v>0</v>
      </c>
      <c r="N77" s="30">
        <f t="shared" si="47"/>
        <v>0</v>
      </c>
      <c r="O77" s="30">
        <f t="shared" si="48"/>
        <v>0</v>
      </c>
      <c r="P77" s="30">
        <f t="shared" si="55"/>
        <v>0</v>
      </c>
      <c r="Q77" s="394"/>
      <c r="R77" s="394"/>
    </row>
    <row r="78" spans="1:18">
      <c r="A78" s="28" t="s">
        <v>257</v>
      </c>
      <c r="B78" s="29">
        <v>287430</v>
      </c>
      <c r="C78" s="273">
        <v>505.125</v>
      </c>
      <c r="D78" s="29" t="s">
        <v>8</v>
      </c>
      <c r="E78" s="29" t="s">
        <v>9</v>
      </c>
      <c r="F78" s="30">
        <v>1150613</v>
      </c>
      <c r="G78" s="30">
        <f t="shared" si="49"/>
        <v>1150613</v>
      </c>
      <c r="H78" s="30">
        <f t="shared" si="50"/>
        <v>1150613</v>
      </c>
      <c r="I78" s="30">
        <v>0</v>
      </c>
      <c r="J78" s="30">
        <f t="shared" si="46"/>
        <v>1150613</v>
      </c>
      <c r="K78" s="276" t="s">
        <v>119</v>
      </c>
      <c r="L78" s="270">
        <f>SUMIF('Allocation Factors'!$B$3:$B$89,'Current Income Tax Expense'!K78,'Allocation Factors'!$P$3:$P$89)</f>
        <v>0</v>
      </c>
      <c r="M78" s="30">
        <f t="shared" si="34"/>
        <v>0</v>
      </c>
      <c r="N78" s="30">
        <f t="shared" si="47"/>
        <v>0</v>
      </c>
      <c r="O78" s="30">
        <f t="shared" si="48"/>
        <v>0</v>
      </c>
      <c r="P78" s="30">
        <f t="shared" si="55"/>
        <v>0</v>
      </c>
      <c r="Q78" s="394"/>
      <c r="R78" s="394"/>
    </row>
    <row r="79" spans="1:18">
      <c r="A79" s="28" t="s">
        <v>473</v>
      </c>
      <c r="B79" s="29">
        <v>287323</v>
      </c>
      <c r="C79" s="273">
        <v>505.4</v>
      </c>
      <c r="D79" s="29" t="s">
        <v>8</v>
      </c>
      <c r="E79" s="29" t="s">
        <v>9</v>
      </c>
      <c r="F79" s="30">
        <v>-208330</v>
      </c>
      <c r="G79" s="30">
        <f t="shared" si="49"/>
        <v>-208330</v>
      </c>
      <c r="H79" s="30">
        <f t="shared" si="50"/>
        <v>-208330</v>
      </c>
      <c r="I79" s="30">
        <v>0</v>
      </c>
      <c r="J79" s="30">
        <f t="shared" si="46"/>
        <v>-208330</v>
      </c>
      <c r="K79" s="276" t="s">
        <v>10</v>
      </c>
      <c r="L79" s="270">
        <f>SUMIF('Allocation Factors'!$B$3:$B$89,'Current Income Tax Expense'!K79,'Allocation Factors'!$P$3:$P$89)</f>
        <v>6.7017620954721469E-2</v>
      </c>
      <c r="M79" s="30">
        <f t="shared" si="34"/>
        <v>-13962</v>
      </c>
      <c r="N79" s="30">
        <f t="shared" si="47"/>
        <v>0</v>
      </c>
      <c r="O79" s="30">
        <f t="shared" si="48"/>
        <v>-13962</v>
      </c>
      <c r="P79" s="30">
        <f t="shared" si="55"/>
        <v>-13962</v>
      </c>
      <c r="Q79" s="394"/>
      <c r="R79" s="394"/>
    </row>
    <row r="80" spans="1:18">
      <c r="A80" s="28" t="s">
        <v>474</v>
      </c>
      <c r="B80" s="29">
        <v>287332</v>
      </c>
      <c r="C80" s="273">
        <v>505.6</v>
      </c>
      <c r="D80" s="29" t="s">
        <v>8</v>
      </c>
      <c r="E80" s="29" t="s">
        <v>9</v>
      </c>
      <c r="F80" s="30">
        <v>468899</v>
      </c>
      <c r="G80" s="30">
        <f t="shared" si="49"/>
        <v>468899</v>
      </c>
      <c r="H80" s="30">
        <f t="shared" si="50"/>
        <v>468899</v>
      </c>
      <c r="I80" s="30">
        <v>0</v>
      </c>
      <c r="J80" s="30">
        <f t="shared" si="46"/>
        <v>468899</v>
      </c>
      <c r="K80" s="29" t="s">
        <v>10</v>
      </c>
      <c r="L80" s="270">
        <f>SUMIF('Allocation Factors'!$B$3:$B$89,'Current Income Tax Expense'!K80,'Allocation Factors'!$P$3:$P$89)</f>
        <v>6.7017620954721469E-2</v>
      </c>
      <c r="M80" s="30">
        <f t="shared" si="34"/>
        <v>31424</v>
      </c>
      <c r="N80" s="30">
        <f t="shared" si="47"/>
        <v>0</v>
      </c>
      <c r="O80" s="30">
        <f t="shared" si="48"/>
        <v>31424</v>
      </c>
      <c r="P80" s="30">
        <f t="shared" si="55"/>
        <v>31424</v>
      </c>
      <c r="Q80" s="394"/>
      <c r="R80" s="394"/>
    </row>
    <row r="81" spans="1:18">
      <c r="A81" s="90" t="s">
        <v>475</v>
      </c>
      <c r="B81" s="29">
        <v>287937</v>
      </c>
      <c r="C81" s="273">
        <v>505.601</v>
      </c>
      <c r="D81" s="29" t="s">
        <v>8</v>
      </c>
      <c r="E81" s="276" t="s">
        <v>9</v>
      </c>
      <c r="F81" s="30">
        <v>761</v>
      </c>
      <c r="G81" s="30">
        <f t="shared" si="49"/>
        <v>761</v>
      </c>
      <c r="H81" s="30">
        <f t="shared" si="50"/>
        <v>761</v>
      </c>
      <c r="I81" s="30">
        <v>0</v>
      </c>
      <c r="J81" s="30">
        <f t="shared" si="46"/>
        <v>761</v>
      </c>
      <c r="K81" s="276" t="s">
        <v>170</v>
      </c>
      <c r="L81" s="270">
        <f>SUMIF('Allocation Factors'!$B$3:$B$89,'Current Income Tax Expense'!K81,'Allocation Factors'!$P$3:$P$89)</f>
        <v>0.22591574269314921</v>
      </c>
      <c r="M81" s="30">
        <f t="shared" si="34"/>
        <v>172</v>
      </c>
      <c r="N81" s="30">
        <f t="shared" si="47"/>
        <v>0</v>
      </c>
      <c r="O81" s="30">
        <f t="shared" si="48"/>
        <v>172</v>
      </c>
      <c r="P81" s="30">
        <f t="shared" si="55"/>
        <v>172</v>
      </c>
      <c r="Q81" s="394"/>
      <c r="R81" s="394"/>
    </row>
    <row r="82" spans="1:18">
      <c r="A82" s="90" t="s">
        <v>476</v>
      </c>
      <c r="B82" s="29">
        <v>287414</v>
      </c>
      <c r="C82" s="273">
        <v>505.7</v>
      </c>
      <c r="D82" s="29" t="s">
        <v>8</v>
      </c>
      <c r="E82" s="29" t="s">
        <v>9</v>
      </c>
      <c r="F82" s="30">
        <v>-595187</v>
      </c>
      <c r="G82" s="30">
        <f t="shared" si="49"/>
        <v>-595187</v>
      </c>
      <c r="H82" s="30">
        <f t="shared" si="50"/>
        <v>-595187</v>
      </c>
      <c r="I82" s="30">
        <v>0</v>
      </c>
      <c r="J82" s="30">
        <f t="shared" si="46"/>
        <v>-595187</v>
      </c>
      <c r="K82" s="29" t="s">
        <v>10</v>
      </c>
      <c r="L82" s="270">
        <f>SUMIF('Allocation Factors'!$B$3:$B$89,'Current Income Tax Expense'!K82,'Allocation Factors'!$P$3:$P$89)</f>
        <v>6.7017620954721469E-2</v>
      </c>
      <c r="M82" s="30">
        <f t="shared" si="34"/>
        <v>-39888</v>
      </c>
      <c r="N82" s="30">
        <f t="shared" si="47"/>
        <v>0</v>
      </c>
      <c r="O82" s="30">
        <f t="shared" si="48"/>
        <v>-39888</v>
      </c>
      <c r="P82" s="30">
        <f t="shared" si="55"/>
        <v>-39888</v>
      </c>
      <c r="Q82" s="394"/>
      <c r="R82" s="394"/>
    </row>
    <row r="83" spans="1:18">
      <c r="A83" s="28" t="s">
        <v>477</v>
      </c>
      <c r="B83" s="29">
        <v>287441</v>
      </c>
      <c r="C83" s="273">
        <v>605.1</v>
      </c>
      <c r="D83" s="29" t="s">
        <v>8</v>
      </c>
      <c r="E83" s="276" t="s">
        <v>333</v>
      </c>
      <c r="F83" s="30">
        <v>-50974</v>
      </c>
      <c r="G83" s="30">
        <f t="shared" si="49"/>
        <v>-50974</v>
      </c>
      <c r="H83" s="30">
        <f t="shared" si="50"/>
        <v>0</v>
      </c>
      <c r="I83" s="30">
        <v>0</v>
      </c>
      <c r="J83" s="30">
        <f t="shared" si="46"/>
        <v>0</v>
      </c>
      <c r="K83" s="276" t="s">
        <v>331</v>
      </c>
      <c r="L83" s="270">
        <f>SUMIF('Allocation Factors'!$B$3:$B$89,'Current Income Tax Expense'!K83,'Allocation Factors'!$P$3:$P$89)</f>
        <v>0</v>
      </c>
      <c r="M83" s="30">
        <f t="shared" si="34"/>
        <v>0</v>
      </c>
      <c r="N83" s="30">
        <f t="shared" si="47"/>
        <v>0</v>
      </c>
      <c r="O83" s="30">
        <f t="shared" si="48"/>
        <v>0</v>
      </c>
      <c r="P83" s="30">
        <f t="shared" si="55"/>
        <v>0</v>
      </c>
      <c r="Q83" s="394"/>
      <c r="R83" s="394"/>
    </row>
    <row r="84" spans="1:18">
      <c r="A84" s="28" t="s">
        <v>311</v>
      </c>
      <c r="B84" s="29">
        <v>287240</v>
      </c>
      <c r="C84" s="273">
        <v>605.30100000000004</v>
      </c>
      <c r="D84" s="29">
        <v>4.1100000000000003</v>
      </c>
      <c r="E84" s="29" t="s">
        <v>9</v>
      </c>
      <c r="F84" s="30">
        <v>447098</v>
      </c>
      <c r="G84" s="30">
        <f t="shared" si="49"/>
        <v>447098</v>
      </c>
      <c r="H84" s="30">
        <f t="shared" si="50"/>
        <v>447098</v>
      </c>
      <c r="I84" s="30">
        <f>-H84</f>
        <v>-447098</v>
      </c>
      <c r="J84" s="30">
        <f t="shared" si="46"/>
        <v>0</v>
      </c>
      <c r="K84" s="276" t="s">
        <v>10</v>
      </c>
      <c r="L84" s="270">
        <f>SUMIF('Allocation Factors'!$B$3:$B$89,'Current Income Tax Expense'!K84,'Allocation Factors'!$P$3:$P$89)</f>
        <v>6.7017620954721469E-2</v>
      </c>
      <c r="M84" s="30">
        <f t="shared" si="34"/>
        <v>29963</v>
      </c>
      <c r="N84" s="30">
        <f t="shared" si="47"/>
        <v>-29963</v>
      </c>
      <c r="O84" s="30">
        <f t="shared" si="48"/>
        <v>0</v>
      </c>
      <c r="P84" s="30">
        <f t="shared" si="55"/>
        <v>0</v>
      </c>
      <c r="Q84" s="394"/>
      <c r="R84" s="394"/>
    </row>
    <row r="85" spans="1:18">
      <c r="A85" s="28" t="s">
        <v>318</v>
      </c>
      <c r="B85" s="29">
        <v>287241</v>
      </c>
      <c r="C85" s="273">
        <v>605.30200000000002</v>
      </c>
      <c r="D85" s="29" t="s">
        <v>8</v>
      </c>
      <c r="E85" s="276" t="s">
        <v>333</v>
      </c>
      <c r="F85" s="30">
        <v>33915</v>
      </c>
      <c r="G85" s="30">
        <f t="shared" si="49"/>
        <v>33915</v>
      </c>
      <c r="H85" s="30">
        <f t="shared" si="50"/>
        <v>0</v>
      </c>
      <c r="I85" s="30">
        <v>0</v>
      </c>
      <c r="J85" s="30">
        <f t="shared" si="46"/>
        <v>0</v>
      </c>
      <c r="K85" s="276" t="s">
        <v>331</v>
      </c>
      <c r="L85" s="270">
        <f>SUMIF('Allocation Factors'!$B$3:$B$89,'Current Income Tax Expense'!K85,'Allocation Factors'!$P$3:$P$89)</f>
        <v>0</v>
      </c>
      <c r="M85" s="30">
        <f t="shared" si="34"/>
        <v>0</v>
      </c>
      <c r="N85" s="30">
        <f t="shared" si="47"/>
        <v>0</v>
      </c>
      <c r="O85" s="30">
        <f t="shared" si="48"/>
        <v>0</v>
      </c>
      <c r="P85" s="30">
        <f t="shared" si="55"/>
        <v>0</v>
      </c>
      <c r="Q85" s="394"/>
      <c r="R85" s="394"/>
    </row>
    <row r="86" spans="1:18">
      <c r="A86" s="28" t="s">
        <v>478</v>
      </c>
      <c r="B86" s="29">
        <v>287417</v>
      </c>
      <c r="C86" s="273">
        <v>605.71</v>
      </c>
      <c r="D86" s="29" t="s">
        <v>8</v>
      </c>
      <c r="E86" s="276" t="s">
        <v>9</v>
      </c>
      <c r="F86" s="30">
        <v>-4589175</v>
      </c>
      <c r="G86" s="30">
        <f t="shared" si="49"/>
        <v>-4589175</v>
      </c>
      <c r="H86" s="30">
        <f t="shared" si="50"/>
        <v>-4589175</v>
      </c>
      <c r="I86" s="30">
        <v>0</v>
      </c>
      <c r="J86" s="30">
        <f t="shared" si="46"/>
        <v>-4589175</v>
      </c>
      <c r="K86" s="276" t="s">
        <v>15</v>
      </c>
      <c r="L86" s="270">
        <f>SUMIF('Allocation Factors'!$B$3:$B$89,'Current Income Tax Expense'!K86,'Allocation Factors'!$P$3:$P$89)</f>
        <v>0</v>
      </c>
      <c r="M86" s="30">
        <f t="shared" si="34"/>
        <v>0</v>
      </c>
      <c r="N86" s="30">
        <f t="shared" si="47"/>
        <v>0</v>
      </c>
      <c r="O86" s="30">
        <f t="shared" si="48"/>
        <v>0</v>
      </c>
      <c r="P86" s="30">
        <f t="shared" si="55"/>
        <v>0</v>
      </c>
      <c r="Q86" s="394"/>
      <c r="R86" s="394"/>
    </row>
    <row r="87" spans="1:18">
      <c r="A87" s="90" t="s">
        <v>374</v>
      </c>
      <c r="B87" s="29">
        <v>287216</v>
      </c>
      <c r="C87" s="273">
        <v>605.71500000000003</v>
      </c>
      <c r="D87" s="29" t="s">
        <v>8</v>
      </c>
      <c r="E87" s="276" t="s">
        <v>9</v>
      </c>
      <c r="F87" s="30">
        <v>280709</v>
      </c>
      <c r="G87" s="30">
        <f t="shared" si="49"/>
        <v>280709</v>
      </c>
      <c r="H87" s="30">
        <f t="shared" si="50"/>
        <v>280709</v>
      </c>
      <c r="I87" s="30">
        <v>0</v>
      </c>
      <c r="J87" s="30">
        <f t="shared" si="46"/>
        <v>280709</v>
      </c>
      <c r="K87" s="276" t="s">
        <v>119</v>
      </c>
      <c r="L87" s="270">
        <f>SUMIF('Allocation Factors'!$B$3:$B$89,'Current Income Tax Expense'!K87,'Allocation Factors'!$P$3:$P$89)</f>
        <v>0</v>
      </c>
      <c r="M87" s="30">
        <f t="shared" si="34"/>
        <v>0</v>
      </c>
      <c r="N87" s="30">
        <f t="shared" si="47"/>
        <v>0</v>
      </c>
      <c r="O87" s="30">
        <f t="shared" si="48"/>
        <v>0</v>
      </c>
      <c r="P87" s="30">
        <f t="shared" si="55"/>
        <v>0</v>
      </c>
      <c r="Q87" s="394"/>
      <c r="R87" s="394"/>
    </row>
    <row r="88" spans="1:18">
      <c r="A88" s="28" t="s">
        <v>479</v>
      </c>
      <c r="B88" s="29">
        <v>287706</v>
      </c>
      <c r="C88" s="273">
        <v>610</v>
      </c>
      <c r="D88" s="29" t="s">
        <v>8</v>
      </c>
      <c r="E88" s="29" t="s">
        <v>9</v>
      </c>
      <c r="F88" s="30">
        <v>-85122</v>
      </c>
      <c r="G88" s="30">
        <f t="shared" si="49"/>
        <v>-85122</v>
      </c>
      <c r="H88" s="30">
        <f t="shared" si="50"/>
        <v>-85122</v>
      </c>
      <c r="I88" s="30">
        <v>0</v>
      </c>
      <c r="J88" s="30">
        <f t="shared" si="46"/>
        <v>-85122</v>
      </c>
      <c r="K88" s="276" t="s">
        <v>170</v>
      </c>
      <c r="L88" s="270">
        <f>SUMIF('Allocation Factors'!$B$3:$B$89,'Current Income Tax Expense'!K88,'Allocation Factors'!$P$3:$P$89)</f>
        <v>0.22591574269314921</v>
      </c>
      <c r="M88" s="30">
        <f t="shared" si="34"/>
        <v>-19230</v>
      </c>
      <c r="N88" s="30">
        <f t="shared" si="47"/>
        <v>0</v>
      </c>
      <c r="O88" s="30">
        <f t="shared" si="48"/>
        <v>-19230</v>
      </c>
      <c r="P88" s="30">
        <f t="shared" si="55"/>
        <v>-19230</v>
      </c>
      <c r="Q88" s="394"/>
      <c r="R88" s="394"/>
    </row>
    <row r="89" spans="1:18">
      <c r="A89" s="28" t="s">
        <v>65</v>
      </c>
      <c r="B89" s="29">
        <v>287453</v>
      </c>
      <c r="C89" s="273">
        <v>610.14300000000003</v>
      </c>
      <c r="D89" s="29" t="s">
        <v>8</v>
      </c>
      <c r="E89" s="29" t="s">
        <v>9</v>
      </c>
      <c r="F89" s="30">
        <v>-1288511</v>
      </c>
      <c r="G89" s="30">
        <f t="shared" si="49"/>
        <v>-1288511</v>
      </c>
      <c r="H89" s="30">
        <f t="shared" si="50"/>
        <v>-1288511</v>
      </c>
      <c r="I89" s="30">
        <v>0</v>
      </c>
      <c r="J89" s="30">
        <f t="shared" si="46"/>
        <v>-1288511</v>
      </c>
      <c r="K89" s="269" t="s">
        <v>26</v>
      </c>
      <c r="L89" s="270">
        <f>SUMIF('Allocation Factors'!$B$3:$B$89,'Current Income Tax Expense'!K89,'Allocation Factors'!$P$3:$P$89)</f>
        <v>1</v>
      </c>
      <c r="M89" s="30">
        <f t="shared" si="34"/>
        <v>-1288511</v>
      </c>
      <c r="N89" s="30">
        <f t="shared" si="47"/>
        <v>0</v>
      </c>
      <c r="O89" s="30">
        <f t="shared" si="48"/>
        <v>-1288511</v>
      </c>
      <c r="P89" s="30">
        <f t="shared" si="55"/>
        <v>-1288511</v>
      </c>
      <c r="Q89" s="394"/>
      <c r="R89" s="394"/>
    </row>
    <row r="90" spans="1:18">
      <c r="A90" s="90" t="s">
        <v>480</v>
      </c>
      <c r="B90" s="29">
        <v>287389</v>
      </c>
      <c r="C90" s="273">
        <v>610.14499999999998</v>
      </c>
      <c r="D90" s="29" t="s">
        <v>8</v>
      </c>
      <c r="E90" s="29" t="s">
        <v>9</v>
      </c>
      <c r="F90" s="30">
        <v>23147146</v>
      </c>
      <c r="G90" s="30">
        <f t="shared" si="49"/>
        <v>23147146</v>
      </c>
      <c r="H90" s="30">
        <f t="shared" si="50"/>
        <v>23147146</v>
      </c>
      <c r="I90" s="30">
        <v>0</v>
      </c>
      <c r="J90" s="30">
        <f t="shared" si="46"/>
        <v>23147146</v>
      </c>
      <c r="K90" s="276" t="s">
        <v>15</v>
      </c>
      <c r="L90" s="270">
        <f>SUMIF('Allocation Factors'!$B$3:$B$89,'Current Income Tax Expense'!K90,'Allocation Factors'!$P$3:$P$89)</f>
        <v>0</v>
      </c>
      <c r="M90" s="30">
        <f t="shared" si="34"/>
        <v>0</v>
      </c>
      <c r="N90" s="30">
        <f t="shared" si="47"/>
        <v>0</v>
      </c>
      <c r="O90" s="30">
        <f t="shared" si="48"/>
        <v>0</v>
      </c>
      <c r="P90" s="30">
        <f t="shared" si="55"/>
        <v>0</v>
      </c>
      <c r="Q90" s="394"/>
      <c r="R90" s="394"/>
    </row>
    <row r="91" spans="1:18">
      <c r="A91" s="28" t="s">
        <v>42</v>
      </c>
      <c r="B91" s="29">
        <v>287284</v>
      </c>
      <c r="C91" s="273">
        <v>610.14700000000005</v>
      </c>
      <c r="D91" s="29" t="s">
        <v>8</v>
      </c>
      <c r="E91" s="276" t="s">
        <v>333</v>
      </c>
      <c r="F91" s="30">
        <v>994267</v>
      </c>
      <c r="G91" s="30">
        <f t="shared" si="49"/>
        <v>994267</v>
      </c>
      <c r="H91" s="30">
        <f t="shared" si="50"/>
        <v>0</v>
      </c>
      <c r="I91" s="30">
        <v>0</v>
      </c>
      <c r="J91" s="30">
        <f t="shared" si="46"/>
        <v>0</v>
      </c>
      <c r="K91" s="276" t="s">
        <v>331</v>
      </c>
      <c r="L91" s="270">
        <f>SUMIF('Allocation Factors'!$B$3:$B$89,'Current Income Tax Expense'!K91,'Allocation Factors'!$P$3:$P$89)</f>
        <v>0</v>
      </c>
      <c r="M91" s="30">
        <f t="shared" si="34"/>
        <v>0</v>
      </c>
      <c r="N91" s="30">
        <f t="shared" si="47"/>
        <v>0</v>
      </c>
      <c r="O91" s="30">
        <f t="shared" si="48"/>
        <v>0</v>
      </c>
      <c r="P91" s="30">
        <f t="shared" si="55"/>
        <v>0</v>
      </c>
      <c r="Q91" s="394"/>
      <c r="R91" s="394"/>
    </row>
    <row r="92" spans="1:18">
      <c r="A92" s="28" t="s">
        <v>481</v>
      </c>
      <c r="B92" s="29">
        <v>287747</v>
      </c>
      <c r="C92" s="273">
        <v>705.24</v>
      </c>
      <c r="D92" s="29" t="s">
        <v>8</v>
      </c>
      <c r="E92" s="269" t="s">
        <v>9</v>
      </c>
      <c r="F92" s="30">
        <v>253702</v>
      </c>
      <c r="G92" s="30">
        <f t="shared" ref="G92:G123" si="60">+F92</f>
        <v>253702</v>
      </c>
      <c r="H92" s="30">
        <f t="shared" ref="H92:H123" si="61">IF(E92="U",G92,0)</f>
        <v>253702</v>
      </c>
      <c r="I92" s="30">
        <v>0</v>
      </c>
      <c r="J92" s="30">
        <f t="shared" ref="J92:J121" si="62">SUM(H92:I92)</f>
        <v>253702</v>
      </c>
      <c r="K92" s="269" t="s">
        <v>15</v>
      </c>
      <c r="L92" s="270">
        <f>SUMIF('Allocation Factors'!$B$3:$B$89,'Current Income Tax Expense'!K92,'Allocation Factors'!$P$3:$P$89)</f>
        <v>0</v>
      </c>
      <c r="M92" s="30">
        <f t="shared" ref="M92:M135" si="63">ROUND(H92*L92,0)</f>
        <v>0</v>
      </c>
      <c r="N92" s="30">
        <f t="shared" ref="N92:N121" si="64">ROUND(I92*L92,0)</f>
        <v>0</v>
      </c>
      <c r="O92" s="30">
        <f t="shared" ref="O92:O121" si="65">SUM(M92:N92)</f>
        <v>0</v>
      </c>
      <c r="P92" s="30">
        <f t="shared" si="55"/>
        <v>0</v>
      </c>
      <c r="Q92" s="394"/>
      <c r="R92" s="394"/>
    </row>
    <row r="93" spans="1:18">
      <c r="A93" s="90" t="s">
        <v>482</v>
      </c>
      <c r="B93" s="29">
        <v>287212</v>
      </c>
      <c r="C93" s="273">
        <v>705.245</v>
      </c>
      <c r="D93" s="29" t="s">
        <v>8</v>
      </c>
      <c r="E93" s="269" t="s">
        <v>9</v>
      </c>
      <c r="F93" s="30">
        <v>1865398</v>
      </c>
      <c r="G93" s="30">
        <f t="shared" si="60"/>
        <v>1865398</v>
      </c>
      <c r="H93" s="30">
        <f t="shared" si="61"/>
        <v>1865398</v>
      </c>
      <c r="I93" s="30">
        <v>0</v>
      </c>
      <c r="J93" s="30">
        <f t="shared" si="62"/>
        <v>1865398</v>
      </c>
      <c r="K93" s="269" t="s">
        <v>15</v>
      </c>
      <c r="L93" s="270">
        <f>SUMIF('Allocation Factors'!$B$3:$B$89,'Current Income Tax Expense'!K93,'Allocation Factors'!$P$3:$P$89)</f>
        <v>0</v>
      </c>
      <c r="M93" s="30">
        <f t="shared" si="63"/>
        <v>0</v>
      </c>
      <c r="N93" s="30">
        <f t="shared" si="64"/>
        <v>0</v>
      </c>
      <c r="O93" s="30">
        <f t="shared" si="65"/>
        <v>0</v>
      </c>
      <c r="P93" s="30">
        <f t="shared" si="55"/>
        <v>0</v>
      </c>
      <c r="Q93" s="394"/>
      <c r="R93" s="394"/>
    </row>
    <row r="94" spans="1:18">
      <c r="A94" s="90" t="s">
        <v>378</v>
      </c>
      <c r="B94" s="29">
        <v>287209</v>
      </c>
      <c r="C94" s="273">
        <v>705.26599999999996</v>
      </c>
      <c r="D94" s="29" t="s">
        <v>8</v>
      </c>
      <c r="E94" s="276" t="s">
        <v>9</v>
      </c>
      <c r="F94" s="30">
        <v>51026</v>
      </c>
      <c r="G94" s="30">
        <f t="shared" si="60"/>
        <v>51026</v>
      </c>
      <c r="H94" s="30">
        <f t="shared" si="61"/>
        <v>51026</v>
      </c>
      <c r="I94" s="30">
        <v>0</v>
      </c>
      <c r="J94" s="30">
        <f t="shared" si="62"/>
        <v>51026</v>
      </c>
      <c r="K94" s="29" t="s">
        <v>15</v>
      </c>
      <c r="L94" s="270">
        <f>SUMIF('Allocation Factors'!$B$3:$B$89,'Current Income Tax Expense'!K94,'Allocation Factors'!$P$3:$P$89)</f>
        <v>0</v>
      </c>
      <c r="M94" s="30">
        <f t="shared" si="63"/>
        <v>0</v>
      </c>
      <c r="N94" s="30">
        <f t="shared" si="64"/>
        <v>0</v>
      </c>
      <c r="O94" s="30">
        <f t="shared" si="65"/>
        <v>0</v>
      </c>
      <c r="P94" s="30">
        <f t="shared" si="55"/>
        <v>0</v>
      </c>
      <c r="Q94" s="394"/>
      <c r="R94" s="394"/>
    </row>
    <row r="95" spans="1:18">
      <c r="A95" s="90" t="s">
        <v>380</v>
      </c>
      <c r="B95" s="29">
        <v>287200</v>
      </c>
      <c r="C95" s="273">
        <v>705.26700000000005</v>
      </c>
      <c r="D95" s="29" t="s">
        <v>8</v>
      </c>
      <c r="E95" s="276" t="s">
        <v>9</v>
      </c>
      <c r="F95" s="30">
        <v>-452218</v>
      </c>
      <c r="G95" s="30">
        <f t="shared" si="60"/>
        <v>-452218</v>
      </c>
      <c r="H95" s="30">
        <f t="shared" si="61"/>
        <v>-452218</v>
      </c>
      <c r="I95" s="30">
        <v>0</v>
      </c>
      <c r="J95" s="30">
        <f t="shared" si="62"/>
        <v>-452218</v>
      </c>
      <c r="K95" s="29" t="s">
        <v>15</v>
      </c>
      <c r="L95" s="270">
        <f>SUMIF('Allocation Factors'!$B$3:$B$89,'Current Income Tax Expense'!K95,'Allocation Factors'!$P$3:$P$89)</f>
        <v>0</v>
      </c>
      <c r="M95" s="30">
        <f t="shared" si="63"/>
        <v>0</v>
      </c>
      <c r="N95" s="30">
        <f t="shared" si="64"/>
        <v>0</v>
      </c>
      <c r="O95" s="30">
        <f t="shared" si="65"/>
        <v>0</v>
      </c>
      <c r="P95" s="30">
        <f t="shared" si="55"/>
        <v>0</v>
      </c>
      <c r="Q95" s="394"/>
      <c r="R95" s="394"/>
    </row>
    <row r="96" spans="1:18">
      <c r="A96" s="28" t="s">
        <v>483</v>
      </c>
      <c r="B96" s="29">
        <v>287473</v>
      </c>
      <c r="C96" s="273">
        <v>705.27</v>
      </c>
      <c r="D96" s="29" t="s">
        <v>8</v>
      </c>
      <c r="E96" s="29" t="s">
        <v>333</v>
      </c>
      <c r="F96" s="30">
        <v>-116518</v>
      </c>
      <c r="G96" s="30">
        <f t="shared" si="60"/>
        <v>-116518</v>
      </c>
      <c r="H96" s="30">
        <f t="shared" si="61"/>
        <v>0</v>
      </c>
      <c r="I96" s="30">
        <v>0</v>
      </c>
      <c r="J96" s="30">
        <f t="shared" si="62"/>
        <v>0</v>
      </c>
      <c r="K96" s="269" t="s">
        <v>331</v>
      </c>
      <c r="L96" s="270">
        <f>SUMIF('Allocation Factors'!$B$3:$B$89,'Current Income Tax Expense'!K96,'Allocation Factors'!$P$3:$P$89)</f>
        <v>0</v>
      </c>
      <c r="M96" s="30">
        <f t="shared" si="63"/>
        <v>0</v>
      </c>
      <c r="N96" s="30">
        <f t="shared" si="64"/>
        <v>0</v>
      </c>
      <c r="O96" s="30">
        <f t="shared" si="65"/>
        <v>0</v>
      </c>
      <c r="P96" s="30">
        <f t="shared" si="55"/>
        <v>0</v>
      </c>
      <c r="Q96" s="394"/>
      <c r="R96" s="394"/>
    </row>
    <row r="97" spans="1:18">
      <c r="A97" s="28" t="s">
        <v>484</v>
      </c>
      <c r="B97" s="29">
        <v>287474</v>
      </c>
      <c r="C97" s="273">
        <v>705.27099999999996</v>
      </c>
      <c r="D97" s="29" t="s">
        <v>8</v>
      </c>
      <c r="E97" s="29" t="s">
        <v>333</v>
      </c>
      <c r="F97" s="30">
        <v>129284</v>
      </c>
      <c r="G97" s="30">
        <f t="shared" si="60"/>
        <v>129284</v>
      </c>
      <c r="H97" s="30">
        <f t="shared" si="61"/>
        <v>0</v>
      </c>
      <c r="I97" s="30">
        <v>0</v>
      </c>
      <c r="J97" s="30">
        <f t="shared" si="62"/>
        <v>0</v>
      </c>
      <c r="K97" s="29" t="s">
        <v>331</v>
      </c>
      <c r="L97" s="270">
        <f>SUMIF('Allocation Factors'!$B$3:$B$89,'Current Income Tax Expense'!K97,'Allocation Factors'!$P$3:$P$89)</f>
        <v>0</v>
      </c>
      <c r="M97" s="30">
        <f t="shared" si="63"/>
        <v>0</v>
      </c>
      <c r="N97" s="30">
        <f t="shared" si="64"/>
        <v>0</v>
      </c>
      <c r="O97" s="30">
        <f t="shared" si="65"/>
        <v>0</v>
      </c>
      <c r="P97" s="30">
        <f t="shared" si="55"/>
        <v>0</v>
      </c>
      <c r="Q97" s="394"/>
      <c r="R97" s="394"/>
    </row>
    <row r="98" spans="1:18">
      <c r="A98" s="28" t="s">
        <v>485</v>
      </c>
      <c r="B98" s="29">
        <v>287475</v>
      </c>
      <c r="C98" s="273">
        <v>705.27200000000005</v>
      </c>
      <c r="D98" s="29" t="s">
        <v>8</v>
      </c>
      <c r="E98" s="29" t="s">
        <v>333</v>
      </c>
      <c r="F98" s="30">
        <v>-62875</v>
      </c>
      <c r="G98" s="30">
        <f t="shared" si="60"/>
        <v>-62875</v>
      </c>
      <c r="H98" s="30">
        <f t="shared" si="61"/>
        <v>0</v>
      </c>
      <c r="I98" s="30">
        <v>0</v>
      </c>
      <c r="J98" s="30">
        <f t="shared" si="62"/>
        <v>0</v>
      </c>
      <c r="K98" s="276" t="s">
        <v>331</v>
      </c>
      <c r="L98" s="270">
        <f>SUMIF('Allocation Factors'!$B$3:$B$89,'Current Income Tax Expense'!K98,'Allocation Factors'!$P$3:$P$89)</f>
        <v>0</v>
      </c>
      <c r="M98" s="30">
        <f t="shared" si="63"/>
        <v>0</v>
      </c>
      <c r="N98" s="30">
        <f t="shared" si="64"/>
        <v>0</v>
      </c>
      <c r="O98" s="30">
        <f t="shared" si="65"/>
        <v>0</v>
      </c>
      <c r="P98" s="30">
        <f t="shared" si="55"/>
        <v>0</v>
      </c>
      <c r="Q98" s="394"/>
      <c r="R98" s="394"/>
    </row>
    <row r="99" spans="1:18">
      <c r="A99" s="28" t="s">
        <v>486</v>
      </c>
      <c r="B99" s="29">
        <v>287476</v>
      </c>
      <c r="C99" s="273">
        <v>705.27300000000002</v>
      </c>
      <c r="D99" s="29" t="s">
        <v>8</v>
      </c>
      <c r="E99" s="29" t="s">
        <v>333</v>
      </c>
      <c r="F99" s="30">
        <v>484017</v>
      </c>
      <c r="G99" s="30">
        <f t="shared" si="60"/>
        <v>484017</v>
      </c>
      <c r="H99" s="30">
        <f t="shared" si="61"/>
        <v>0</v>
      </c>
      <c r="I99" s="30">
        <v>0</v>
      </c>
      <c r="J99" s="30">
        <f t="shared" si="62"/>
        <v>0</v>
      </c>
      <c r="K99" s="29" t="s">
        <v>331</v>
      </c>
      <c r="L99" s="270">
        <f>SUMIF('Allocation Factors'!$B$3:$B$89,'Current Income Tax Expense'!K99,'Allocation Factors'!$P$3:$P$89)</f>
        <v>0</v>
      </c>
      <c r="M99" s="30">
        <f t="shared" si="63"/>
        <v>0</v>
      </c>
      <c r="N99" s="30">
        <f t="shared" si="64"/>
        <v>0</v>
      </c>
      <c r="O99" s="30">
        <f t="shared" si="65"/>
        <v>0</v>
      </c>
      <c r="P99" s="30">
        <f t="shared" si="55"/>
        <v>0</v>
      </c>
      <c r="Q99" s="394"/>
      <c r="R99" s="394"/>
    </row>
    <row r="100" spans="1:18">
      <c r="A100" s="28" t="s">
        <v>487</v>
      </c>
      <c r="B100" s="29">
        <v>287477</v>
      </c>
      <c r="C100" s="273">
        <v>705.274</v>
      </c>
      <c r="D100" s="29" t="s">
        <v>8</v>
      </c>
      <c r="E100" s="29" t="s">
        <v>333</v>
      </c>
      <c r="F100" s="30">
        <v>49424</v>
      </c>
      <c r="G100" s="30">
        <f t="shared" si="60"/>
        <v>49424</v>
      </c>
      <c r="H100" s="30">
        <f t="shared" si="61"/>
        <v>0</v>
      </c>
      <c r="I100" s="30">
        <v>0</v>
      </c>
      <c r="J100" s="30">
        <f t="shared" si="62"/>
        <v>0</v>
      </c>
      <c r="K100" s="276" t="s">
        <v>331</v>
      </c>
      <c r="L100" s="270">
        <f>SUMIF('Allocation Factors'!$B$3:$B$89,'Current Income Tax Expense'!K100,'Allocation Factors'!$P$3:$P$89)</f>
        <v>0</v>
      </c>
      <c r="M100" s="30">
        <f t="shared" si="63"/>
        <v>0</v>
      </c>
      <c r="N100" s="30">
        <f t="shared" si="64"/>
        <v>0</v>
      </c>
      <c r="O100" s="30">
        <f t="shared" si="65"/>
        <v>0</v>
      </c>
      <c r="P100" s="30">
        <f t="shared" si="55"/>
        <v>0</v>
      </c>
      <c r="Q100" s="394"/>
      <c r="R100" s="394"/>
    </row>
    <row r="101" spans="1:18">
      <c r="A101" s="28" t="s">
        <v>488</v>
      </c>
      <c r="B101" s="29">
        <v>287478</v>
      </c>
      <c r="C101" s="273">
        <v>705.27499999999998</v>
      </c>
      <c r="D101" s="29" t="s">
        <v>8</v>
      </c>
      <c r="E101" s="29" t="s">
        <v>333</v>
      </c>
      <c r="F101" s="30">
        <v>46662</v>
      </c>
      <c r="G101" s="30">
        <f t="shared" si="60"/>
        <v>46662</v>
      </c>
      <c r="H101" s="30">
        <f t="shared" si="61"/>
        <v>0</v>
      </c>
      <c r="I101" s="30">
        <v>0</v>
      </c>
      <c r="J101" s="30">
        <f t="shared" si="62"/>
        <v>0</v>
      </c>
      <c r="K101" s="276" t="s">
        <v>331</v>
      </c>
      <c r="L101" s="270">
        <f>SUMIF('Allocation Factors'!$B$3:$B$89,'Current Income Tax Expense'!K101,'Allocation Factors'!$P$3:$P$89)</f>
        <v>0</v>
      </c>
      <c r="M101" s="30">
        <f t="shared" si="63"/>
        <v>0</v>
      </c>
      <c r="N101" s="30">
        <f t="shared" si="64"/>
        <v>0</v>
      </c>
      <c r="O101" s="30">
        <f t="shared" si="65"/>
        <v>0</v>
      </c>
      <c r="P101" s="30">
        <f t="shared" si="55"/>
        <v>0</v>
      </c>
      <c r="Q101" s="394"/>
      <c r="R101" s="394"/>
    </row>
    <row r="102" spans="1:18">
      <c r="A102" s="28" t="s">
        <v>489</v>
      </c>
      <c r="B102" s="29">
        <v>287271</v>
      </c>
      <c r="C102" s="273">
        <v>705.33600000000001</v>
      </c>
      <c r="D102" s="29" t="s">
        <v>8</v>
      </c>
      <c r="E102" s="29" t="s">
        <v>9</v>
      </c>
      <c r="F102" s="30">
        <v>302888</v>
      </c>
      <c r="G102" s="30">
        <f t="shared" si="60"/>
        <v>302888</v>
      </c>
      <c r="H102" s="30">
        <f t="shared" si="61"/>
        <v>302888</v>
      </c>
      <c r="I102" s="30">
        <v>0</v>
      </c>
      <c r="J102" s="30">
        <f t="shared" si="62"/>
        <v>302888</v>
      </c>
      <c r="K102" s="276" t="s">
        <v>15</v>
      </c>
      <c r="L102" s="270">
        <f>SUMIF('Allocation Factors'!$B$3:$B$89,'Current Income Tax Expense'!K102,'Allocation Factors'!$P$3:$P$89)</f>
        <v>0</v>
      </c>
      <c r="M102" s="30">
        <f t="shared" si="63"/>
        <v>0</v>
      </c>
      <c r="N102" s="30">
        <f t="shared" si="64"/>
        <v>0</v>
      </c>
      <c r="O102" s="30">
        <f t="shared" si="65"/>
        <v>0</v>
      </c>
      <c r="P102" s="30">
        <f t="shared" ref="P102:P135" si="66">O102</f>
        <v>0</v>
      </c>
      <c r="Q102" s="394"/>
      <c r="R102" s="394"/>
    </row>
    <row r="103" spans="1:18">
      <c r="A103" s="90" t="s">
        <v>389</v>
      </c>
      <c r="B103" s="29">
        <v>287051</v>
      </c>
      <c r="C103" s="273">
        <v>705.34</v>
      </c>
      <c r="D103" s="29" t="s">
        <v>8</v>
      </c>
      <c r="E103" s="29" t="s">
        <v>9</v>
      </c>
      <c r="F103" s="30">
        <v>2727970</v>
      </c>
      <c r="G103" s="30">
        <f t="shared" si="60"/>
        <v>2727970</v>
      </c>
      <c r="H103" s="30">
        <f t="shared" si="61"/>
        <v>2727970</v>
      </c>
      <c r="I103" s="30">
        <v>0</v>
      </c>
      <c r="J103" s="30">
        <f t="shared" si="62"/>
        <v>2727970</v>
      </c>
      <c r="K103" s="276" t="s">
        <v>15</v>
      </c>
      <c r="L103" s="270">
        <f>SUMIF('Allocation Factors'!$B$3:$B$89,'Current Income Tax Expense'!K103,'Allocation Factors'!$P$3:$P$89)</f>
        <v>0</v>
      </c>
      <c r="M103" s="30">
        <f t="shared" si="63"/>
        <v>0</v>
      </c>
      <c r="N103" s="30">
        <f t="shared" si="64"/>
        <v>0</v>
      </c>
      <c r="O103" s="30">
        <f t="shared" si="65"/>
        <v>0</v>
      </c>
      <c r="P103" s="30">
        <f t="shared" ref="P103:P108" si="67">O103</f>
        <v>0</v>
      </c>
      <c r="Q103" s="394"/>
      <c r="R103" s="394"/>
    </row>
    <row r="104" spans="1:18">
      <c r="A104" s="90" t="s">
        <v>390</v>
      </c>
      <c r="B104" s="29">
        <v>287052</v>
      </c>
      <c r="C104" s="273">
        <v>705.34100000000001</v>
      </c>
      <c r="D104" s="29" t="s">
        <v>8</v>
      </c>
      <c r="E104" s="29" t="s">
        <v>9</v>
      </c>
      <c r="F104" s="30">
        <v>-1037279</v>
      </c>
      <c r="G104" s="30">
        <f t="shared" si="60"/>
        <v>-1037279</v>
      </c>
      <c r="H104" s="30">
        <f t="shared" si="61"/>
        <v>-1037279</v>
      </c>
      <c r="I104" s="30">
        <v>0</v>
      </c>
      <c r="J104" s="30">
        <f t="shared" si="62"/>
        <v>-1037279</v>
      </c>
      <c r="K104" s="276" t="s">
        <v>15</v>
      </c>
      <c r="L104" s="270">
        <f>SUMIF('Allocation Factors'!$B$3:$B$89,'Current Income Tax Expense'!K104,'Allocation Factors'!$P$3:$P$89)</f>
        <v>0</v>
      </c>
      <c r="M104" s="30">
        <f t="shared" si="63"/>
        <v>0</v>
      </c>
      <c r="N104" s="30">
        <f t="shared" si="64"/>
        <v>0</v>
      </c>
      <c r="O104" s="30">
        <f t="shared" si="65"/>
        <v>0</v>
      </c>
      <c r="P104" s="30">
        <f t="shared" si="67"/>
        <v>0</v>
      </c>
      <c r="Q104" s="394"/>
      <c r="R104" s="394"/>
    </row>
    <row r="105" spans="1:18">
      <c r="A105" s="90" t="s">
        <v>391</v>
      </c>
      <c r="B105" s="29">
        <v>287053</v>
      </c>
      <c r="C105" s="273">
        <v>705.34199999999998</v>
      </c>
      <c r="D105" s="29" t="s">
        <v>8</v>
      </c>
      <c r="E105" s="29" t="s">
        <v>9</v>
      </c>
      <c r="F105" s="30">
        <v>22246125</v>
      </c>
      <c r="G105" s="30">
        <f t="shared" si="60"/>
        <v>22246125</v>
      </c>
      <c r="H105" s="30">
        <f t="shared" si="61"/>
        <v>22246125</v>
      </c>
      <c r="I105" s="30">
        <v>0</v>
      </c>
      <c r="J105" s="30">
        <f t="shared" si="62"/>
        <v>22246125</v>
      </c>
      <c r="K105" s="276" t="s">
        <v>15</v>
      </c>
      <c r="L105" s="270">
        <f>SUMIF('Allocation Factors'!$B$3:$B$89,'Current Income Tax Expense'!K105,'Allocation Factors'!$P$3:$P$89)</f>
        <v>0</v>
      </c>
      <c r="M105" s="30">
        <f t="shared" si="63"/>
        <v>0</v>
      </c>
      <c r="N105" s="30">
        <f t="shared" si="64"/>
        <v>0</v>
      </c>
      <c r="O105" s="30">
        <f t="shared" si="65"/>
        <v>0</v>
      </c>
      <c r="P105" s="30">
        <f t="shared" si="67"/>
        <v>0</v>
      </c>
      <c r="Q105" s="394"/>
      <c r="R105" s="394"/>
    </row>
    <row r="106" spans="1:18">
      <c r="A106" s="90" t="s">
        <v>392</v>
      </c>
      <c r="B106" s="29">
        <v>287054</v>
      </c>
      <c r="C106" s="273">
        <v>705.34299999999996</v>
      </c>
      <c r="D106" s="29" t="s">
        <v>8</v>
      </c>
      <c r="E106" s="29" t="s">
        <v>9</v>
      </c>
      <c r="F106" s="30">
        <v>-29447312</v>
      </c>
      <c r="G106" s="30">
        <f t="shared" si="60"/>
        <v>-29447312</v>
      </c>
      <c r="H106" s="30">
        <f t="shared" si="61"/>
        <v>-29447312</v>
      </c>
      <c r="I106" s="30">
        <v>0</v>
      </c>
      <c r="J106" s="30">
        <f t="shared" si="62"/>
        <v>-29447312</v>
      </c>
      <c r="K106" s="276" t="s">
        <v>15</v>
      </c>
      <c r="L106" s="270">
        <f>SUMIF('Allocation Factors'!$B$3:$B$89,'Current Income Tax Expense'!K106,'Allocation Factors'!$P$3:$P$89)</f>
        <v>0</v>
      </c>
      <c r="M106" s="30">
        <f t="shared" si="63"/>
        <v>0</v>
      </c>
      <c r="N106" s="30">
        <f t="shared" si="64"/>
        <v>0</v>
      </c>
      <c r="O106" s="30">
        <f t="shared" si="65"/>
        <v>0</v>
      </c>
      <c r="P106" s="30">
        <f t="shared" si="67"/>
        <v>0</v>
      </c>
      <c r="Q106" s="394"/>
      <c r="R106" s="394"/>
    </row>
    <row r="107" spans="1:18">
      <c r="A107" s="90" t="s">
        <v>393</v>
      </c>
      <c r="B107" s="29">
        <v>287055</v>
      </c>
      <c r="C107" s="273">
        <v>705.34400000000005</v>
      </c>
      <c r="D107" s="29" t="s">
        <v>8</v>
      </c>
      <c r="E107" s="29" t="s">
        <v>9</v>
      </c>
      <c r="F107" s="30">
        <v>136657</v>
      </c>
      <c r="G107" s="30">
        <f t="shared" si="60"/>
        <v>136657</v>
      </c>
      <c r="H107" s="30">
        <f t="shared" si="61"/>
        <v>136657</v>
      </c>
      <c r="I107" s="30">
        <v>0</v>
      </c>
      <c r="J107" s="30">
        <f t="shared" si="62"/>
        <v>136657</v>
      </c>
      <c r="K107" s="276" t="s">
        <v>15</v>
      </c>
      <c r="L107" s="270">
        <f>SUMIF('Allocation Factors'!$B$3:$B$89,'Current Income Tax Expense'!K107,'Allocation Factors'!$P$3:$P$89)</f>
        <v>0</v>
      </c>
      <c r="M107" s="30">
        <f t="shared" si="63"/>
        <v>0</v>
      </c>
      <c r="N107" s="30">
        <f t="shared" si="64"/>
        <v>0</v>
      </c>
      <c r="O107" s="30">
        <f t="shared" si="65"/>
        <v>0</v>
      </c>
      <c r="P107" s="30">
        <f t="shared" si="67"/>
        <v>0</v>
      </c>
      <c r="Q107" s="394"/>
      <c r="R107" s="394"/>
    </row>
    <row r="108" spans="1:18">
      <c r="A108" s="90" t="s">
        <v>394</v>
      </c>
      <c r="B108" s="29">
        <v>287056</v>
      </c>
      <c r="C108" s="273">
        <v>705.34500000000003</v>
      </c>
      <c r="D108" s="29" t="s">
        <v>8</v>
      </c>
      <c r="E108" s="29" t="s">
        <v>9</v>
      </c>
      <c r="F108" s="30">
        <v>-9660634</v>
      </c>
      <c r="G108" s="30">
        <f t="shared" si="60"/>
        <v>-9660634</v>
      </c>
      <c r="H108" s="30">
        <f t="shared" si="61"/>
        <v>-9660634</v>
      </c>
      <c r="I108" s="30">
        <v>0</v>
      </c>
      <c r="J108" s="30">
        <f t="shared" si="62"/>
        <v>-9660634</v>
      </c>
      <c r="K108" s="276" t="s">
        <v>15</v>
      </c>
      <c r="L108" s="270">
        <f>SUMIF('Allocation Factors'!$B$3:$B$89,'Current Income Tax Expense'!K108,'Allocation Factors'!$P$3:$P$89)</f>
        <v>0</v>
      </c>
      <c r="M108" s="30">
        <f t="shared" si="63"/>
        <v>0</v>
      </c>
      <c r="N108" s="30">
        <f t="shared" si="64"/>
        <v>0</v>
      </c>
      <c r="O108" s="30">
        <f t="shared" si="65"/>
        <v>0</v>
      </c>
      <c r="P108" s="30">
        <f t="shared" si="67"/>
        <v>0</v>
      </c>
      <c r="Q108" s="394"/>
      <c r="R108" s="394"/>
    </row>
    <row r="109" spans="1:18">
      <c r="A109" s="28" t="s">
        <v>490</v>
      </c>
      <c r="B109" s="29">
        <v>287253</v>
      </c>
      <c r="C109" s="273">
        <v>705.4</v>
      </c>
      <c r="D109" s="29" t="s">
        <v>8</v>
      </c>
      <c r="E109" s="29" t="s">
        <v>9</v>
      </c>
      <c r="F109" s="30">
        <v>-21503</v>
      </c>
      <c r="G109" s="30">
        <f t="shared" si="60"/>
        <v>-21503</v>
      </c>
      <c r="H109" s="30">
        <f t="shared" si="61"/>
        <v>-21503</v>
      </c>
      <c r="I109" s="30">
        <v>0</v>
      </c>
      <c r="J109" s="30">
        <f t="shared" si="62"/>
        <v>-21503</v>
      </c>
      <c r="K109" s="276" t="s">
        <v>30</v>
      </c>
      <c r="L109" s="270">
        <f>SUMIF('Allocation Factors'!$B$3:$B$89,'Current Income Tax Expense'!K109,'Allocation Factors'!$P$3:$P$89)</f>
        <v>0</v>
      </c>
      <c r="M109" s="30">
        <f t="shared" si="63"/>
        <v>0</v>
      </c>
      <c r="N109" s="30">
        <f t="shared" si="64"/>
        <v>0</v>
      </c>
      <c r="O109" s="30">
        <f t="shared" si="65"/>
        <v>0</v>
      </c>
      <c r="P109" s="30">
        <f t="shared" si="66"/>
        <v>0</v>
      </c>
      <c r="Q109" s="394"/>
      <c r="R109" s="394"/>
    </row>
    <row r="110" spans="1:18">
      <c r="A110" s="28" t="s">
        <v>491</v>
      </c>
      <c r="B110" s="29">
        <v>287238</v>
      </c>
      <c r="C110" s="273">
        <v>705.42</v>
      </c>
      <c r="D110" s="29" t="s">
        <v>8</v>
      </c>
      <c r="E110" s="29" t="s">
        <v>9</v>
      </c>
      <c r="F110" s="30">
        <v>1147138</v>
      </c>
      <c r="G110" s="30">
        <f t="shared" si="60"/>
        <v>1147138</v>
      </c>
      <c r="H110" s="30">
        <f t="shared" si="61"/>
        <v>1147138</v>
      </c>
      <c r="I110" s="30">
        <v>0</v>
      </c>
      <c r="J110" s="30">
        <f t="shared" si="62"/>
        <v>1147138</v>
      </c>
      <c r="K110" s="276" t="s">
        <v>15</v>
      </c>
      <c r="L110" s="270">
        <f>SUMIF('Allocation Factors'!$B$3:$B$89,'Current Income Tax Expense'!K110,'Allocation Factors'!$P$3:$P$89)</f>
        <v>0</v>
      </c>
      <c r="M110" s="30">
        <f t="shared" si="63"/>
        <v>0</v>
      </c>
      <c r="N110" s="30">
        <f t="shared" si="64"/>
        <v>0</v>
      </c>
      <c r="O110" s="30">
        <f t="shared" si="65"/>
        <v>0</v>
      </c>
      <c r="P110" s="30">
        <f t="shared" si="66"/>
        <v>0</v>
      </c>
      <c r="Q110" s="394"/>
      <c r="R110" s="394"/>
    </row>
    <row r="111" spans="1:18">
      <c r="A111" s="28" t="s">
        <v>492</v>
      </c>
      <c r="B111" s="29">
        <v>287917</v>
      </c>
      <c r="C111" s="273">
        <v>705.45100000000002</v>
      </c>
      <c r="D111" s="29" t="s">
        <v>8</v>
      </c>
      <c r="E111" s="29" t="s">
        <v>9</v>
      </c>
      <c r="F111" s="30">
        <v>-6973705</v>
      </c>
      <c r="G111" s="30">
        <f t="shared" si="60"/>
        <v>-6973705</v>
      </c>
      <c r="H111" s="30">
        <f t="shared" si="61"/>
        <v>-6973705</v>
      </c>
      <c r="I111" s="30">
        <v>0</v>
      </c>
      <c r="J111" s="30">
        <f t="shared" si="62"/>
        <v>-6973705</v>
      </c>
      <c r="K111" s="276" t="s">
        <v>30</v>
      </c>
      <c r="L111" s="270">
        <f>SUMIF('Allocation Factors'!$B$3:$B$89,'Current Income Tax Expense'!K111,'Allocation Factors'!$P$3:$P$89)</f>
        <v>0</v>
      </c>
      <c r="M111" s="30">
        <f t="shared" si="63"/>
        <v>0</v>
      </c>
      <c r="N111" s="30">
        <f t="shared" si="64"/>
        <v>0</v>
      </c>
      <c r="O111" s="30">
        <f t="shared" si="65"/>
        <v>0</v>
      </c>
      <c r="P111" s="30">
        <f t="shared" si="66"/>
        <v>0</v>
      </c>
      <c r="Q111" s="394"/>
      <c r="R111" s="394"/>
    </row>
    <row r="112" spans="1:18">
      <c r="A112" s="28" t="s">
        <v>493</v>
      </c>
      <c r="B112" s="29">
        <v>287257</v>
      </c>
      <c r="C112" s="273">
        <v>705.45299999999997</v>
      </c>
      <c r="D112" s="29" t="s">
        <v>8</v>
      </c>
      <c r="E112" s="29" t="s">
        <v>9</v>
      </c>
      <c r="F112" s="30">
        <v>113544</v>
      </c>
      <c r="G112" s="30">
        <f t="shared" si="60"/>
        <v>113544</v>
      </c>
      <c r="H112" s="30">
        <f t="shared" si="61"/>
        <v>113544</v>
      </c>
      <c r="I112" s="30">
        <v>0</v>
      </c>
      <c r="J112" s="30">
        <f t="shared" si="62"/>
        <v>113544</v>
      </c>
      <c r="K112" s="276" t="s">
        <v>29</v>
      </c>
      <c r="L112" s="270">
        <f>SUMIF('Allocation Factors'!$B$3:$B$89,'Current Income Tax Expense'!K112,'Allocation Factors'!$P$3:$P$89)</f>
        <v>0</v>
      </c>
      <c r="M112" s="30">
        <f t="shared" si="63"/>
        <v>0</v>
      </c>
      <c r="N112" s="30">
        <f t="shared" si="64"/>
        <v>0</v>
      </c>
      <c r="O112" s="30">
        <f t="shared" si="65"/>
        <v>0</v>
      </c>
      <c r="P112" s="30">
        <f t="shared" si="66"/>
        <v>0</v>
      </c>
      <c r="Q112" s="394"/>
      <c r="R112" s="394"/>
    </row>
    <row r="113" spans="1:18">
      <c r="A113" s="28" t="s">
        <v>494</v>
      </c>
      <c r="B113" s="29">
        <v>287259</v>
      </c>
      <c r="C113" s="273">
        <v>705.45500000000004</v>
      </c>
      <c r="D113" s="29" t="s">
        <v>8</v>
      </c>
      <c r="E113" s="29" t="s">
        <v>9</v>
      </c>
      <c r="F113" s="30">
        <v>349810</v>
      </c>
      <c r="G113" s="30">
        <f t="shared" si="60"/>
        <v>349810</v>
      </c>
      <c r="H113" s="30">
        <f t="shared" si="61"/>
        <v>349810</v>
      </c>
      <c r="I113" s="30">
        <v>0</v>
      </c>
      <c r="J113" s="30">
        <f t="shared" si="62"/>
        <v>349810</v>
      </c>
      <c r="K113" s="276" t="s">
        <v>32</v>
      </c>
      <c r="L113" s="270">
        <f>SUMIF('Allocation Factors'!$B$3:$B$89,'Current Income Tax Expense'!K113,'Allocation Factors'!$P$3:$P$89)</f>
        <v>0</v>
      </c>
      <c r="M113" s="30">
        <f t="shared" si="63"/>
        <v>0</v>
      </c>
      <c r="N113" s="30">
        <f t="shared" si="64"/>
        <v>0</v>
      </c>
      <c r="O113" s="30">
        <f t="shared" si="65"/>
        <v>0</v>
      </c>
      <c r="P113" s="30">
        <f t="shared" si="66"/>
        <v>0</v>
      </c>
      <c r="Q113" s="394"/>
      <c r="R113" s="394"/>
    </row>
    <row r="114" spans="1:18">
      <c r="A114" s="90" t="s">
        <v>495</v>
      </c>
      <c r="B114" s="29">
        <v>287233</v>
      </c>
      <c r="C114" s="273">
        <v>705.51499999999999</v>
      </c>
      <c r="D114" s="29" t="s">
        <v>8</v>
      </c>
      <c r="E114" s="29" t="s">
        <v>9</v>
      </c>
      <c r="F114" s="30">
        <v>5968526</v>
      </c>
      <c r="G114" s="30">
        <f t="shared" si="60"/>
        <v>5968526</v>
      </c>
      <c r="H114" s="30">
        <f t="shared" si="61"/>
        <v>5968526</v>
      </c>
      <c r="I114" s="30">
        <v>0</v>
      </c>
      <c r="J114" s="30">
        <f t="shared" si="62"/>
        <v>5968526</v>
      </c>
      <c r="K114" s="276" t="s">
        <v>15</v>
      </c>
      <c r="L114" s="270">
        <f>SUMIF('Allocation Factors'!$B$3:$B$89,'Current Income Tax Expense'!K114,'Allocation Factors'!$P$3:$P$89)</f>
        <v>0</v>
      </c>
      <c r="M114" s="30">
        <f t="shared" si="63"/>
        <v>0</v>
      </c>
      <c r="N114" s="30">
        <f t="shared" si="64"/>
        <v>0</v>
      </c>
      <c r="O114" s="30">
        <f t="shared" si="65"/>
        <v>0</v>
      </c>
      <c r="P114" s="30">
        <f t="shared" si="66"/>
        <v>0</v>
      </c>
      <c r="Q114" s="394"/>
      <c r="R114" s="394"/>
    </row>
    <row r="115" spans="1:18">
      <c r="A115" s="90" t="s">
        <v>496</v>
      </c>
      <c r="B115" s="29">
        <v>287231</v>
      </c>
      <c r="C115" s="273">
        <v>705.51900000000001</v>
      </c>
      <c r="D115" s="29" t="s">
        <v>8</v>
      </c>
      <c r="E115" s="276" t="s">
        <v>9</v>
      </c>
      <c r="F115" s="30">
        <v>-9201662</v>
      </c>
      <c r="G115" s="30">
        <f t="shared" si="60"/>
        <v>-9201662</v>
      </c>
      <c r="H115" s="30">
        <f t="shared" si="61"/>
        <v>-9201662</v>
      </c>
      <c r="I115" s="30">
        <v>0</v>
      </c>
      <c r="J115" s="30">
        <f t="shared" si="62"/>
        <v>-9201662</v>
      </c>
      <c r="K115" s="276" t="s">
        <v>15</v>
      </c>
      <c r="L115" s="270">
        <f>SUMIF('Allocation Factors'!$B$3:$B$89,'Current Income Tax Expense'!K115,'Allocation Factors'!$P$3:$P$89)</f>
        <v>0</v>
      </c>
      <c r="M115" s="30">
        <f t="shared" si="63"/>
        <v>0</v>
      </c>
      <c r="N115" s="30">
        <f t="shared" si="64"/>
        <v>0</v>
      </c>
      <c r="O115" s="30">
        <f t="shared" si="65"/>
        <v>0</v>
      </c>
      <c r="P115" s="30">
        <f t="shared" si="66"/>
        <v>0</v>
      </c>
      <c r="Q115" s="394"/>
      <c r="R115" s="394"/>
    </row>
    <row r="116" spans="1:18">
      <c r="A116" s="90" t="s">
        <v>497</v>
      </c>
      <c r="B116" s="29">
        <v>287230</v>
      </c>
      <c r="C116" s="273">
        <v>705.52099999999996</v>
      </c>
      <c r="D116" s="29" t="s">
        <v>8</v>
      </c>
      <c r="E116" s="276" t="s">
        <v>9</v>
      </c>
      <c r="F116" s="30">
        <v>-8879362</v>
      </c>
      <c r="G116" s="30">
        <f t="shared" si="60"/>
        <v>-8879362</v>
      </c>
      <c r="H116" s="30">
        <f t="shared" si="61"/>
        <v>-8879362</v>
      </c>
      <c r="I116" s="30">
        <v>0</v>
      </c>
      <c r="J116" s="30">
        <f t="shared" si="62"/>
        <v>-8879362</v>
      </c>
      <c r="K116" s="276" t="s">
        <v>15</v>
      </c>
      <c r="L116" s="270">
        <f>SUMIF('Allocation Factors'!$B$3:$B$89,'Current Income Tax Expense'!K116,'Allocation Factors'!$P$3:$P$89)</f>
        <v>0</v>
      </c>
      <c r="M116" s="30">
        <f t="shared" si="63"/>
        <v>0</v>
      </c>
      <c r="N116" s="30">
        <f t="shared" si="64"/>
        <v>0</v>
      </c>
      <c r="O116" s="30">
        <f t="shared" si="65"/>
        <v>0</v>
      </c>
      <c r="P116" s="30">
        <f t="shared" si="66"/>
        <v>0</v>
      </c>
      <c r="Q116" s="394"/>
      <c r="R116" s="394"/>
    </row>
    <row r="117" spans="1:18">
      <c r="A117" s="90" t="s">
        <v>498</v>
      </c>
      <c r="B117" s="29">
        <v>287229</v>
      </c>
      <c r="C117" s="273">
        <v>705.52700000000004</v>
      </c>
      <c r="D117" s="29" t="s">
        <v>8</v>
      </c>
      <c r="E117" s="276" t="s">
        <v>9</v>
      </c>
      <c r="F117" s="30">
        <v>-446501</v>
      </c>
      <c r="G117" s="30">
        <f t="shared" si="60"/>
        <v>-446501</v>
      </c>
      <c r="H117" s="30">
        <f t="shared" si="61"/>
        <v>-446501</v>
      </c>
      <c r="I117" s="30">
        <v>0</v>
      </c>
      <c r="J117" s="30">
        <f t="shared" si="62"/>
        <v>-446501</v>
      </c>
      <c r="K117" s="276" t="s">
        <v>15</v>
      </c>
      <c r="L117" s="270">
        <f>SUMIF('Allocation Factors'!$B$3:$B$89,'Current Income Tax Expense'!K117,'Allocation Factors'!$P$3:$P$89)</f>
        <v>0</v>
      </c>
      <c r="M117" s="30">
        <f t="shared" si="63"/>
        <v>0</v>
      </c>
      <c r="N117" s="30">
        <f t="shared" si="64"/>
        <v>0</v>
      </c>
      <c r="O117" s="30">
        <f t="shared" si="65"/>
        <v>0</v>
      </c>
      <c r="P117" s="30">
        <f t="shared" si="66"/>
        <v>0</v>
      </c>
      <c r="Q117" s="394"/>
      <c r="R117" s="394"/>
    </row>
    <row r="118" spans="1:18">
      <c r="A118" s="90" t="s">
        <v>499</v>
      </c>
      <c r="B118" s="29">
        <v>287227</v>
      </c>
      <c r="C118" s="273">
        <v>705.53099999999995</v>
      </c>
      <c r="D118" s="29" t="s">
        <v>8</v>
      </c>
      <c r="E118" s="29" t="s">
        <v>9</v>
      </c>
      <c r="F118" s="30">
        <v>3227313</v>
      </c>
      <c r="G118" s="30">
        <f t="shared" si="60"/>
        <v>3227313</v>
      </c>
      <c r="H118" s="30">
        <f t="shared" si="61"/>
        <v>3227313</v>
      </c>
      <c r="I118" s="30">
        <v>0</v>
      </c>
      <c r="J118" s="30">
        <f t="shared" si="62"/>
        <v>3227313</v>
      </c>
      <c r="K118" s="276" t="s">
        <v>15</v>
      </c>
      <c r="L118" s="270">
        <f>SUMIF('Allocation Factors'!$B$3:$B$89,'Current Income Tax Expense'!K118,'Allocation Factors'!$P$3:$P$89)</f>
        <v>0</v>
      </c>
      <c r="M118" s="30">
        <f t="shared" si="63"/>
        <v>0</v>
      </c>
      <c r="N118" s="30">
        <f t="shared" si="64"/>
        <v>0</v>
      </c>
      <c r="O118" s="30">
        <f t="shared" si="65"/>
        <v>0</v>
      </c>
      <c r="P118" s="30">
        <f t="shared" si="66"/>
        <v>0</v>
      </c>
      <c r="Q118" s="394"/>
      <c r="R118" s="394"/>
    </row>
    <row r="119" spans="1:18">
      <c r="A119" s="90" t="s">
        <v>407</v>
      </c>
      <c r="B119" s="29">
        <v>287184</v>
      </c>
      <c r="C119" s="273">
        <v>705.60500000000002</v>
      </c>
      <c r="D119" s="29" t="s">
        <v>8</v>
      </c>
      <c r="E119" s="29" t="s">
        <v>9</v>
      </c>
      <c r="F119" s="30">
        <v>2096875</v>
      </c>
      <c r="G119" s="30">
        <f t="shared" si="60"/>
        <v>2096875</v>
      </c>
      <c r="H119" s="30">
        <f t="shared" si="61"/>
        <v>2096875</v>
      </c>
      <c r="I119" s="30">
        <v>0</v>
      </c>
      <c r="J119" s="30">
        <f t="shared" si="62"/>
        <v>2096875</v>
      </c>
      <c r="K119" s="276" t="s">
        <v>15</v>
      </c>
      <c r="L119" s="270">
        <f>SUMIF('Allocation Factors'!$B$3:$B$89,'Current Income Tax Expense'!K119,'Allocation Factors'!$P$3:$P$89)</f>
        <v>0</v>
      </c>
      <c r="M119" s="30">
        <f t="shared" ref="M119" si="68">ROUND(H119*L119,0)</f>
        <v>0</v>
      </c>
      <c r="N119" s="30">
        <f t="shared" ref="N119" si="69">ROUND(I119*L119,0)</f>
        <v>0</v>
      </c>
      <c r="O119" s="30">
        <f t="shared" ref="O119" si="70">SUM(M119:N119)</f>
        <v>0</v>
      </c>
      <c r="P119" s="30">
        <f t="shared" ref="P119" si="71">O119</f>
        <v>0</v>
      </c>
      <c r="Q119" s="394"/>
      <c r="R119" s="394"/>
    </row>
    <row r="120" spans="1:18">
      <c r="A120" s="90" t="s">
        <v>255</v>
      </c>
      <c r="B120" s="29">
        <v>287337</v>
      </c>
      <c r="C120" s="273">
        <v>715.10500000000002</v>
      </c>
      <c r="D120" s="29" t="s">
        <v>8</v>
      </c>
      <c r="E120" s="29" t="s">
        <v>9</v>
      </c>
      <c r="F120" s="30">
        <v>-466012</v>
      </c>
      <c r="G120" s="30">
        <f t="shared" si="60"/>
        <v>-466012</v>
      </c>
      <c r="H120" s="30">
        <f t="shared" si="61"/>
        <v>-466012</v>
      </c>
      <c r="I120" s="30">
        <v>0</v>
      </c>
      <c r="J120" s="30">
        <f t="shared" si="62"/>
        <v>-466012</v>
      </c>
      <c r="K120" s="29" t="s">
        <v>19</v>
      </c>
      <c r="L120" s="270">
        <f>SUMIF('Allocation Factors'!$B$3:$B$89,'Current Income Tax Expense'!K120,'Allocation Factors'!$P$3:$P$89)</f>
        <v>7.8111041399714837E-2</v>
      </c>
      <c r="M120" s="30">
        <f t="shared" si="63"/>
        <v>-36401</v>
      </c>
      <c r="N120" s="30">
        <f t="shared" si="64"/>
        <v>0</v>
      </c>
      <c r="O120" s="30">
        <f t="shared" si="65"/>
        <v>-36401</v>
      </c>
      <c r="P120" s="30">
        <f t="shared" si="66"/>
        <v>-36401</v>
      </c>
      <c r="Q120" s="394"/>
      <c r="R120" s="394"/>
    </row>
    <row r="121" spans="1:18">
      <c r="A121" s="28" t="s">
        <v>500</v>
      </c>
      <c r="B121" s="29">
        <v>287316</v>
      </c>
      <c r="C121" s="273">
        <v>715.72</v>
      </c>
      <c r="D121" s="29" t="s">
        <v>8</v>
      </c>
      <c r="E121" s="29" t="s">
        <v>9</v>
      </c>
      <c r="F121" s="30">
        <v>-450720</v>
      </c>
      <c r="G121" s="30">
        <f t="shared" si="60"/>
        <v>-450720</v>
      </c>
      <c r="H121" s="30">
        <f t="shared" si="61"/>
        <v>-450720</v>
      </c>
      <c r="I121" s="30">
        <v>0</v>
      </c>
      <c r="J121" s="30">
        <f t="shared" si="62"/>
        <v>-450720</v>
      </c>
      <c r="K121" s="29" t="s">
        <v>15</v>
      </c>
      <c r="L121" s="270">
        <f>SUMIF('Allocation Factors'!$B$3:$B$89,'Current Income Tax Expense'!K121,'Allocation Factors'!$P$3:$P$89)</f>
        <v>0</v>
      </c>
      <c r="M121" s="30">
        <f t="shared" si="63"/>
        <v>0</v>
      </c>
      <c r="N121" s="30">
        <f t="shared" si="64"/>
        <v>0</v>
      </c>
      <c r="O121" s="30">
        <f t="shared" si="65"/>
        <v>0</v>
      </c>
      <c r="P121" s="30">
        <f t="shared" si="66"/>
        <v>0</v>
      </c>
      <c r="Q121" s="394"/>
      <c r="R121" s="394"/>
    </row>
    <row r="122" spans="1:18">
      <c r="A122" s="90" t="s">
        <v>368</v>
      </c>
      <c r="B122" s="29">
        <v>287219</v>
      </c>
      <c r="C122" s="273">
        <v>715.81</v>
      </c>
      <c r="D122" s="29" t="s">
        <v>8</v>
      </c>
      <c r="E122" s="276" t="s">
        <v>9</v>
      </c>
      <c r="F122" s="30">
        <v>-124821</v>
      </c>
      <c r="G122" s="30">
        <f t="shared" si="60"/>
        <v>-124821</v>
      </c>
      <c r="H122" s="30">
        <f t="shared" si="61"/>
        <v>-124821</v>
      </c>
      <c r="I122" s="30">
        <v>0</v>
      </c>
      <c r="J122" s="30">
        <f t="shared" ref="J122:J135" si="72">SUM(H122:I122)</f>
        <v>-124821</v>
      </c>
      <c r="K122" s="276" t="s">
        <v>160</v>
      </c>
      <c r="L122" s="270">
        <f>SUMIF('Allocation Factors'!$B$3:$B$89,'Current Income Tax Expense'!K122,'Allocation Factors'!$P$3:$P$89)</f>
        <v>0.21577192756641544</v>
      </c>
      <c r="M122" s="30">
        <f t="shared" si="63"/>
        <v>-26933</v>
      </c>
      <c r="N122" s="30">
        <f t="shared" ref="N122:N135" si="73">ROUND(I122*L122,0)</f>
        <v>0</v>
      </c>
      <c r="O122" s="30">
        <f t="shared" ref="O122:O135" si="74">SUM(M122:N122)</f>
        <v>-26933</v>
      </c>
      <c r="P122" s="30">
        <f t="shared" si="66"/>
        <v>-26933</v>
      </c>
      <c r="Q122" s="394"/>
      <c r="R122" s="394"/>
    </row>
    <row r="123" spans="1:18">
      <c r="A123" s="28" t="s">
        <v>501</v>
      </c>
      <c r="B123" s="29">
        <v>287327</v>
      </c>
      <c r="C123" s="273">
        <v>720.3</v>
      </c>
      <c r="D123" s="29" t="s">
        <v>8</v>
      </c>
      <c r="E123" s="276" t="s">
        <v>9</v>
      </c>
      <c r="F123" s="30">
        <v>-143544</v>
      </c>
      <c r="G123" s="30">
        <f t="shared" si="60"/>
        <v>-143544</v>
      </c>
      <c r="H123" s="30">
        <f t="shared" si="61"/>
        <v>-143544</v>
      </c>
      <c r="I123" s="30">
        <v>0</v>
      </c>
      <c r="J123" s="30">
        <f t="shared" si="72"/>
        <v>-143544</v>
      </c>
      <c r="K123" s="276" t="s">
        <v>10</v>
      </c>
      <c r="L123" s="270">
        <f>SUMIF('Allocation Factors'!$B$3:$B$89,'Current Income Tax Expense'!K123,'Allocation Factors'!$P$3:$P$89)</f>
        <v>6.7017620954721469E-2</v>
      </c>
      <c r="M123" s="30">
        <f t="shared" si="63"/>
        <v>-9620</v>
      </c>
      <c r="N123" s="30">
        <f t="shared" si="73"/>
        <v>0</v>
      </c>
      <c r="O123" s="30">
        <f t="shared" si="74"/>
        <v>-9620</v>
      </c>
      <c r="P123" s="30">
        <f t="shared" si="66"/>
        <v>-9620</v>
      </c>
      <c r="Q123" s="394"/>
      <c r="R123" s="394"/>
    </row>
    <row r="124" spans="1:18">
      <c r="A124" s="28" t="s">
        <v>502</v>
      </c>
      <c r="B124" s="29">
        <v>287447</v>
      </c>
      <c r="C124" s="273">
        <v>720.83</v>
      </c>
      <c r="D124" s="29" t="s">
        <v>8</v>
      </c>
      <c r="E124" s="29" t="s">
        <v>333</v>
      </c>
      <c r="F124" s="30">
        <v>-151969</v>
      </c>
      <c r="G124" s="30">
        <f t="shared" ref="G124:G150" si="75">+F124</f>
        <v>-151969</v>
      </c>
      <c r="H124" s="30">
        <f t="shared" ref="H124:H150" si="76">IF(E124="U",G124,0)</f>
        <v>0</v>
      </c>
      <c r="I124" s="30">
        <v>0</v>
      </c>
      <c r="J124" s="30">
        <f t="shared" si="72"/>
        <v>0</v>
      </c>
      <c r="K124" s="29" t="s">
        <v>331</v>
      </c>
      <c r="L124" s="270">
        <f>SUMIF('Allocation Factors'!$B$3:$B$89,'Current Income Tax Expense'!K124,'Allocation Factors'!$P$3:$P$89)</f>
        <v>0</v>
      </c>
      <c r="M124" s="30">
        <f t="shared" si="63"/>
        <v>0</v>
      </c>
      <c r="N124" s="30">
        <f t="shared" si="73"/>
        <v>0</v>
      </c>
      <c r="O124" s="30">
        <f t="shared" si="74"/>
        <v>0</v>
      </c>
      <c r="P124" s="30">
        <f t="shared" si="66"/>
        <v>0</v>
      </c>
      <c r="Q124" s="394"/>
      <c r="R124" s="394"/>
    </row>
    <row r="125" spans="1:18">
      <c r="A125" s="28" t="s">
        <v>503</v>
      </c>
      <c r="B125" s="29">
        <v>287336</v>
      </c>
      <c r="C125" s="273">
        <v>730.12</v>
      </c>
      <c r="D125" s="29" t="s">
        <v>8</v>
      </c>
      <c r="E125" s="29" t="s">
        <v>333</v>
      </c>
      <c r="F125" s="30">
        <v>-16117240</v>
      </c>
      <c r="G125" s="30">
        <f t="shared" si="75"/>
        <v>-16117240</v>
      </c>
      <c r="H125" s="30">
        <f t="shared" si="76"/>
        <v>0</v>
      </c>
      <c r="I125" s="30">
        <v>0</v>
      </c>
      <c r="J125" s="30">
        <f t="shared" si="72"/>
        <v>0</v>
      </c>
      <c r="K125" s="29" t="s">
        <v>331</v>
      </c>
      <c r="L125" s="270">
        <f>SUMIF('Allocation Factors'!$B$3:$B$89,'Current Income Tax Expense'!K125,'Allocation Factors'!$P$3:$P$89)</f>
        <v>0</v>
      </c>
      <c r="M125" s="30">
        <f t="shared" si="63"/>
        <v>0</v>
      </c>
      <c r="N125" s="30">
        <f t="shared" si="73"/>
        <v>0</v>
      </c>
      <c r="O125" s="30">
        <f t="shared" si="74"/>
        <v>0</v>
      </c>
      <c r="P125" s="30">
        <f t="shared" si="66"/>
        <v>0</v>
      </c>
      <c r="Q125" s="394"/>
      <c r="R125" s="394"/>
    </row>
    <row r="126" spans="1:18">
      <c r="A126" s="28" t="s">
        <v>504</v>
      </c>
      <c r="B126" s="29">
        <v>287675</v>
      </c>
      <c r="C126" s="273">
        <v>740.1</v>
      </c>
      <c r="D126" s="29" t="s">
        <v>8</v>
      </c>
      <c r="E126" s="29" t="s">
        <v>9</v>
      </c>
      <c r="F126" s="30">
        <v>584922</v>
      </c>
      <c r="G126" s="30">
        <f t="shared" si="75"/>
        <v>584922</v>
      </c>
      <c r="H126" s="30">
        <f t="shared" si="76"/>
        <v>584922</v>
      </c>
      <c r="I126" s="30">
        <v>0</v>
      </c>
      <c r="J126" s="30">
        <f t="shared" si="72"/>
        <v>584922</v>
      </c>
      <c r="K126" s="29" t="s">
        <v>16</v>
      </c>
      <c r="L126" s="270">
        <f>SUMIF('Allocation Factors'!$B$3:$B$89,'Current Income Tax Expense'!K126,'Allocation Factors'!$P$3:$P$89)</f>
        <v>6.0894111271351227E-2</v>
      </c>
      <c r="M126" s="30">
        <f t="shared" si="63"/>
        <v>35618</v>
      </c>
      <c r="N126" s="30">
        <f t="shared" si="73"/>
        <v>0</v>
      </c>
      <c r="O126" s="30">
        <f t="shared" si="74"/>
        <v>35618</v>
      </c>
      <c r="P126" s="30">
        <f t="shared" si="66"/>
        <v>35618</v>
      </c>
      <c r="Q126" s="394"/>
      <c r="R126" s="394"/>
    </row>
    <row r="127" spans="1:18">
      <c r="A127" s="90" t="s">
        <v>369</v>
      </c>
      <c r="B127" s="29">
        <v>287214</v>
      </c>
      <c r="C127" s="273">
        <v>910.245</v>
      </c>
      <c r="D127" s="29" t="s">
        <v>8</v>
      </c>
      <c r="E127" s="276" t="s">
        <v>9</v>
      </c>
      <c r="F127" s="30">
        <v>-257215</v>
      </c>
      <c r="G127" s="30">
        <f t="shared" si="75"/>
        <v>-257215</v>
      </c>
      <c r="H127" s="30">
        <f t="shared" si="76"/>
        <v>-257215</v>
      </c>
      <c r="I127" s="30">
        <v>0</v>
      </c>
      <c r="J127" s="30">
        <f t="shared" si="72"/>
        <v>-257215</v>
      </c>
      <c r="K127" s="276" t="s">
        <v>10</v>
      </c>
      <c r="L127" s="270">
        <f>SUMIF('Allocation Factors'!$B$3:$B$89,'Current Income Tax Expense'!K127,'Allocation Factors'!$P$3:$P$89)</f>
        <v>6.7017620954721469E-2</v>
      </c>
      <c r="M127" s="30">
        <f t="shared" si="63"/>
        <v>-17238</v>
      </c>
      <c r="N127" s="30">
        <f t="shared" si="73"/>
        <v>0</v>
      </c>
      <c r="O127" s="30">
        <f t="shared" si="74"/>
        <v>-17238</v>
      </c>
      <c r="P127" s="30">
        <f t="shared" si="66"/>
        <v>-17238</v>
      </c>
      <c r="Q127" s="394"/>
      <c r="R127" s="394"/>
    </row>
    <row r="128" spans="1:18">
      <c r="A128" s="90" t="s">
        <v>344</v>
      </c>
      <c r="B128" s="29">
        <v>287489</v>
      </c>
      <c r="C128" s="273">
        <v>910.51499999999999</v>
      </c>
      <c r="D128" s="29" t="s">
        <v>8</v>
      </c>
      <c r="E128" s="276" t="s">
        <v>333</v>
      </c>
      <c r="F128" s="30">
        <v>-129234</v>
      </c>
      <c r="G128" s="30">
        <f t="shared" si="75"/>
        <v>-129234</v>
      </c>
      <c r="H128" s="30">
        <f t="shared" si="76"/>
        <v>0</v>
      </c>
      <c r="I128" s="30">
        <v>0</v>
      </c>
      <c r="J128" s="30">
        <f t="shared" si="72"/>
        <v>0</v>
      </c>
      <c r="K128" s="276" t="s">
        <v>331</v>
      </c>
      <c r="L128" s="270">
        <f>SUMIF('Allocation Factors'!$B$3:$B$89,'Current Income Tax Expense'!K128,'Allocation Factors'!$P$3:$P$89)</f>
        <v>0</v>
      </c>
      <c r="M128" s="30">
        <f t="shared" si="63"/>
        <v>0</v>
      </c>
      <c r="N128" s="30">
        <f t="shared" si="73"/>
        <v>0</v>
      </c>
      <c r="O128" s="30">
        <f t="shared" si="74"/>
        <v>0</v>
      </c>
      <c r="P128" s="30">
        <f t="shared" si="66"/>
        <v>0</v>
      </c>
      <c r="Q128" s="394"/>
      <c r="R128" s="394"/>
    </row>
    <row r="129" spans="1:18">
      <c r="A129" s="90" t="s">
        <v>68</v>
      </c>
      <c r="B129" s="29">
        <v>287735</v>
      </c>
      <c r="C129" s="273">
        <v>910.90499999999997</v>
      </c>
      <c r="D129" s="29" t="s">
        <v>8</v>
      </c>
      <c r="E129" s="276" t="s">
        <v>9</v>
      </c>
      <c r="F129" s="30">
        <v>939159</v>
      </c>
      <c r="G129" s="30">
        <f t="shared" si="75"/>
        <v>939159</v>
      </c>
      <c r="H129" s="30">
        <f t="shared" si="76"/>
        <v>939159</v>
      </c>
      <c r="I129" s="30">
        <v>0</v>
      </c>
      <c r="J129" s="30">
        <f t="shared" si="72"/>
        <v>939159</v>
      </c>
      <c r="K129" s="276" t="s">
        <v>170</v>
      </c>
      <c r="L129" s="270">
        <f>SUMIF('Allocation Factors'!$B$3:$B$89,'Current Income Tax Expense'!K129,'Allocation Factors'!$P$3:$P$89)</f>
        <v>0.22591574269314921</v>
      </c>
      <c r="M129" s="30">
        <f t="shared" si="63"/>
        <v>212171</v>
      </c>
      <c r="N129" s="30">
        <f t="shared" si="73"/>
        <v>0</v>
      </c>
      <c r="O129" s="30">
        <f t="shared" si="74"/>
        <v>212171</v>
      </c>
      <c r="P129" s="30">
        <f t="shared" si="66"/>
        <v>212171</v>
      </c>
      <c r="Q129" s="394"/>
      <c r="R129" s="394"/>
    </row>
    <row r="130" spans="1:18">
      <c r="A130" s="90" t="s">
        <v>505</v>
      </c>
      <c r="B130" s="29">
        <v>287859</v>
      </c>
      <c r="C130" s="273">
        <v>910.93499999999995</v>
      </c>
      <c r="D130" s="29" t="s">
        <v>8</v>
      </c>
      <c r="E130" s="276" t="s">
        <v>333</v>
      </c>
      <c r="F130" s="30">
        <v>24320</v>
      </c>
      <c r="G130" s="30">
        <f t="shared" si="75"/>
        <v>24320</v>
      </c>
      <c r="H130" s="30">
        <f t="shared" si="76"/>
        <v>0</v>
      </c>
      <c r="I130" s="30">
        <v>0</v>
      </c>
      <c r="J130" s="30">
        <f t="shared" si="72"/>
        <v>0</v>
      </c>
      <c r="K130" s="276" t="s">
        <v>331</v>
      </c>
      <c r="L130" s="270">
        <f>SUMIF('Allocation Factors'!$B$3:$B$89,'Current Income Tax Expense'!K130,'Allocation Factors'!$P$3:$P$89)</f>
        <v>0</v>
      </c>
      <c r="M130" s="30">
        <f t="shared" si="63"/>
        <v>0</v>
      </c>
      <c r="N130" s="30">
        <f t="shared" si="73"/>
        <v>0</v>
      </c>
      <c r="O130" s="30">
        <f t="shared" si="74"/>
        <v>0</v>
      </c>
      <c r="P130" s="30">
        <f t="shared" si="66"/>
        <v>0</v>
      </c>
      <c r="Q130" s="394"/>
      <c r="R130" s="394"/>
    </row>
    <row r="131" spans="1:18">
      <c r="A131" s="90" t="s">
        <v>506</v>
      </c>
      <c r="B131" s="29">
        <v>287915</v>
      </c>
      <c r="C131" s="273">
        <v>910.93700000000001</v>
      </c>
      <c r="D131" s="29" t="s">
        <v>8</v>
      </c>
      <c r="E131" s="276" t="s">
        <v>333</v>
      </c>
      <c r="F131" s="30">
        <v>-159826</v>
      </c>
      <c r="G131" s="30">
        <f t="shared" si="75"/>
        <v>-159826</v>
      </c>
      <c r="H131" s="30">
        <f t="shared" si="76"/>
        <v>0</v>
      </c>
      <c r="I131" s="30">
        <v>0</v>
      </c>
      <c r="J131" s="30">
        <f t="shared" si="72"/>
        <v>0</v>
      </c>
      <c r="K131" s="276" t="s">
        <v>331</v>
      </c>
      <c r="L131" s="270">
        <f>SUMIF('Allocation Factors'!$B$3:$B$89,'Current Income Tax Expense'!K131,'Allocation Factors'!$P$3:$P$89)</f>
        <v>0</v>
      </c>
      <c r="M131" s="30">
        <f t="shared" si="63"/>
        <v>0</v>
      </c>
      <c r="N131" s="30">
        <f t="shared" si="73"/>
        <v>0</v>
      </c>
      <c r="O131" s="30">
        <f t="shared" si="74"/>
        <v>0</v>
      </c>
      <c r="P131" s="30">
        <f t="shared" si="66"/>
        <v>0</v>
      </c>
      <c r="Q131" s="394"/>
      <c r="R131" s="394"/>
    </row>
    <row r="132" spans="1:18">
      <c r="A132" s="90" t="s">
        <v>69</v>
      </c>
      <c r="B132" s="29">
        <v>287725</v>
      </c>
      <c r="C132" s="273">
        <v>920.1</v>
      </c>
      <c r="D132" s="29" t="s">
        <v>8</v>
      </c>
      <c r="E132" s="276" t="s">
        <v>333</v>
      </c>
      <c r="F132" s="30">
        <v>4049068</v>
      </c>
      <c r="G132" s="30">
        <f t="shared" si="75"/>
        <v>4049068</v>
      </c>
      <c r="H132" s="30">
        <f t="shared" si="76"/>
        <v>0</v>
      </c>
      <c r="I132" s="30">
        <v>0</v>
      </c>
      <c r="J132" s="30">
        <f t="shared" si="72"/>
        <v>0</v>
      </c>
      <c r="K132" s="276" t="s">
        <v>331</v>
      </c>
      <c r="L132" s="270">
        <f>SUMIF('Allocation Factors'!$B$3:$B$89,'Current Income Tax Expense'!K132,'Allocation Factors'!$P$3:$P$89)</f>
        <v>0</v>
      </c>
      <c r="M132" s="30">
        <f t="shared" si="63"/>
        <v>0</v>
      </c>
      <c r="N132" s="30">
        <f t="shared" si="73"/>
        <v>0</v>
      </c>
      <c r="O132" s="30">
        <f t="shared" si="74"/>
        <v>0</v>
      </c>
      <c r="P132" s="30">
        <f t="shared" si="66"/>
        <v>0</v>
      </c>
      <c r="Q132" s="394"/>
      <c r="R132" s="394"/>
    </row>
    <row r="133" spans="1:18">
      <c r="A133" s="90" t="s">
        <v>259</v>
      </c>
      <c r="B133" s="29">
        <v>287681</v>
      </c>
      <c r="C133" s="273">
        <v>920.11</v>
      </c>
      <c r="D133" s="29" t="s">
        <v>8</v>
      </c>
      <c r="E133" s="276" t="s">
        <v>9</v>
      </c>
      <c r="F133" s="30">
        <v>322678</v>
      </c>
      <c r="G133" s="30">
        <f t="shared" si="75"/>
        <v>322678</v>
      </c>
      <c r="H133" s="30">
        <f t="shared" si="76"/>
        <v>322678</v>
      </c>
      <c r="I133" s="30">
        <v>0</v>
      </c>
      <c r="J133" s="30">
        <f t="shared" si="72"/>
        <v>322678</v>
      </c>
      <c r="K133" s="276" t="s">
        <v>170</v>
      </c>
      <c r="L133" s="270">
        <f>SUMIF('Allocation Factors'!$B$3:$B$89,'Current Income Tax Expense'!K133,'Allocation Factors'!$P$3:$P$89)</f>
        <v>0.22591574269314921</v>
      </c>
      <c r="M133" s="30">
        <f t="shared" si="63"/>
        <v>72898</v>
      </c>
      <c r="N133" s="30">
        <f t="shared" si="73"/>
        <v>0</v>
      </c>
      <c r="O133" s="30">
        <f t="shared" si="74"/>
        <v>72898</v>
      </c>
      <c r="P133" s="30">
        <f t="shared" si="66"/>
        <v>72898</v>
      </c>
      <c r="Q133" s="394"/>
      <c r="R133" s="394"/>
    </row>
    <row r="134" spans="1:18">
      <c r="A134" s="90" t="s">
        <v>43</v>
      </c>
      <c r="B134" s="29">
        <v>287399</v>
      </c>
      <c r="C134" s="273">
        <v>920.15</v>
      </c>
      <c r="D134" s="29" t="s">
        <v>8</v>
      </c>
      <c r="E134" s="276" t="s">
        <v>333</v>
      </c>
      <c r="F134" s="30">
        <v>2120573</v>
      </c>
      <c r="G134" s="30">
        <f t="shared" si="75"/>
        <v>2120573</v>
      </c>
      <c r="H134" s="30">
        <f t="shared" si="76"/>
        <v>0</v>
      </c>
      <c r="I134" s="30">
        <v>0</v>
      </c>
      <c r="J134" s="30">
        <f t="shared" si="72"/>
        <v>0</v>
      </c>
      <c r="K134" s="276" t="s">
        <v>331</v>
      </c>
      <c r="L134" s="270">
        <f>SUMIF('Allocation Factors'!$B$3:$B$89,'Current Income Tax Expense'!K134,'Allocation Factors'!$P$3:$P$89)</f>
        <v>0</v>
      </c>
      <c r="M134" s="30">
        <f t="shared" si="63"/>
        <v>0</v>
      </c>
      <c r="N134" s="30">
        <f t="shared" si="73"/>
        <v>0</v>
      </c>
      <c r="O134" s="30">
        <f t="shared" si="74"/>
        <v>0</v>
      </c>
      <c r="P134" s="30">
        <f t="shared" si="66"/>
        <v>0</v>
      </c>
      <c r="Q134" s="394"/>
      <c r="R134" s="394"/>
    </row>
    <row r="135" spans="1:18">
      <c r="A135" s="90" t="s">
        <v>507</v>
      </c>
      <c r="B135" s="29">
        <v>287300</v>
      </c>
      <c r="C135" s="273">
        <v>920.18200000000002</v>
      </c>
      <c r="D135" s="29" t="s">
        <v>8</v>
      </c>
      <c r="E135" s="276" t="s">
        <v>333</v>
      </c>
      <c r="F135" s="30">
        <v>553799</v>
      </c>
      <c r="G135" s="30">
        <f t="shared" si="75"/>
        <v>553799</v>
      </c>
      <c r="H135" s="30">
        <f t="shared" si="76"/>
        <v>0</v>
      </c>
      <c r="I135" s="30">
        <v>0</v>
      </c>
      <c r="J135" s="30">
        <f t="shared" si="72"/>
        <v>0</v>
      </c>
      <c r="K135" s="276" t="s">
        <v>331</v>
      </c>
      <c r="L135" s="270">
        <f>SUMIF('Allocation Factors'!$B$3:$B$89,'Current Income Tax Expense'!K135,'Allocation Factors'!$P$3:$P$89)</f>
        <v>0</v>
      </c>
      <c r="M135" s="30">
        <f t="shared" si="63"/>
        <v>0</v>
      </c>
      <c r="N135" s="30">
        <f t="shared" si="73"/>
        <v>0</v>
      </c>
      <c r="O135" s="30">
        <f t="shared" si="74"/>
        <v>0</v>
      </c>
      <c r="P135" s="30">
        <f t="shared" si="66"/>
        <v>0</v>
      </c>
      <c r="Q135" s="394"/>
      <c r="R135" s="394"/>
    </row>
    <row r="136" spans="1:18">
      <c r="A136" s="90" t="s">
        <v>702</v>
      </c>
      <c r="B136" s="29" t="s">
        <v>8</v>
      </c>
      <c r="C136" s="273" t="s">
        <v>8</v>
      </c>
      <c r="D136" s="29" t="s">
        <v>719</v>
      </c>
      <c r="E136" s="276" t="s">
        <v>9</v>
      </c>
      <c r="F136" s="30">
        <v>0</v>
      </c>
      <c r="G136" s="30">
        <f t="shared" si="75"/>
        <v>0</v>
      </c>
      <c r="H136" s="30">
        <f t="shared" si="76"/>
        <v>0</v>
      </c>
      <c r="I136" s="30">
        <f>+SCHMAT!L5</f>
        <v>695329</v>
      </c>
      <c r="J136" s="30">
        <f t="shared" ref="J136:J147" si="77">SUM(H136:I136)</f>
        <v>695329</v>
      </c>
      <c r="K136" s="276" t="s">
        <v>17</v>
      </c>
      <c r="L136" s="270">
        <f>SUMIF('Allocation Factors'!$B$3:$B$89,'Current Income Tax Expense'!K136,'Allocation Factors'!$P$3:$P$89)</f>
        <v>0</v>
      </c>
      <c r="M136" s="30">
        <f t="shared" ref="M136:M147" si="78">ROUND(H136*L136,0)</f>
        <v>0</v>
      </c>
      <c r="N136" s="30">
        <f t="shared" ref="N136:N147" si="79">ROUND(I136*L136,0)</f>
        <v>0</v>
      </c>
      <c r="O136" s="30">
        <f t="shared" ref="O136:O147" si="80">SUM(M136:N136)</f>
        <v>0</v>
      </c>
      <c r="P136" s="30">
        <f t="shared" ref="P136:P147" si="81">O136</f>
        <v>0</v>
      </c>
      <c r="Q136" s="394"/>
      <c r="R136" s="394"/>
    </row>
    <row r="137" spans="1:18">
      <c r="A137" s="90" t="s">
        <v>703</v>
      </c>
      <c r="B137" s="29" t="s">
        <v>8</v>
      </c>
      <c r="C137" s="273" t="s">
        <v>8</v>
      </c>
      <c r="D137" s="29" t="s">
        <v>719</v>
      </c>
      <c r="E137" s="276" t="s">
        <v>9</v>
      </c>
      <c r="F137" s="30">
        <v>0</v>
      </c>
      <c r="G137" s="30">
        <f t="shared" si="75"/>
        <v>0</v>
      </c>
      <c r="H137" s="30">
        <f t="shared" si="76"/>
        <v>0</v>
      </c>
      <c r="I137" s="30">
        <f>+SCHMAT!L6</f>
        <v>20844</v>
      </c>
      <c r="J137" s="30">
        <f t="shared" si="77"/>
        <v>20844</v>
      </c>
      <c r="K137" s="276" t="s">
        <v>119</v>
      </c>
      <c r="L137" s="270">
        <f>SUMIF('Allocation Factors'!$B$3:$B$89,'Current Income Tax Expense'!K137,'Allocation Factors'!$P$3:$P$89)</f>
        <v>0</v>
      </c>
      <c r="M137" s="30">
        <f t="shared" si="78"/>
        <v>0</v>
      </c>
      <c r="N137" s="30">
        <f t="shared" si="79"/>
        <v>0</v>
      </c>
      <c r="O137" s="30">
        <f t="shared" si="80"/>
        <v>0</v>
      </c>
      <c r="P137" s="30">
        <f t="shared" si="81"/>
        <v>0</v>
      </c>
      <c r="Q137" s="394"/>
      <c r="R137" s="394"/>
    </row>
    <row r="138" spans="1:18">
      <c r="A138" s="90" t="s">
        <v>704</v>
      </c>
      <c r="B138" s="29" t="s">
        <v>8</v>
      </c>
      <c r="C138" s="273" t="s">
        <v>8</v>
      </c>
      <c r="D138" s="29" t="s">
        <v>719</v>
      </c>
      <c r="E138" s="276" t="s">
        <v>9</v>
      </c>
      <c r="F138" s="30">
        <v>0</v>
      </c>
      <c r="G138" s="30">
        <f t="shared" si="75"/>
        <v>0</v>
      </c>
      <c r="H138" s="30">
        <f t="shared" si="76"/>
        <v>0</v>
      </c>
      <c r="I138" s="30">
        <f>+SCHMAT!L7</f>
        <v>141038759</v>
      </c>
      <c r="J138" s="30">
        <f t="shared" ref="J138" si="82">SUM(H138:I138)</f>
        <v>141038759</v>
      </c>
      <c r="K138" s="276" t="s">
        <v>162</v>
      </c>
      <c r="L138" s="270">
        <f>SUMIF('Allocation Factors'!$B$3:$B$89,'Current Income Tax Expense'!K138,'Allocation Factors'!$P$3:$P$89)</f>
        <v>0</v>
      </c>
      <c r="M138" s="30">
        <f t="shared" ref="M138" si="83">ROUND(H138*L138,0)</f>
        <v>0</v>
      </c>
      <c r="N138" s="30">
        <f t="shared" ref="N138" si="84">ROUND(I138*L138,0)</f>
        <v>0</v>
      </c>
      <c r="O138" s="30">
        <f t="shared" ref="O138" si="85">SUM(M138:N138)</f>
        <v>0</v>
      </c>
      <c r="P138" s="30">
        <f t="shared" ref="P138" si="86">O138</f>
        <v>0</v>
      </c>
      <c r="Q138" s="394"/>
      <c r="R138" s="394"/>
    </row>
    <row r="139" spans="1:18">
      <c r="A139" s="90" t="s">
        <v>705</v>
      </c>
      <c r="B139" s="29" t="s">
        <v>8</v>
      </c>
      <c r="C139" s="273" t="s">
        <v>8</v>
      </c>
      <c r="D139" s="29" t="s">
        <v>719</v>
      </c>
      <c r="E139" s="276" t="s">
        <v>9</v>
      </c>
      <c r="F139" s="30">
        <v>0</v>
      </c>
      <c r="G139" s="30">
        <f t="shared" si="75"/>
        <v>0</v>
      </c>
      <c r="H139" s="30">
        <f t="shared" si="76"/>
        <v>0</v>
      </c>
      <c r="I139" s="30">
        <f>+SCHMAT!L8</f>
        <v>13479876</v>
      </c>
      <c r="J139" s="30">
        <f t="shared" si="77"/>
        <v>13479876</v>
      </c>
      <c r="K139" s="276" t="s">
        <v>160</v>
      </c>
      <c r="L139" s="270">
        <f>SUMIF('Allocation Factors'!$B$3:$B$89,'Current Income Tax Expense'!K139,'Allocation Factors'!$P$3:$P$89)</f>
        <v>0.21577192756641544</v>
      </c>
      <c r="M139" s="30">
        <f t="shared" si="78"/>
        <v>0</v>
      </c>
      <c r="N139" s="30">
        <f t="shared" si="79"/>
        <v>2908579</v>
      </c>
      <c r="O139" s="30">
        <f t="shared" si="80"/>
        <v>2908579</v>
      </c>
      <c r="P139" s="30">
        <f t="shared" si="81"/>
        <v>2908579</v>
      </c>
      <c r="Q139" s="394"/>
      <c r="R139" s="394"/>
    </row>
    <row r="140" spans="1:18">
      <c r="A140" s="90" t="s">
        <v>706</v>
      </c>
      <c r="B140" s="29" t="s">
        <v>8</v>
      </c>
      <c r="C140" s="273" t="s">
        <v>8</v>
      </c>
      <c r="D140" s="29" t="s">
        <v>719</v>
      </c>
      <c r="E140" s="276" t="s">
        <v>9</v>
      </c>
      <c r="F140" s="30">
        <v>0</v>
      </c>
      <c r="G140" s="30">
        <f t="shared" si="75"/>
        <v>0</v>
      </c>
      <c r="H140" s="30">
        <f t="shared" si="76"/>
        <v>0</v>
      </c>
      <c r="I140" s="30">
        <f>+SCHMAT!L9</f>
        <v>728900</v>
      </c>
      <c r="J140" s="30">
        <f t="shared" si="77"/>
        <v>728900</v>
      </c>
      <c r="K140" s="276" t="s">
        <v>60</v>
      </c>
      <c r="L140" s="270">
        <f>SUMIF('Allocation Factors'!$B$3:$B$89,'Current Income Tax Expense'!K140,'Allocation Factors'!$P$3:$P$89)</f>
        <v>6.9360885492844845E-2</v>
      </c>
      <c r="M140" s="30">
        <f t="shared" si="78"/>
        <v>0</v>
      </c>
      <c r="N140" s="30">
        <f t="shared" si="79"/>
        <v>50557</v>
      </c>
      <c r="O140" s="30">
        <f t="shared" si="80"/>
        <v>50557</v>
      </c>
      <c r="P140" s="30">
        <f t="shared" si="81"/>
        <v>50557</v>
      </c>
      <c r="Q140" s="394"/>
      <c r="R140" s="394"/>
    </row>
    <row r="141" spans="1:18">
      <c r="A141" s="90" t="s">
        <v>707</v>
      </c>
      <c r="B141" s="29" t="s">
        <v>8</v>
      </c>
      <c r="C141" s="273" t="s">
        <v>8</v>
      </c>
      <c r="D141" s="29" t="s">
        <v>719</v>
      </c>
      <c r="E141" s="276" t="s">
        <v>9</v>
      </c>
      <c r="F141" s="30">
        <v>0</v>
      </c>
      <c r="G141" s="30">
        <f t="shared" si="75"/>
        <v>0</v>
      </c>
      <c r="H141" s="30">
        <f t="shared" si="76"/>
        <v>0</v>
      </c>
      <c r="I141" s="30">
        <f>+SCHMAT!L10</f>
        <v>3371494</v>
      </c>
      <c r="J141" s="30">
        <f t="shared" si="77"/>
        <v>3371494</v>
      </c>
      <c r="K141" s="276" t="s">
        <v>29</v>
      </c>
      <c r="L141" s="270">
        <f>SUMIF('Allocation Factors'!$B$3:$B$89,'Current Income Tax Expense'!K141,'Allocation Factors'!$P$3:$P$89)</f>
        <v>0</v>
      </c>
      <c r="M141" s="30">
        <f t="shared" si="78"/>
        <v>0</v>
      </c>
      <c r="N141" s="30">
        <f t="shared" si="79"/>
        <v>0</v>
      </c>
      <c r="O141" s="30">
        <f t="shared" si="80"/>
        <v>0</v>
      </c>
      <c r="P141" s="30">
        <f t="shared" si="81"/>
        <v>0</v>
      </c>
      <c r="Q141" s="394"/>
      <c r="R141" s="394"/>
    </row>
    <row r="142" spans="1:18">
      <c r="A142" s="90" t="s">
        <v>661</v>
      </c>
      <c r="B142" s="29" t="s">
        <v>8</v>
      </c>
      <c r="C142" s="273" t="s">
        <v>8</v>
      </c>
      <c r="D142" s="29" t="s">
        <v>719</v>
      </c>
      <c r="E142" s="276" t="s">
        <v>9</v>
      </c>
      <c r="F142" s="30">
        <v>0</v>
      </c>
      <c r="G142" s="30">
        <f t="shared" si="75"/>
        <v>0</v>
      </c>
      <c r="H142" s="30">
        <f t="shared" si="76"/>
        <v>0</v>
      </c>
      <c r="I142" s="30">
        <f>+SCHMAT!L11</f>
        <v>255379200</v>
      </c>
      <c r="J142" s="30">
        <f t="shared" si="77"/>
        <v>255379200</v>
      </c>
      <c r="K142" s="276" t="s">
        <v>168</v>
      </c>
      <c r="L142" s="270">
        <f>SUMIF('Allocation Factors'!$B$3:$B$89,'Current Income Tax Expense'!K142,'Allocation Factors'!$P$3:$P$89)</f>
        <v>0.21577192756641544</v>
      </c>
      <c r="M142" s="30">
        <f t="shared" si="78"/>
        <v>0</v>
      </c>
      <c r="N142" s="30">
        <f t="shared" si="79"/>
        <v>55103662</v>
      </c>
      <c r="O142" s="30">
        <f t="shared" si="80"/>
        <v>55103662</v>
      </c>
      <c r="P142" s="30">
        <f t="shared" si="81"/>
        <v>55103662</v>
      </c>
      <c r="Q142" s="394"/>
      <c r="R142" s="394"/>
    </row>
    <row r="143" spans="1:18">
      <c r="A143" s="90" t="s">
        <v>708</v>
      </c>
      <c r="B143" s="29" t="s">
        <v>8</v>
      </c>
      <c r="C143" s="273" t="s">
        <v>8</v>
      </c>
      <c r="D143" s="29" t="s">
        <v>719</v>
      </c>
      <c r="E143" s="276" t="s">
        <v>9</v>
      </c>
      <c r="F143" s="30">
        <v>0</v>
      </c>
      <c r="G143" s="30">
        <f t="shared" si="75"/>
        <v>0</v>
      </c>
      <c r="H143" s="30">
        <f t="shared" si="76"/>
        <v>0</v>
      </c>
      <c r="I143" s="30">
        <f>+SCHMAT!L12</f>
        <v>6358756</v>
      </c>
      <c r="J143" s="30">
        <f t="shared" si="77"/>
        <v>6358756</v>
      </c>
      <c r="K143" s="276" t="s">
        <v>30</v>
      </c>
      <c r="L143" s="270">
        <f>SUMIF('Allocation Factors'!$B$3:$B$89,'Current Income Tax Expense'!K143,'Allocation Factors'!$P$3:$P$89)</f>
        <v>0</v>
      </c>
      <c r="M143" s="30">
        <f t="shared" si="78"/>
        <v>0</v>
      </c>
      <c r="N143" s="30">
        <f t="shared" si="79"/>
        <v>0</v>
      </c>
      <c r="O143" s="30">
        <f t="shared" si="80"/>
        <v>0</v>
      </c>
      <c r="P143" s="30">
        <f t="shared" si="81"/>
        <v>0</v>
      </c>
      <c r="Q143" s="394"/>
      <c r="R143" s="394"/>
    </row>
    <row r="144" spans="1:18">
      <c r="A144" s="90" t="s">
        <v>660</v>
      </c>
      <c r="B144" s="29" t="s">
        <v>8</v>
      </c>
      <c r="C144" s="273" t="s">
        <v>8</v>
      </c>
      <c r="D144" s="29" t="s">
        <v>719</v>
      </c>
      <c r="E144" s="276" t="s">
        <v>9</v>
      </c>
      <c r="F144" s="30">
        <v>0</v>
      </c>
      <c r="G144" s="30">
        <f t="shared" si="75"/>
        <v>0</v>
      </c>
      <c r="H144" s="30">
        <f t="shared" si="76"/>
        <v>0</v>
      </c>
      <c r="I144" s="30">
        <f>+SCHMAT!L13</f>
        <v>140052156</v>
      </c>
      <c r="J144" s="30">
        <f t="shared" si="77"/>
        <v>140052156</v>
      </c>
      <c r="K144" s="276" t="s">
        <v>19</v>
      </c>
      <c r="L144" s="270">
        <f>SUMIF('Allocation Factors'!$B$3:$B$89,'Current Income Tax Expense'!K144,'Allocation Factors'!$P$3:$P$89)</f>
        <v>7.8111041399714837E-2</v>
      </c>
      <c r="M144" s="30">
        <f t="shared" si="78"/>
        <v>0</v>
      </c>
      <c r="N144" s="30">
        <f t="shared" si="79"/>
        <v>10939620</v>
      </c>
      <c r="O144" s="30">
        <f t="shared" si="80"/>
        <v>10939620</v>
      </c>
      <c r="P144" s="30">
        <f t="shared" si="81"/>
        <v>10939620</v>
      </c>
      <c r="Q144" s="394"/>
      <c r="R144" s="394"/>
    </row>
    <row r="145" spans="1:18">
      <c r="A145" s="90" t="s">
        <v>662</v>
      </c>
      <c r="B145" s="29" t="s">
        <v>8</v>
      </c>
      <c r="C145" s="273" t="s">
        <v>8</v>
      </c>
      <c r="D145" s="29" t="s">
        <v>719</v>
      </c>
      <c r="E145" s="276" t="s">
        <v>9</v>
      </c>
      <c r="F145" s="30">
        <v>0</v>
      </c>
      <c r="G145" s="30">
        <f t="shared" si="75"/>
        <v>0</v>
      </c>
      <c r="H145" s="30">
        <f t="shared" si="76"/>
        <v>0</v>
      </c>
      <c r="I145" s="30">
        <f>+SCHMAT!L14</f>
        <v>7613059</v>
      </c>
      <c r="J145" s="30">
        <f t="shared" si="77"/>
        <v>7613059</v>
      </c>
      <c r="K145" s="276" t="s">
        <v>10</v>
      </c>
      <c r="L145" s="270">
        <f>SUMIF('Allocation Factors'!$B$3:$B$89,'Current Income Tax Expense'!K145,'Allocation Factors'!$P$3:$P$89)</f>
        <v>6.7017620954721469E-2</v>
      </c>
      <c r="M145" s="30">
        <f t="shared" si="78"/>
        <v>0</v>
      </c>
      <c r="N145" s="30">
        <f t="shared" si="79"/>
        <v>510209</v>
      </c>
      <c r="O145" s="30">
        <f t="shared" si="80"/>
        <v>510209</v>
      </c>
      <c r="P145" s="30">
        <f t="shared" si="81"/>
        <v>510209</v>
      </c>
      <c r="Q145" s="394"/>
      <c r="R145" s="394"/>
    </row>
    <row r="146" spans="1:18">
      <c r="A146" s="90" t="s">
        <v>709</v>
      </c>
      <c r="B146" s="29" t="s">
        <v>8</v>
      </c>
      <c r="C146" s="273" t="s">
        <v>8</v>
      </c>
      <c r="D146" s="29" t="s">
        <v>719</v>
      </c>
      <c r="E146" s="276" t="s">
        <v>9</v>
      </c>
      <c r="F146" s="30">
        <v>0</v>
      </c>
      <c r="G146" s="30">
        <f t="shared" si="75"/>
        <v>0</v>
      </c>
      <c r="H146" s="30">
        <f t="shared" si="76"/>
        <v>0</v>
      </c>
      <c r="I146" s="30">
        <f>+SCHMAT!L15</f>
        <v>32249604</v>
      </c>
      <c r="J146" s="30">
        <f t="shared" si="77"/>
        <v>32249604</v>
      </c>
      <c r="K146" s="276" t="s">
        <v>28</v>
      </c>
      <c r="L146" s="270">
        <f>SUMIF('Allocation Factors'!$B$3:$B$89,'Current Income Tax Expense'!K146,'Allocation Factors'!$P$3:$P$89)</f>
        <v>0</v>
      </c>
      <c r="M146" s="30">
        <f t="shared" si="78"/>
        <v>0</v>
      </c>
      <c r="N146" s="30">
        <f t="shared" si="79"/>
        <v>0</v>
      </c>
      <c r="O146" s="30">
        <f t="shared" si="80"/>
        <v>0</v>
      </c>
      <c r="P146" s="30">
        <f t="shared" si="81"/>
        <v>0</v>
      </c>
      <c r="Q146" s="394"/>
      <c r="R146" s="394"/>
    </row>
    <row r="147" spans="1:18">
      <c r="A147" s="90" t="s">
        <v>710</v>
      </c>
      <c r="B147" s="29" t="s">
        <v>8</v>
      </c>
      <c r="C147" s="273" t="s">
        <v>8</v>
      </c>
      <c r="D147" s="29" t="s">
        <v>719</v>
      </c>
      <c r="E147" s="276" t="s">
        <v>9</v>
      </c>
      <c r="F147" s="30">
        <v>0</v>
      </c>
      <c r="G147" s="30">
        <f t="shared" si="75"/>
        <v>0</v>
      </c>
      <c r="H147" s="30">
        <f t="shared" si="76"/>
        <v>0</v>
      </c>
      <c r="I147" s="30">
        <f>+SCHMAT!L16</f>
        <v>779023</v>
      </c>
      <c r="J147" s="30">
        <f t="shared" si="77"/>
        <v>779023</v>
      </c>
      <c r="K147" s="276" t="s">
        <v>26</v>
      </c>
      <c r="L147" s="270">
        <f>SUMIF('Allocation Factors'!$B$3:$B$89,'Current Income Tax Expense'!K147,'Allocation Factors'!$P$3:$P$89)</f>
        <v>1</v>
      </c>
      <c r="M147" s="30">
        <f t="shared" si="78"/>
        <v>0</v>
      </c>
      <c r="N147" s="30">
        <f t="shared" si="79"/>
        <v>779023</v>
      </c>
      <c r="O147" s="30">
        <f t="shared" si="80"/>
        <v>779023</v>
      </c>
      <c r="P147" s="30">
        <f t="shared" si="81"/>
        <v>779023</v>
      </c>
      <c r="Q147" s="394"/>
      <c r="R147" s="394"/>
    </row>
    <row r="148" spans="1:18">
      <c r="A148" s="90" t="s">
        <v>711</v>
      </c>
      <c r="B148" s="29" t="s">
        <v>8</v>
      </c>
      <c r="C148" s="273" t="s">
        <v>8</v>
      </c>
      <c r="D148" s="29" t="s">
        <v>719</v>
      </c>
      <c r="E148" s="276" t="s">
        <v>9</v>
      </c>
      <c r="F148" s="30">
        <v>0</v>
      </c>
      <c r="G148" s="30">
        <f t="shared" si="75"/>
        <v>0</v>
      </c>
      <c r="H148" s="30">
        <f t="shared" si="76"/>
        <v>0</v>
      </c>
      <c r="I148" s="30">
        <f>+SCHMAT!L17</f>
        <v>2608262</v>
      </c>
      <c r="J148" s="30">
        <f>SUM(H148:I148)</f>
        <v>2608262</v>
      </c>
      <c r="K148" s="276" t="s">
        <v>32</v>
      </c>
      <c r="L148" s="270">
        <f>SUMIF('Allocation Factors'!$B$3:$B$89,'Current Income Tax Expense'!K148,'Allocation Factors'!$P$3:$P$89)</f>
        <v>0</v>
      </c>
      <c r="M148" s="30">
        <f>ROUND(H148*L148,0)</f>
        <v>0</v>
      </c>
      <c r="N148" s="30">
        <f>ROUND(I148*L148,0)</f>
        <v>0</v>
      </c>
      <c r="O148" s="30">
        <f>SUM(M148:N148)</f>
        <v>0</v>
      </c>
      <c r="P148" s="30">
        <f>O148</f>
        <v>0</v>
      </c>
      <c r="Q148" s="394"/>
      <c r="R148" s="394"/>
    </row>
    <row r="149" spans="1:18">
      <c r="A149" s="90" t="s">
        <v>636</v>
      </c>
      <c r="B149" s="29" t="s">
        <v>8</v>
      </c>
      <c r="C149" s="273" t="s">
        <v>8</v>
      </c>
      <c r="D149" s="29">
        <v>8.1999999999999993</v>
      </c>
      <c r="E149" s="276" t="s">
        <v>9</v>
      </c>
      <c r="F149" s="30">
        <v>0</v>
      </c>
      <c r="G149" s="30">
        <f t="shared" si="75"/>
        <v>0</v>
      </c>
      <c r="H149" s="30">
        <f t="shared" si="76"/>
        <v>0</v>
      </c>
      <c r="I149" s="30">
        <v>573051</v>
      </c>
      <c r="J149" s="30">
        <f t="shared" ref="J149:J150" si="87">SUM(H149:I149)</f>
        <v>573051</v>
      </c>
      <c r="K149" s="276" t="s">
        <v>26</v>
      </c>
      <c r="L149" s="270">
        <f>SUMIF('Allocation Factors'!$B$3:$B$89,'Current Income Tax Expense'!K149,'Allocation Factors'!$P$3:$P$89)</f>
        <v>1</v>
      </c>
      <c r="M149" s="30">
        <f t="shared" ref="M149:M150" si="88">ROUND(H149*L149,0)</f>
        <v>0</v>
      </c>
      <c r="N149" s="30">
        <f t="shared" ref="N149:N150" si="89">ROUND(I149*L149,0)</f>
        <v>573051</v>
      </c>
      <c r="O149" s="30">
        <f t="shared" ref="O149:O150" si="90">SUM(M149:N149)</f>
        <v>573051</v>
      </c>
      <c r="P149" s="30">
        <f t="shared" ref="P149:P150" si="91">O149</f>
        <v>573051</v>
      </c>
      <c r="Q149" s="394"/>
      <c r="R149" s="394"/>
    </row>
    <row r="150" spans="1:18">
      <c r="A150" s="90" t="s">
        <v>637</v>
      </c>
      <c r="B150" s="29" t="s">
        <v>8</v>
      </c>
      <c r="C150" s="273" t="s">
        <v>8</v>
      </c>
      <c r="D150" s="29">
        <v>8.1999999999999993</v>
      </c>
      <c r="E150" s="276" t="s">
        <v>9</v>
      </c>
      <c r="F150" s="30">
        <v>0</v>
      </c>
      <c r="G150" s="30">
        <f t="shared" si="75"/>
        <v>0</v>
      </c>
      <c r="H150" s="30">
        <f t="shared" si="76"/>
        <v>0</v>
      </c>
      <c r="I150" s="30">
        <v>100000</v>
      </c>
      <c r="J150" s="30">
        <f t="shared" si="87"/>
        <v>100000</v>
      </c>
      <c r="K150" s="276" t="s">
        <v>26</v>
      </c>
      <c r="L150" s="270">
        <f>SUMIF('Allocation Factors'!$B$3:$B$89,'Current Income Tax Expense'!K150,'Allocation Factors'!$P$3:$P$89)</f>
        <v>1</v>
      </c>
      <c r="M150" s="30">
        <f t="shared" si="88"/>
        <v>0</v>
      </c>
      <c r="N150" s="30">
        <f t="shared" si="89"/>
        <v>100000</v>
      </c>
      <c r="O150" s="30">
        <f t="shared" si="90"/>
        <v>100000</v>
      </c>
      <c r="P150" s="30">
        <f t="shared" si="91"/>
        <v>100000</v>
      </c>
      <c r="Q150" s="394"/>
      <c r="R150" s="394"/>
    </row>
    <row r="151" spans="1:18" s="2" customFormat="1">
      <c r="A151" s="108" t="s">
        <v>284</v>
      </c>
      <c r="B151" s="37"/>
      <c r="C151" s="70"/>
      <c r="D151" s="120"/>
      <c r="E151" s="38"/>
      <c r="F151" s="27">
        <f>SUBTOTAL(9,F28:F150)</f>
        <v>1175333529</v>
      </c>
      <c r="G151" s="27">
        <f>SUBTOTAL(9,G28:G150)</f>
        <v>1175333529</v>
      </c>
      <c r="H151" s="27">
        <f>SUBTOTAL(9,H28:H150)</f>
        <v>1182563153</v>
      </c>
      <c r="I151" s="27">
        <f>SUBTOTAL(9,I28:I150)</f>
        <v>428473173</v>
      </c>
      <c r="J151" s="27">
        <f>SUBTOTAL(9,J28:J150)</f>
        <v>1611036326</v>
      </c>
      <c r="K151" s="67"/>
      <c r="L151" s="26"/>
      <c r="M151" s="27">
        <f>SUBTOTAL(9,M28:M150)</f>
        <v>91535442</v>
      </c>
      <c r="N151" s="27">
        <f>SUBTOTAL(9,N28:N150)</f>
        <v>63346110</v>
      </c>
      <c r="O151" s="27">
        <f>SUBTOTAL(9,O28:O150)</f>
        <v>154881552</v>
      </c>
      <c r="P151" s="27">
        <f>SUBTOTAL(9,P28:P150)</f>
        <v>154881552</v>
      </c>
    </row>
    <row r="152" spans="1:18">
      <c r="A152" s="28" t="s">
        <v>295</v>
      </c>
      <c r="B152" s="29">
        <v>287605</v>
      </c>
      <c r="C152" s="273">
        <v>105.122</v>
      </c>
      <c r="D152" s="29" t="s">
        <v>8</v>
      </c>
      <c r="E152" s="29" t="s">
        <v>9</v>
      </c>
      <c r="F152" s="30">
        <v>-146684850</v>
      </c>
      <c r="G152" s="30">
        <f t="shared" ref="G152:G182" si="92">+F152</f>
        <v>-146684850</v>
      </c>
      <c r="H152" s="30">
        <f t="shared" ref="H152:H182" si="93">IF(E152="U",G152,0)</f>
        <v>-146684850</v>
      </c>
      <c r="I152" s="30">
        <v>0</v>
      </c>
      <c r="J152" s="30">
        <f t="shared" ref="J152:J182" si="94">SUM(H152:I152)</f>
        <v>-146684850</v>
      </c>
      <c r="K152" s="29" t="s">
        <v>19</v>
      </c>
      <c r="L152" s="270">
        <f>SUMIF('Allocation Factors'!$B$3:$B$89,'Current Income Tax Expense'!K152,'Allocation Factors'!$P$3:$P$89)</f>
        <v>7.8111041399714837E-2</v>
      </c>
      <c r="M152" s="30">
        <f t="shared" ref="M152:M208" si="95">ROUND(H152*L152,0)</f>
        <v>-11457706</v>
      </c>
      <c r="N152" s="30">
        <f t="shared" ref="N152:N182" si="96">ROUND(I152*L152,0)</f>
        <v>0</v>
      </c>
      <c r="O152" s="30">
        <f t="shared" ref="O152:O182" si="97">SUM(M152:N152)</f>
        <v>-11457706</v>
      </c>
      <c r="P152" s="30">
        <f t="shared" ref="P152:P178" si="98">O152</f>
        <v>-11457706</v>
      </c>
    </row>
    <row r="153" spans="1:18">
      <c r="A153" s="28" t="s">
        <v>44</v>
      </c>
      <c r="B153" s="29">
        <v>287605</v>
      </c>
      <c r="C153" s="273">
        <v>105.125</v>
      </c>
      <c r="D153" s="276" t="s">
        <v>718</v>
      </c>
      <c r="E153" s="29" t="s">
        <v>9</v>
      </c>
      <c r="F153" s="30">
        <v>-590717641</v>
      </c>
      <c r="G153" s="30">
        <f t="shared" si="92"/>
        <v>-590717641</v>
      </c>
      <c r="H153" s="30">
        <f t="shared" si="93"/>
        <v>-590717641</v>
      </c>
      <c r="I153" s="30">
        <f>+SCHMDT!F20</f>
        <v>-278447609</v>
      </c>
      <c r="J153" s="30">
        <f t="shared" si="94"/>
        <v>-869165250</v>
      </c>
      <c r="K153" s="29" t="s">
        <v>45</v>
      </c>
      <c r="L153" s="270">
        <f>SUMIF('Allocation Factors'!$B$3:$B$89,'Current Income Tax Expense'!K153,'Allocation Factors'!$P$3:$P$89)</f>
        <v>6.4357257992723779E-2</v>
      </c>
      <c r="M153" s="30">
        <f t="shared" si="95"/>
        <v>-38016968</v>
      </c>
      <c r="N153" s="30">
        <f t="shared" si="96"/>
        <v>-17920125</v>
      </c>
      <c r="O153" s="30">
        <f t="shared" si="97"/>
        <v>-55937093</v>
      </c>
      <c r="P153" s="30">
        <f t="shared" si="98"/>
        <v>-55937093</v>
      </c>
    </row>
    <row r="154" spans="1:18">
      <c r="A154" s="28" t="s">
        <v>508</v>
      </c>
      <c r="B154" s="29">
        <v>287726</v>
      </c>
      <c r="C154" s="273">
        <v>105.126</v>
      </c>
      <c r="D154" s="29" t="s">
        <v>8</v>
      </c>
      <c r="E154" s="29" t="s">
        <v>9</v>
      </c>
      <c r="F154" s="30">
        <v>-6227025</v>
      </c>
      <c r="G154" s="30">
        <f t="shared" si="92"/>
        <v>-6227025</v>
      </c>
      <c r="H154" s="30">
        <f t="shared" si="93"/>
        <v>-6227025</v>
      </c>
      <c r="I154" s="30">
        <v>0</v>
      </c>
      <c r="J154" s="30">
        <f t="shared" si="94"/>
        <v>-6227025</v>
      </c>
      <c r="K154" s="276" t="s">
        <v>170</v>
      </c>
      <c r="L154" s="270">
        <f>SUMIF('Allocation Factors'!$B$3:$B$89,'Current Income Tax Expense'!K154,'Allocation Factors'!$P$3:$P$89)</f>
        <v>0.22591574269314921</v>
      </c>
      <c r="M154" s="30">
        <f t="shared" si="95"/>
        <v>-1406783</v>
      </c>
      <c r="N154" s="30">
        <f t="shared" si="96"/>
        <v>0</v>
      </c>
      <c r="O154" s="30">
        <f t="shared" si="97"/>
        <v>-1406783</v>
      </c>
      <c r="P154" s="30">
        <f t="shared" si="98"/>
        <v>-1406783</v>
      </c>
    </row>
    <row r="155" spans="1:18">
      <c r="A155" s="28" t="s">
        <v>46</v>
      </c>
      <c r="B155" s="29">
        <v>287605</v>
      </c>
      <c r="C155" s="273">
        <v>105.137</v>
      </c>
      <c r="D155" s="29" t="s">
        <v>8</v>
      </c>
      <c r="E155" s="29" t="s">
        <v>9</v>
      </c>
      <c r="F155" s="30">
        <v>-5977157</v>
      </c>
      <c r="G155" s="30">
        <f t="shared" si="92"/>
        <v>-5977157</v>
      </c>
      <c r="H155" s="30">
        <f t="shared" si="93"/>
        <v>-5977157</v>
      </c>
      <c r="I155" s="30">
        <v>0</v>
      </c>
      <c r="J155" s="30">
        <f t="shared" si="94"/>
        <v>-5977157</v>
      </c>
      <c r="K155" s="29" t="s">
        <v>10</v>
      </c>
      <c r="L155" s="270">
        <f>SUMIF('Allocation Factors'!$B$3:$B$89,'Current Income Tax Expense'!K155,'Allocation Factors'!$P$3:$P$89)</f>
        <v>6.7017620954721469E-2</v>
      </c>
      <c r="M155" s="30">
        <f t="shared" si="95"/>
        <v>-400575</v>
      </c>
      <c r="N155" s="30">
        <f t="shared" si="96"/>
        <v>0</v>
      </c>
      <c r="O155" s="30">
        <f t="shared" si="97"/>
        <v>-400575</v>
      </c>
      <c r="P155" s="30">
        <f t="shared" si="98"/>
        <v>-400575</v>
      </c>
    </row>
    <row r="156" spans="1:18">
      <c r="A156" s="90" t="s">
        <v>509</v>
      </c>
      <c r="B156" s="29">
        <v>287605</v>
      </c>
      <c r="C156" s="352" t="s">
        <v>312</v>
      </c>
      <c r="D156" s="29" t="s">
        <v>8</v>
      </c>
      <c r="E156" s="29" t="s">
        <v>9</v>
      </c>
      <c r="F156" s="30">
        <v>-25390919</v>
      </c>
      <c r="G156" s="30">
        <f t="shared" si="92"/>
        <v>-25390919</v>
      </c>
      <c r="H156" s="30">
        <f t="shared" si="93"/>
        <v>-25390919</v>
      </c>
      <c r="I156" s="30">
        <v>0</v>
      </c>
      <c r="J156" s="30">
        <f t="shared" si="94"/>
        <v>-25390919</v>
      </c>
      <c r="K156" s="29" t="s">
        <v>16</v>
      </c>
      <c r="L156" s="270">
        <f>SUMIF('Allocation Factors'!$B$3:$B$89,'Current Income Tax Expense'!K156,'Allocation Factors'!$P$3:$P$89)</f>
        <v>6.0894111271351227E-2</v>
      </c>
      <c r="M156" s="30">
        <f t="shared" si="95"/>
        <v>-1546157</v>
      </c>
      <c r="N156" s="30">
        <f t="shared" si="96"/>
        <v>0</v>
      </c>
      <c r="O156" s="30">
        <f t="shared" si="97"/>
        <v>-1546157</v>
      </c>
      <c r="P156" s="30">
        <f t="shared" si="98"/>
        <v>-1546157</v>
      </c>
    </row>
    <row r="157" spans="1:18">
      <c r="A157" s="90" t="s">
        <v>317</v>
      </c>
      <c r="B157" s="29">
        <v>287605</v>
      </c>
      <c r="C157" s="352" t="s">
        <v>313</v>
      </c>
      <c r="D157" s="29" t="s">
        <v>8</v>
      </c>
      <c r="E157" s="29" t="s">
        <v>9</v>
      </c>
      <c r="F157" s="30">
        <v>-49314403</v>
      </c>
      <c r="G157" s="30">
        <f t="shared" si="92"/>
        <v>-49314403</v>
      </c>
      <c r="H157" s="30">
        <f t="shared" si="93"/>
        <v>-49314403</v>
      </c>
      <c r="I157" s="30">
        <v>0</v>
      </c>
      <c r="J157" s="30">
        <f t="shared" si="94"/>
        <v>-49314403</v>
      </c>
      <c r="K157" s="29" t="s">
        <v>16</v>
      </c>
      <c r="L157" s="270">
        <f>SUMIF('Allocation Factors'!$B$3:$B$89,'Current Income Tax Expense'!K157,'Allocation Factors'!$P$3:$P$89)</f>
        <v>6.0894111271351227E-2</v>
      </c>
      <c r="M157" s="30">
        <f t="shared" si="95"/>
        <v>-3002957</v>
      </c>
      <c r="N157" s="30">
        <f t="shared" si="96"/>
        <v>0</v>
      </c>
      <c r="O157" s="30">
        <f t="shared" si="97"/>
        <v>-3002957</v>
      </c>
      <c r="P157" s="30">
        <f t="shared" si="98"/>
        <v>-3002957</v>
      </c>
    </row>
    <row r="158" spans="1:18">
      <c r="A158" s="28" t="s">
        <v>47</v>
      </c>
      <c r="B158" s="29">
        <v>287704</v>
      </c>
      <c r="C158" s="273">
        <v>105.143</v>
      </c>
      <c r="D158" s="29" t="s">
        <v>8</v>
      </c>
      <c r="E158" s="29" t="s">
        <v>9</v>
      </c>
      <c r="F158" s="30">
        <v>-222728</v>
      </c>
      <c r="G158" s="30">
        <f t="shared" si="92"/>
        <v>-222728</v>
      </c>
      <c r="H158" s="30">
        <f t="shared" si="93"/>
        <v>-222728</v>
      </c>
      <c r="I158" s="30">
        <v>0</v>
      </c>
      <c r="J158" s="30">
        <f t="shared" si="94"/>
        <v>-222728</v>
      </c>
      <c r="K158" s="75" t="s">
        <v>10</v>
      </c>
      <c r="L158" s="270">
        <f>SUMIF('Allocation Factors'!$B$3:$B$89,'Current Income Tax Expense'!K158,'Allocation Factors'!$P$3:$P$89)</f>
        <v>6.7017620954721469E-2</v>
      </c>
      <c r="M158" s="30">
        <f t="shared" si="95"/>
        <v>-14927</v>
      </c>
      <c r="N158" s="30">
        <f t="shared" si="96"/>
        <v>0</v>
      </c>
      <c r="O158" s="30">
        <f t="shared" si="97"/>
        <v>-14927</v>
      </c>
      <c r="P158" s="30">
        <f t="shared" si="98"/>
        <v>-14927</v>
      </c>
    </row>
    <row r="159" spans="1:18">
      <c r="A159" s="28" t="s">
        <v>48</v>
      </c>
      <c r="B159" s="29">
        <v>287605</v>
      </c>
      <c r="C159" s="273">
        <v>105.152</v>
      </c>
      <c r="D159" s="29" t="s">
        <v>8</v>
      </c>
      <c r="E159" s="29" t="s">
        <v>9</v>
      </c>
      <c r="F159" s="30">
        <v>-16378238</v>
      </c>
      <c r="G159" s="30">
        <f t="shared" si="92"/>
        <v>-16378238</v>
      </c>
      <c r="H159" s="30">
        <f t="shared" si="93"/>
        <v>-16378238</v>
      </c>
      <c r="I159" s="30">
        <v>0</v>
      </c>
      <c r="J159" s="30">
        <f t="shared" si="94"/>
        <v>-16378238</v>
      </c>
      <c r="K159" s="29" t="s">
        <v>49</v>
      </c>
      <c r="L159" s="270">
        <f>SUMIF('Allocation Factors'!$B$3:$B$89,'Current Income Tax Expense'!K159,'Allocation Factors'!$P$3:$P$89)</f>
        <v>6.7017620954721469E-2</v>
      </c>
      <c r="M159" s="30">
        <f t="shared" si="95"/>
        <v>-1097631</v>
      </c>
      <c r="N159" s="30">
        <f t="shared" si="96"/>
        <v>0</v>
      </c>
      <c r="O159" s="30">
        <f t="shared" si="97"/>
        <v>-1097631</v>
      </c>
      <c r="P159" s="30">
        <f t="shared" si="98"/>
        <v>-1097631</v>
      </c>
    </row>
    <row r="160" spans="1:18">
      <c r="A160" s="90" t="s">
        <v>376</v>
      </c>
      <c r="B160" s="29">
        <v>287605</v>
      </c>
      <c r="C160" s="273">
        <v>105.15300000000001</v>
      </c>
      <c r="D160" s="29" t="s">
        <v>8</v>
      </c>
      <c r="E160" s="29" t="s">
        <v>9</v>
      </c>
      <c r="F160" s="30">
        <v>124821</v>
      </c>
      <c r="G160" s="30">
        <f t="shared" si="92"/>
        <v>124821</v>
      </c>
      <c r="H160" s="30">
        <f t="shared" si="93"/>
        <v>124821</v>
      </c>
      <c r="I160" s="30">
        <v>0</v>
      </c>
      <c r="J160" s="30">
        <f t="shared" si="94"/>
        <v>124821</v>
      </c>
      <c r="K160" s="276" t="s">
        <v>160</v>
      </c>
      <c r="L160" s="270">
        <f>SUMIF('Allocation Factors'!$B$3:$B$89,'Current Income Tax Expense'!K160,'Allocation Factors'!$P$3:$P$89)</f>
        <v>0.21577192756641544</v>
      </c>
      <c r="M160" s="30">
        <f t="shared" si="95"/>
        <v>26933</v>
      </c>
      <c r="N160" s="30">
        <f t="shared" si="96"/>
        <v>0</v>
      </c>
      <c r="O160" s="30">
        <f t="shared" si="97"/>
        <v>26933</v>
      </c>
      <c r="P160" s="30">
        <f t="shared" si="98"/>
        <v>26933</v>
      </c>
    </row>
    <row r="161" spans="1:16">
      <c r="A161" s="90" t="s">
        <v>510</v>
      </c>
      <c r="B161" s="29">
        <v>287605</v>
      </c>
      <c r="C161" s="273">
        <v>105.151</v>
      </c>
      <c r="D161" s="29" t="s">
        <v>8</v>
      </c>
      <c r="E161" s="276" t="s">
        <v>333</v>
      </c>
      <c r="F161" s="30">
        <v>889994</v>
      </c>
      <c r="G161" s="30">
        <f t="shared" si="92"/>
        <v>889994</v>
      </c>
      <c r="H161" s="30">
        <f t="shared" si="93"/>
        <v>0</v>
      </c>
      <c r="I161" s="30">
        <v>0</v>
      </c>
      <c r="J161" s="30">
        <f t="shared" si="94"/>
        <v>0</v>
      </c>
      <c r="K161" s="276" t="s">
        <v>331</v>
      </c>
      <c r="L161" s="270">
        <f>SUMIF('Allocation Factors'!$B$3:$B$89,'Current Income Tax Expense'!K161,'Allocation Factors'!$P$3:$P$89)</f>
        <v>0</v>
      </c>
      <c r="M161" s="30">
        <f t="shared" si="95"/>
        <v>0</v>
      </c>
      <c r="N161" s="30">
        <f t="shared" si="96"/>
        <v>0</v>
      </c>
      <c r="O161" s="30">
        <f t="shared" si="97"/>
        <v>0</v>
      </c>
      <c r="P161" s="30">
        <f t="shared" si="98"/>
        <v>0</v>
      </c>
    </row>
    <row r="162" spans="1:16" ht="12.75" customHeight="1">
      <c r="A162" s="28" t="s">
        <v>511</v>
      </c>
      <c r="B162" s="29">
        <v>287726</v>
      </c>
      <c r="C162" s="273">
        <v>105.17100000000001</v>
      </c>
      <c r="D162" s="29" t="s">
        <v>8</v>
      </c>
      <c r="E162" s="29" t="s">
        <v>9</v>
      </c>
      <c r="F162" s="30">
        <v>-658918</v>
      </c>
      <c r="G162" s="30">
        <f t="shared" si="92"/>
        <v>-658918</v>
      </c>
      <c r="H162" s="30">
        <f t="shared" si="93"/>
        <v>-658918</v>
      </c>
      <c r="I162" s="30">
        <v>0</v>
      </c>
      <c r="J162" s="30">
        <f t="shared" si="94"/>
        <v>-658918</v>
      </c>
      <c r="K162" s="276" t="s">
        <v>170</v>
      </c>
      <c r="L162" s="270">
        <f>SUMIF('Allocation Factors'!$B$3:$B$89,'Current Income Tax Expense'!K162,'Allocation Factors'!$P$3:$P$89)</f>
        <v>0.22591574269314921</v>
      </c>
      <c r="M162" s="30">
        <f t="shared" si="95"/>
        <v>-148860</v>
      </c>
      <c r="N162" s="30">
        <f t="shared" si="96"/>
        <v>0</v>
      </c>
      <c r="O162" s="30">
        <f t="shared" si="97"/>
        <v>-148860</v>
      </c>
      <c r="P162" s="30">
        <f t="shared" si="98"/>
        <v>-148860</v>
      </c>
    </row>
    <row r="163" spans="1:16">
      <c r="A163" s="28" t="s">
        <v>264</v>
      </c>
      <c r="B163" s="29">
        <v>287605</v>
      </c>
      <c r="C163" s="273">
        <v>105.175</v>
      </c>
      <c r="D163" s="29" t="s">
        <v>8</v>
      </c>
      <c r="E163" s="29" t="s">
        <v>9</v>
      </c>
      <c r="F163" s="30">
        <v>-50126198</v>
      </c>
      <c r="G163" s="30">
        <f t="shared" si="92"/>
        <v>-50126198</v>
      </c>
      <c r="H163" s="30">
        <f t="shared" si="93"/>
        <v>-50126198</v>
      </c>
      <c r="I163" s="30">
        <v>0</v>
      </c>
      <c r="J163" s="30">
        <f t="shared" si="94"/>
        <v>-50126198</v>
      </c>
      <c r="K163" s="29" t="s">
        <v>49</v>
      </c>
      <c r="L163" s="270">
        <f>SUMIF('Allocation Factors'!$B$3:$B$89,'Current Income Tax Expense'!K163,'Allocation Factors'!$P$3:$P$89)</f>
        <v>6.7017620954721469E-2</v>
      </c>
      <c r="M163" s="30">
        <f t="shared" si="95"/>
        <v>-3359339</v>
      </c>
      <c r="N163" s="30">
        <f t="shared" si="96"/>
        <v>0</v>
      </c>
      <c r="O163" s="30">
        <f t="shared" si="97"/>
        <v>-3359339</v>
      </c>
      <c r="P163" s="30">
        <f t="shared" si="98"/>
        <v>-3359339</v>
      </c>
    </row>
    <row r="164" spans="1:16">
      <c r="A164" s="28" t="s">
        <v>512</v>
      </c>
      <c r="B164" s="29">
        <v>287608</v>
      </c>
      <c r="C164" s="273" t="s">
        <v>52</v>
      </c>
      <c r="D164" s="29" t="s">
        <v>8</v>
      </c>
      <c r="E164" s="29" t="s">
        <v>9</v>
      </c>
      <c r="F164" s="30">
        <v>-339662</v>
      </c>
      <c r="G164" s="30">
        <f t="shared" si="92"/>
        <v>-339662</v>
      </c>
      <c r="H164" s="30">
        <f t="shared" si="93"/>
        <v>-339662</v>
      </c>
      <c r="I164" s="30">
        <v>0</v>
      </c>
      <c r="J164" s="30">
        <f t="shared" si="94"/>
        <v>-339662</v>
      </c>
      <c r="K164" s="276" t="s">
        <v>162</v>
      </c>
      <c r="L164" s="270">
        <f>SUMIF('Allocation Factors'!$B$3:$B$89,'Current Income Tax Expense'!K164,'Allocation Factors'!$P$3:$P$89)</f>
        <v>0</v>
      </c>
      <c r="M164" s="30">
        <f t="shared" si="95"/>
        <v>0</v>
      </c>
      <c r="N164" s="30">
        <f t="shared" si="96"/>
        <v>0</v>
      </c>
      <c r="O164" s="30">
        <f t="shared" si="97"/>
        <v>0</v>
      </c>
      <c r="P164" s="30">
        <f t="shared" si="98"/>
        <v>0</v>
      </c>
    </row>
    <row r="165" spans="1:16">
      <c r="A165" s="28" t="s">
        <v>301</v>
      </c>
      <c r="B165" s="29">
        <v>287642</v>
      </c>
      <c r="C165" s="273" t="s">
        <v>54</v>
      </c>
      <c r="D165" s="29" t="s">
        <v>8</v>
      </c>
      <c r="E165" s="29" t="s">
        <v>333</v>
      </c>
      <c r="F165" s="30">
        <v>-17368506</v>
      </c>
      <c r="G165" s="30">
        <f t="shared" si="92"/>
        <v>-17368506</v>
      </c>
      <c r="H165" s="30">
        <f t="shared" si="93"/>
        <v>0</v>
      </c>
      <c r="I165" s="30">
        <v>0</v>
      </c>
      <c r="J165" s="30">
        <f t="shared" si="94"/>
        <v>0</v>
      </c>
      <c r="K165" s="29" t="s">
        <v>331</v>
      </c>
      <c r="L165" s="270">
        <f>SUMIF('Allocation Factors'!$B$3:$B$89,'Current Income Tax Expense'!K165,'Allocation Factors'!$P$3:$P$89)</f>
        <v>0</v>
      </c>
      <c r="M165" s="30">
        <f t="shared" si="95"/>
        <v>0</v>
      </c>
      <c r="N165" s="30">
        <f t="shared" si="96"/>
        <v>0</v>
      </c>
      <c r="O165" s="30">
        <f t="shared" si="97"/>
        <v>0</v>
      </c>
      <c r="P165" s="30">
        <f t="shared" si="98"/>
        <v>0</v>
      </c>
    </row>
    <row r="166" spans="1:16">
      <c r="A166" s="28" t="s">
        <v>292</v>
      </c>
      <c r="B166" s="29">
        <v>287312</v>
      </c>
      <c r="C166" s="352" t="s">
        <v>25</v>
      </c>
      <c r="D166" s="29" t="s">
        <v>8</v>
      </c>
      <c r="E166" s="29" t="s">
        <v>333</v>
      </c>
      <c r="F166" s="30">
        <v>-468320</v>
      </c>
      <c r="G166" s="30">
        <f t="shared" si="92"/>
        <v>-468320</v>
      </c>
      <c r="H166" s="30">
        <f t="shared" si="93"/>
        <v>0</v>
      </c>
      <c r="I166" s="30">
        <v>0</v>
      </c>
      <c r="J166" s="30">
        <f t="shared" si="94"/>
        <v>0</v>
      </c>
      <c r="K166" s="276" t="s">
        <v>331</v>
      </c>
      <c r="L166" s="270">
        <f>SUMIF('Allocation Factors'!$B$3:$B$89,'Current Income Tax Expense'!K166,'Allocation Factors'!$P$3:$P$89)</f>
        <v>0</v>
      </c>
      <c r="M166" s="30">
        <f t="shared" si="95"/>
        <v>0</v>
      </c>
      <c r="N166" s="30">
        <f t="shared" si="96"/>
        <v>0</v>
      </c>
      <c r="O166" s="30">
        <f t="shared" si="97"/>
        <v>0</v>
      </c>
      <c r="P166" s="30">
        <f t="shared" si="98"/>
        <v>0</v>
      </c>
    </row>
    <row r="167" spans="1:16">
      <c r="A167" s="28" t="s">
        <v>513</v>
      </c>
      <c r="B167" s="29">
        <v>287610</v>
      </c>
      <c r="C167" s="273" t="s">
        <v>55</v>
      </c>
      <c r="D167" s="29" t="s">
        <v>8</v>
      </c>
      <c r="E167" s="29" t="s">
        <v>333</v>
      </c>
      <c r="F167" s="30">
        <v>8968470</v>
      </c>
      <c r="G167" s="30">
        <f t="shared" si="92"/>
        <v>8968470</v>
      </c>
      <c r="H167" s="30">
        <f t="shared" si="93"/>
        <v>0</v>
      </c>
      <c r="I167" s="30">
        <v>0</v>
      </c>
      <c r="J167" s="30">
        <f t="shared" si="94"/>
        <v>0</v>
      </c>
      <c r="K167" s="29" t="s">
        <v>331</v>
      </c>
      <c r="L167" s="270">
        <f>SUMIF('Allocation Factors'!$B$3:$B$89,'Current Income Tax Expense'!K167,'Allocation Factors'!$P$3:$P$89)</f>
        <v>0</v>
      </c>
      <c r="M167" s="30">
        <f t="shared" si="95"/>
        <v>0</v>
      </c>
      <c r="N167" s="30">
        <f t="shared" si="96"/>
        <v>0</v>
      </c>
      <c r="O167" s="30">
        <f t="shared" si="97"/>
        <v>0</v>
      </c>
      <c r="P167" s="30">
        <f t="shared" si="98"/>
        <v>0</v>
      </c>
    </row>
    <row r="168" spans="1:16">
      <c r="A168" s="28" t="s">
        <v>299</v>
      </c>
      <c r="B168" s="29">
        <v>287610</v>
      </c>
      <c r="C168" s="273">
        <v>105.45</v>
      </c>
      <c r="D168" s="29" t="s">
        <v>8</v>
      </c>
      <c r="E168" s="29" t="s">
        <v>333</v>
      </c>
      <c r="F168" s="30">
        <v>35266001</v>
      </c>
      <c r="G168" s="30">
        <f t="shared" si="92"/>
        <v>35266001</v>
      </c>
      <c r="H168" s="30">
        <f t="shared" si="93"/>
        <v>0</v>
      </c>
      <c r="I168" s="30">
        <v>0</v>
      </c>
      <c r="J168" s="30">
        <f t="shared" si="94"/>
        <v>0</v>
      </c>
      <c r="K168" s="29" t="s">
        <v>331</v>
      </c>
      <c r="L168" s="270">
        <f>SUMIF('Allocation Factors'!$B$3:$B$89,'Current Income Tax Expense'!K168,'Allocation Factors'!$P$3:$P$89)</f>
        <v>0</v>
      </c>
      <c r="M168" s="30">
        <f t="shared" si="95"/>
        <v>0</v>
      </c>
      <c r="N168" s="30">
        <f t="shared" si="96"/>
        <v>0</v>
      </c>
      <c r="O168" s="30">
        <f t="shared" si="97"/>
        <v>0</v>
      </c>
      <c r="P168" s="30">
        <f t="shared" si="98"/>
        <v>0</v>
      </c>
    </row>
    <row r="169" spans="1:16">
      <c r="A169" s="28" t="s">
        <v>514</v>
      </c>
      <c r="B169" s="29">
        <v>287605</v>
      </c>
      <c r="C169" s="273">
        <v>105.47</v>
      </c>
      <c r="D169" s="29" t="s">
        <v>8</v>
      </c>
      <c r="E169" s="29" t="s">
        <v>9</v>
      </c>
      <c r="F169" s="30">
        <v>-1578285</v>
      </c>
      <c r="G169" s="30">
        <f t="shared" si="92"/>
        <v>-1578285</v>
      </c>
      <c r="H169" s="30">
        <f t="shared" si="93"/>
        <v>-1578285</v>
      </c>
      <c r="I169" s="30">
        <v>0</v>
      </c>
      <c r="J169" s="30">
        <f t="shared" si="94"/>
        <v>-1578285</v>
      </c>
      <c r="K169" s="29" t="s">
        <v>49</v>
      </c>
      <c r="L169" s="270">
        <f>SUMIF('Allocation Factors'!$B$3:$B$89,'Current Income Tax Expense'!K169,'Allocation Factors'!$P$3:$P$89)</f>
        <v>6.7017620954721469E-2</v>
      </c>
      <c r="M169" s="30">
        <f t="shared" si="95"/>
        <v>-105773</v>
      </c>
      <c r="N169" s="30">
        <f t="shared" si="96"/>
        <v>0</v>
      </c>
      <c r="O169" s="30">
        <f t="shared" si="97"/>
        <v>-105773</v>
      </c>
      <c r="P169" s="30">
        <f t="shared" si="98"/>
        <v>-105773</v>
      </c>
    </row>
    <row r="170" spans="1:16">
      <c r="A170" s="44" t="s">
        <v>267</v>
      </c>
      <c r="B170" s="29">
        <v>287771</v>
      </c>
      <c r="C170" s="273">
        <v>110.205</v>
      </c>
      <c r="D170" s="29" t="s">
        <v>8</v>
      </c>
      <c r="E170" s="29" t="s">
        <v>9</v>
      </c>
      <c r="F170" s="30">
        <v>-31531</v>
      </c>
      <c r="G170" s="30">
        <f t="shared" si="92"/>
        <v>-31531</v>
      </c>
      <c r="H170" s="30">
        <f t="shared" si="93"/>
        <v>-31531</v>
      </c>
      <c r="I170" s="30">
        <v>0</v>
      </c>
      <c r="J170" s="30">
        <f t="shared" si="94"/>
        <v>-31531</v>
      </c>
      <c r="K170" s="269" t="s">
        <v>119</v>
      </c>
      <c r="L170" s="270">
        <f>SUMIF('Allocation Factors'!$B$3:$B$89,'Current Income Tax Expense'!K170,'Allocation Factors'!$P$3:$P$89)</f>
        <v>0</v>
      </c>
      <c r="M170" s="30">
        <f t="shared" si="95"/>
        <v>0</v>
      </c>
      <c r="N170" s="30">
        <f t="shared" si="96"/>
        <v>0</v>
      </c>
      <c r="O170" s="30">
        <f t="shared" si="97"/>
        <v>0</v>
      </c>
      <c r="P170" s="30">
        <f t="shared" si="98"/>
        <v>0</v>
      </c>
    </row>
    <row r="171" spans="1:16">
      <c r="A171" s="28" t="s">
        <v>515</v>
      </c>
      <c r="B171" s="29">
        <v>287770</v>
      </c>
      <c r="C171" s="273">
        <v>120.205</v>
      </c>
      <c r="D171" s="29" t="s">
        <v>8</v>
      </c>
      <c r="E171" s="29" t="s">
        <v>333</v>
      </c>
      <c r="F171" s="30">
        <v>889840</v>
      </c>
      <c r="G171" s="30">
        <f t="shared" si="92"/>
        <v>889840</v>
      </c>
      <c r="H171" s="30">
        <f t="shared" si="93"/>
        <v>0</v>
      </c>
      <c r="I171" s="30">
        <v>0</v>
      </c>
      <c r="J171" s="30">
        <f t="shared" si="94"/>
        <v>0</v>
      </c>
      <c r="K171" s="29" t="s">
        <v>331</v>
      </c>
      <c r="L171" s="270">
        <f>SUMIF('Allocation Factors'!$B$3:$B$89,'Current Income Tax Expense'!K171,'Allocation Factors'!$P$3:$P$89)</f>
        <v>0</v>
      </c>
      <c r="M171" s="30">
        <f t="shared" si="95"/>
        <v>0</v>
      </c>
      <c r="N171" s="30">
        <f t="shared" si="96"/>
        <v>0</v>
      </c>
      <c r="O171" s="30">
        <f t="shared" si="97"/>
        <v>0</v>
      </c>
      <c r="P171" s="30">
        <f t="shared" si="98"/>
        <v>0</v>
      </c>
    </row>
    <row r="172" spans="1:16">
      <c r="A172" s="90" t="s">
        <v>748</v>
      </c>
      <c r="B172" s="29">
        <v>287224</v>
      </c>
      <c r="C172" s="273">
        <v>145.03</v>
      </c>
      <c r="D172" s="29" t="s">
        <v>8</v>
      </c>
      <c r="E172" s="276" t="s">
        <v>333</v>
      </c>
      <c r="F172" s="30">
        <v>956768</v>
      </c>
      <c r="G172" s="30">
        <f t="shared" si="92"/>
        <v>956768</v>
      </c>
      <c r="H172" s="30">
        <f t="shared" si="93"/>
        <v>0</v>
      </c>
      <c r="I172" s="30">
        <v>0</v>
      </c>
      <c r="J172" s="30">
        <f t="shared" si="94"/>
        <v>0</v>
      </c>
      <c r="K172" s="276" t="s">
        <v>331</v>
      </c>
      <c r="L172" s="270">
        <f>SUMIF('Allocation Factors'!$B$3:$B$89,'Current Income Tax Expense'!K172,'Allocation Factors'!$P$3:$P$89)</f>
        <v>0</v>
      </c>
      <c r="M172" s="30">
        <f t="shared" si="95"/>
        <v>0</v>
      </c>
      <c r="N172" s="30">
        <f t="shared" si="96"/>
        <v>0</v>
      </c>
      <c r="O172" s="30">
        <f t="shared" si="97"/>
        <v>0</v>
      </c>
      <c r="P172" s="30">
        <f t="shared" si="98"/>
        <v>0</v>
      </c>
    </row>
    <row r="173" spans="1:16">
      <c r="A173" s="28" t="s">
        <v>56</v>
      </c>
      <c r="B173" s="29">
        <v>287482</v>
      </c>
      <c r="C173" s="273">
        <v>205.02500000000001</v>
      </c>
      <c r="D173" s="29" t="s">
        <v>8</v>
      </c>
      <c r="E173" s="29" t="s">
        <v>9</v>
      </c>
      <c r="F173" s="30">
        <v>-1586957</v>
      </c>
      <c r="G173" s="30">
        <f t="shared" si="92"/>
        <v>-1586957</v>
      </c>
      <c r="H173" s="30">
        <f t="shared" si="93"/>
        <v>-1586957</v>
      </c>
      <c r="I173" s="30">
        <v>0</v>
      </c>
      <c r="J173" s="30">
        <f t="shared" si="94"/>
        <v>-1586957</v>
      </c>
      <c r="K173" s="276" t="s">
        <v>170</v>
      </c>
      <c r="L173" s="270">
        <f>SUMIF('Allocation Factors'!$B$3:$B$89,'Current Income Tax Expense'!K173,'Allocation Factors'!$P$3:$P$89)</f>
        <v>0.22591574269314921</v>
      </c>
      <c r="M173" s="30">
        <f t="shared" si="95"/>
        <v>-358519</v>
      </c>
      <c r="N173" s="30">
        <f t="shared" si="96"/>
        <v>0</v>
      </c>
      <c r="O173" s="30">
        <f t="shared" si="97"/>
        <v>-358519</v>
      </c>
      <c r="P173" s="30">
        <f t="shared" si="98"/>
        <v>-358519</v>
      </c>
    </row>
    <row r="174" spans="1:16">
      <c r="A174" s="28" t="s">
        <v>516</v>
      </c>
      <c r="B174" s="29">
        <v>287415</v>
      </c>
      <c r="C174" s="273">
        <v>205.2</v>
      </c>
      <c r="D174" s="29" t="s">
        <v>8</v>
      </c>
      <c r="E174" s="29" t="s">
        <v>9</v>
      </c>
      <c r="F174" s="30">
        <v>-1548074</v>
      </c>
      <c r="G174" s="30">
        <f t="shared" si="92"/>
        <v>-1548074</v>
      </c>
      <c r="H174" s="30">
        <f t="shared" si="93"/>
        <v>-1548074</v>
      </c>
      <c r="I174" s="30">
        <v>0</v>
      </c>
      <c r="J174" s="30">
        <f t="shared" si="94"/>
        <v>-1548074</v>
      </c>
      <c r="K174" s="276" t="s">
        <v>21</v>
      </c>
      <c r="L174" s="270">
        <f>SUMIF('Allocation Factors'!$B$3:$B$89,'Current Income Tax Expense'!K174,'Allocation Factors'!$P$3:$P$89)</f>
        <v>6.4409240866138473E-2</v>
      </c>
      <c r="M174" s="30">
        <f t="shared" si="95"/>
        <v>-99710</v>
      </c>
      <c r="N174" s="30">
        <f t="shared" si="96"/>
        <v>0</v>
      </c>
      <c r="O174" s="30">
        <f t="shared" si="97"/>
        <v>-99710</v>
      </c>
      <c r="P174" s="30">
        <f t="shared" si="98"/>
        <v>-99710</v>
      </c>
    </row>
    <row r="175" spans="1:16">
      <c r="A175" s="90" t="s">
        <v>377</v>
      </c>
      <c r="B175" s="29">
        <v>287938</v>
      </c>
      <c r="C175" s="273">
        <v>205.20500000000001</v>
      </c>
      <c r="D175" s="29" t="s">
        <v>8</v>
      </c>
      <c r="E175" s="29" t="s">
        <v>9</v>
      </c>
      <c r="F175" s="30">
        <v>-128843</v>
      </c>
      <c r="G175" s="30">
        <f t="shared" si="92"/>
        <v>-128843</v>
      </c>
      <c r="H175" s="30">
        <f t="shared" si="93"/>
        <v>-128843</v>
      </c>
      <c r="I175" s="30">
        <v>0</v>
      </c>
      <c r="J175" s="30">
        <f t="shared" si="94"/>
        <v>-128843</v>
      </c>
      <c r="K175" s="276" t="s">
        <v>170</v>
      </c>
      <c r="L175" s="270">
        <f>SUMIF('Allocation Factors'!$B$3:$B$89,'Current Income Tax Expense'!K175,'Allocation Factors'!$P$3:$P$89)</f>
        <v>0.22591574269314921</v>
      </c>
      <c r="M175" s="30">
        <f t="shared" si="95"/>
        <v>-29108</v>
      </c>
      <c r="N175" s="30">
        <f t="shared" si="96"/>
        <v>0</v>
      </c>
      <c r="O175" s="30">
        <f t="shared" si="97"/>
        <v>-29108</v>
      </c>
      <c r="P175" s="30">
        <f t="shared" ref="P175" si="99">O175</f>
        <v>-29108</v>
      </c>
    </row>
    <row r="176" spans="1:16">
      <c r="A176" s="28" t="s">
        <v>57</v>
      </c>
      <c r="B176" s="29">
        <v>287723</v>
      </c>
      <c r="C176" s="273">
        <v>205.411</v>
      </c>
      <c r="D176" s="29" t="s">
        <v>8</v>
      </c>
      <c r="E176" s="29" t="s">
        <v>9</v>
      </c>
      <c r="F176" s="30">
        <v>5263684</v>
      </c>
      <c r="G176" s="30">
        <f t="shared" si="92"/>
        <v>5263684</v>
      </c>
      <c r="H176" s="30">
        <f t="shared" si="93"/>
        <v>5263684</v>
      </c>
      <c r="I176" s="30">
        <v>0</v>
      </c>
      <c r="J176" s="30">
        <f t="shared" si="94"/>
        <v>5263684</v>
      </c>
      <c r="K176" s="276" t="s">
        <v>170</v>
      </c>
      <c r="L176" s="270">
        <f>SUMIF('Allocation Factors'!$B$3:$B$89,'Current Income Tax Expense'!K176,'Allocation Factors'!$P$3:$P$89)</f>
        <v>0.22591574269314921</v>
      </c>
      <c r="M176" s="30">
        <f t="shared" si="95"/>
        <v>1189149</v>
      </c>
      <c r="N176" s="30">
        <f t="shared" si="96"/>
        <v>0</v>
      </c>
      <c r="O176" s="30">
        <f t="shared" si="97"/>
        <v>1189149</v>
      </c>
      <c r="P176" s="30">
        <f t="shared" si="98"/>
        <v>1189149</v>
      </c>
    </row>
    <row r="177" spans="1:16">
      <c r="A177" s="28" t="s">
        <v>517</v>
      </c>
      <c r="B177" s="29">
        <v>287662</v>
      </c>
      <c r="C177" s="273">
        <v>210.1</v>
      </c>
      <c r="D177" s="29" t="s">
        <v>8</v>
      </c>
      <c r="E177" s="29" t="s">
        <v>9</v>
      </c>
      <c r="F177" s="30">
        <v>156272</v>
      </c>
      <c r="G177" s="30">
        <f t="shared" si="92"/>
        <v>156272</v>
      </c>
      <c r="H177" s="30">
        <f t="shared" si="93"/>
        <v>156272</v>
      </c>
      <c r="I177" s="30">
        <v>0</v>
      </c>
      <c r="J177" s="30">
        <f t="shared" si="94"/>
        <v>156272</v>
      </c>
      <c r="K177" s="276" t="s">
        <v>30</v>
      </c>
      <c r="L177" s="270">
        <f>SUMIF('Allocation Factors'!$B$3:$B$89,'Current Income Tax Expense'!K177,'Allocation Factors'!$P$3:$P$89)</f>
        <v>0</v>
      </c>
      <c r="M177" s="30">
        <f t="shared" si="95"/>
        <v>0</v>
      </c>
      <c r="N177" s="30">
        <f t="shared" si="96"/>
        <v>0</v>
      </c>
      <c r="O177" s="30">
        <f t="shared" si="97"/>
        <v>0</v>
      </c>
      <c r="P177" s="30">
        <f t="shared" si="98"/>
        <v>0</v>
      </c>
    </row>
    <row r="178" spans="1:16">
      <c r="A178" s="28" t="s">
        <v>518</v>
      </c>
      <c r="B178" s="29">
        <v>287664</v>
      </c>
      <c r="C178" s="273">
        <v>210.12</v>
      </c>
      <c r="D178" s="29" t="s">
        <v>8</v>
      </c>
      <c r="E178" s="29" t="s">
        <v>9</v>
      </c>
      <c r="F178" s="30">
        <v>71069</v>
      </c>
      <c r="G178" s="30">
        <f t="shared" si="92"/>
        <v>71069</v>
      </c>
      <c r="H178" s="30">
        <f t="shared" si="93"/>
        <v>71069</v>
      </c>
      <c r="I178" s="30">
        <v>0</v>
      </c>
      <c r="J178" s="30">
        <f t="shared" si="94"/>
        <v>71069</v>
      </c>
      <c r="K178" s="276" t="s">
        <v>28</v>
      </c>
      <c r="L178" s="270">
        <f>SUMIF('Allocation Factors'!$B$3:$B$89,'Current Income Tax Expense'!K178,'Allocation Factors'!$P$3:$P$89)</f>
        <v>0</v>
      </c>
      <c r="M178" s="30">
        <f t="shared" si="95"/>
        <v>0</v>
      </c>
      <c r="N178" s="30">
        <f t="shared" si="96"/>
        <v>0</v>
      </c>
      <c r="O178" s="30">
        <f t="shared" si="97"/>
        <v>0</v>
      </c>
      <c r="P178" s="30">
        <f t="shared" si="98"/>
        <v>0</v>
      </c>
    </row>
    <row r="179" spans="1:16">
      <c r="A179" s="28" t="s">
        <v>519</v>
      </c>
      <c r="B179" s="29">
        <v>287665</v>
      </c>
      <c r="C179" s="273">
        <v>210.13</v>
      </c>
      <c r="D179" s="29" t="s">
        <v>8</v>
      </c>
      <c r="E179" s="29" t="s">
        <v>9</v>
      </c>
      <c r="F179" s="30">
        <v>-40121</v>
      </c>
      <c r="G179" s="30">
        <f t="shared" si="92"/>
        <v>-40121</v>
      </c>
      <c r="H179" s="30">
        <f t="shared" si="93"/>
        <v>-40121</v>
      </c>
      <c r="I179" s="30">
        <v>0</v>
      </c>
      <c r="J179" s="30">
        <f t="shared" si="94"/>
        <v>-40121</v>
      </c>
      <c r="K179" s="269" t="s">
        <v>29</v>
      </c>
      <c r="L179" s="270">
        <f>SUMIF('Allocation Factors'!$B$3:$B$89,'Current Income Tax Expense'!K179,'Allocation Factors'!$P$3:$P$89)</f>
        <v>0</v>
      </c>
      <c r="M179" s="30">
        <f t="shared" si="95"/>
        <v>0</v>
      </c>
      <c r="N179" s="30">
        <f t="shared" si="96"/>
        <v>0</v>
      </c>
      <c r="O179" s="30">
        <f t="shared" si="97"/>
        <v>0</v>
      </c>
      <c r="P179" s="30">
        <f t="shared" ref="P179:P199" si="100">O179</f>
        <v>0</v>
      </c>
    </row>
    <row r="180" spans="1:16">
      <c r="A180" s="28" t="s">
        <v>520</v>
      </c>
      <c r="B180" s="29">
        <v>287669</v>
      </c>
      <c r="C180" s="273">
        <v>210.18</v>
      </c>
      <c r="D180" s="29" t="s">
        <v>8</v>
      </c>
      <c r="E180" s="29" t="s">
        <v>9</v>
      </c>
      <c r="F180" s="30">
        <v>820667</v>
      </c>
      <c r="G180" s="30">
        <f t="shared" si="92"/>
        <v>820667</v>
      </c>
      <c r="H180" s="30">
        <f t="shared" si="93"/>
        <v>820667</v>
      </c>
      <c r="I180" s="30">
        <v>0</v>
      </c>
      <c r="J180" s="30">
        <f t="shared" si="94"/>
        <v>820667</v>
      </c>
      <c r="K180" s="276" t="s">
        <v>10</v>
      </c>
      <c r="L180" s="270">
        <f>SUMIF('Allocation Factors'!$B$3:$B$89,'Current Income Tax Expense'!K180,'Allocation Factors'!$P$3:$P$89)</f>
        <v>6.7017620954721469E-2</v>
      </c>
      <c r="M180" s="30">
        <f t="shared" si="95"/>
        <v>54999</v>
      </c>
      <c r="N180" s="30">
        <f t="shared" si="96"/>
        <v>0</v>
      </c>
      <c r="O180" s="30">
        <f t="shared" si="97"/>
        <v>54999</v>
      </c>
      <c r="P180" s="30">
        <f t="shared" si="100"/>
        <v>54999</v>
      </c>
    </row>
    <row r="181" spans="1:16">
      <c r="A181" s="28" t="s">
        <v>345</v>
      </c>
      <c r="B181" s="29">
        <v>287907</v>
      </c>
      <c r="C181" s="273">
        <v>210.185</v>
      </c>
      <c r="D181" s="29" t="s">
        <v>8</v>
      </c>
      <c r="E181" s="29" t="s">
        <v>9</v>
      </c>
      <c r="F181" s="30">
        <v>-12654</v>
      </c>
      <c r="G181" s="30">
        <f t="shared" si="92"/>
        <v>-12654</v>
      </c>
      <c r="H181" s="30">
        <f t="shared" si="93"/>
        <v>-12654</v>
      </c>
      <c r="I181" s="30">
        <v>0</v>
      </c>
      <c r="J181" s="30">
        <f t="shared" si="94"/>
        <v>-12654</v>
      </c>
      <c r="K181" s="276" t="s">
        <v>19</v>
      </c>
      <c r="L181" s="270">
        <f>SUMIF('Allocation Factors'!$B$3:$B$89,'Current Income Tax Expense'!K181,'Allocation Factors'!$P$3:$P$89)</f>
        <v>7.8111041399714837E-2</v>
      </c>
      <c r="M181" s="30">
        <f t="shared" si="95"/>
        <v>-988</v>
      </c>
      <c r="N181" s="30">
        <f t="shared" si="96"/>
        <v>0</v>
      </c>
      <c r="O181" s="30">
        <f t="shared" si="97"/>
        <v>-988</v>
      </c>
      <c r="P181" s="30">
        <f t="shared" si="100"/>
        <v>-988</v>
      </c>
    </row>
    <row r="182" spans="1:16">
      <c r="A182" s="90" t="s">
        <v>522</v>
      </c>
      <c r="B182" s="29">
        <v>286903</v>
      </c>
      <c r="C182" s="273">
        <v>320.27100000000002</v>
      </c>
      <c r="D182" s="29" t="s">
        <v>8</v>
      </c>
      <c r="E182" s="276" t="s">
        <v>333</v>
      </c>
      <c r="F182" s="30">
        <v>-1640983</v>
      </c>
      <c r="G182" s="30">
        <f t="shared" si="92"/>
        <v>-1640983</v>
      </c>
      <c r="H182" s="30">
        <f t="shared" si="93"/>
        <v>0</v>
      </c>
      <c r="I182" s="30">
        <v>0</v>
      </c>
      <c r="J182" s="30">
        <f t="shared" si="94"/>
        <v>0</v>
      </c>
      <c r="K182" s="276" t="s">
        <v>331</v>
      </c>
      <c r="L182" s="270">
        <f>SUMIF('Allocation Factors'!$B$3:$B$89,'Current Income Tax Expense'!K182,'Allocation Factors'!$P$3:$P$89)</f>
        <v>0</v>
      </c>
      <c r="M182" s="30">
        <f t="shared" si="95"/>
        <v>0</v>
      </c>
      <c r="N182" s="30">
        <f t="shared" si="96"/>
        <v>0</v>
      </c>
      <c r="O182" s="30">
        <f t="shared" si="97"/>
        <v>0</v>
      </c>
      <c r="P182" s="30">
        <f t="shared" si="100"/>
        <v>0</v>
      </c>
    </row>
    <row r="183" spans="1:16">
      <c r="A183" s="90" t="s">
        <v>395</v>
      </c>
      <c r="B183" s="29">
        <v>287198</v>
      </c>
      <c r="C183" s="273">
        <v>320.279</v>
      </c>
      <c r="D183" s="29" t="s">
        <v>8</v>
      </c>
      <c r="E183" s="276" t="s">
        <v>333</v>
      </c>
      <c r="F183" s="30">
        <v>10971479</v>
      </c>
      <c r="G183" s="30">
        <f t="shared" ref="G183:G214" si="101">+F183</f>
        <v>10971479</v>
      </c>
      <c r="H183" s="30">
        <f t="shared" ref="H183:H214" si="102">IF(E183="U",G183,0)</f>
        <v>0</v>
      </c>
      <c r="I183" s="30">
        <v>0</v>
      </c>
      <c r="J183" s="30">
        <f t="shared" ref="J183:J219" si="103">SUM(H183:I183)</f>
        <v>0</v>
      </c>
      <c r="K183" s="276" t="s">
        <v>331</v>
      </c>
      <c r="L183" s="270">
        <f>SUMIF('Allocation Factors'!$B$3:$B$89,'Current Income Tax Expense'!K183,'Allocation Factors'!$P$3:$P$89)</f>
        <v>0</v>
      </c>
      <c r="M183" s="30">
        <f t="shared" si="95"/>
        <v>0</v>
      </c>
      <c r="N183" s="30">
        <f t="shared" ref="N183:N219" si="104">ROUND(I183*L183,0)</f>
        <v>0</v>
      </c>
      <c r="O183" s="30">
        <f t="shared" ref="O183:O219" si="105">SUM(M183:N183)</f>
        <v>0</v>
      </c>
      <c r="P183" s="30">
        <f t="shared" ref="P183" si="106">O183</f>
        <v>0</v>
      </c>
    </row>
    <row r="184" spans="1:16">
      <c r="A184" s="28" t="s">
        <v>320</v>
      </c>
      <c r="B184" s="29">
        <v>287972</v>
      </c>
      <c r="C184" s="273">
        <v>320.28500000000003</v>
      </c>
      <c r="D184" s="29" t="s">
        <v>8</v>
      </c>
      <c r="E184" s="276" t="s">
        <v>333</v>
      </c>
      <c r="F184" s="30">
        <v>427698</v>
      </c>
      <c r="G184" s="30">
        <f t="shared" si="101"/>
        <v>427698</v>
      </c>
      <c r="H184" s="30">
        <f t="shared" si="102"/>
        <v>0</v>
      </c>
      <c r="I184" s="30">
        <v>0</v>
      </c>
      <c r="J184" s="30">
        <f t="shared" si="103"/>
        <v>0</v>
      </c>
      <c r="K184" s="276" t="s">
        <v>331</v>
      </c>
      <c r="L184" s="270">
        <f>SUMIF('Allocation Factors'!$B$3:$B$89,'Current Income Tax Expense'!K184,'Allocation Factors'!$P$3:$P$89)</f>
        <v>0</v>
      </c>
      <c r="M184" s="30">
        <f t="shared" si="95"/>
        <v>0</v>
      </c>
      <c r="N184" s="30">
        <f t="shared" si="104"/>
        <v>0</v>
      </c>
      <c r="O184" s="30">
        <f t="shared" si="105"/>
        <v>0</v>
      </c>
      <c r="P184" s="30">
        <f t="shared" si="100"/>
        <v>0</v>
      </c>
    </row>
    <row r="185" spans="1:16">
      <c r="A185" s="28" t="s">
        <v>523</v>
      </c>
      <c r="B185" s="29">
        <v>287338</v>
      </c>
      <c r="C185" s="273">
        <v>415.11</v>
      </c>
      <c r="D185" s="29" t="s">
        <v>8</v>
      </c>
      <c r="E185" s="29" t="s">
        <v>9</v>
      </c>
      <c r="F185" s="30">
        <v>1519877</v>
      </c>
      <c r="G185" s="30">
        <f t="shared" si="101"/>
        <v>1519877</v>
      </c>
      <c r="H185" s="30">
        <f t="shared" si="102"/>
        <v>1519877</v>
      </c>
      <c r="I185" s="30">
        <v>0</v>
      </c>
      <c r="J185" s="30">
        <f t="shared" si="103"/>
        <v>1519877</v>
      </c>
      <c r="K185" s="276" t="s">
        <v>19</v>
      </c>
      <c r="L185" s="270">
        <f>SUMIF('Allocation Factors'!$B$3:$B$89,'Current Income Tax Expense'!K185,'Allocation Factors'!$P$3:$P$89)</f>
        <v>7.8111041399714837E-2</v>
      </c>
      <c r="M185" s="30">
        <f t="shared" si="95"/>
        <v>118719</v>
      </c>
      <c r="N185" s="30">
        <f t="shared" si="104"/>
        <v>0</v>
      </c>
      <c r="O185" s="30">
        <f t="shared" si="105"/>
        <v>118719</v>
      </c>
      <c r="P185" s="30">
        <f t="shared" si="100"/>
        <v>118719</v>
      </c>
    </row>
    <row r="186" spans="1:16">
      <c r="A186" s="90" t="s">
        <v>415</v>
      </c>
      <c r="B186" s="29">
        <v>286910</v>
      </c>
      <c r="C186" s="273">
        <v>415.2</v>
      </c>
      <c r="D186" s="29" t="s">
        <v>8</v>
      </c>
      <c r="E186" s="29" t="s">
        <v>9</v>
      </c>
      <c r="F186" s="30">
        <v>-389879</v>
      </c>
      <c r="G186" s="30">
        <f t="shared" si="101"/>
        <v>-389879</v>
      </c>
      <c r="H186" s="30">
        <f t="shared" si="102"/>
        <v>-389879</v>
      </c>
      <c r="I186" s="30">
        <v>0</v>
      </c>
      <c r="J186" s="30">
        <f t="shared" si="103"/>
        <v>-389879</v>
      </c>
      <c r="K186" s="276" t="s">
        <v>15</v>
      </c>
      <c r="L186" s="270">
        <f>SUMIF('Allocation Factors'!$B$3:$B$89,'Current Income Tax Expense'!K186,'Allocation Factors'!$P$3:$P$89)</f>
        <v>0</v>
      </c>
      <c r="M186" s="30">
        <f t="shared" ref="M186" si="107">ROUND(H186*L186,0)</f>
        <v>0</v>
      </c>
      <c r="N186" s="30">
        <f t="shared" ref="N186" si="108">ROUND(I186*L186,0)</f>
        <v>0</v>
      </c>
      <c r="O186" s="30">
        <f t="shared" ref="O186" si="109">SUM(M186:N186)</f>
        <v>0</v>
      </c>
      <c r="P186" s="30">
        <f t="shared" ref="P186" si="110">O186</f>
        <v>0</v>
      </c>
    </row>
    <row r="187" spans="1:16">
      <c r="A187" s="28" t="s">
        <v>524</v>
      </c>
      <c r="B187" s="29">
        <v>287634</v>
      </c>
      <c r="C187" s="273">
        <v>415.3</v>
      </c>
      <c r="D187" s="29">
        <v>4.1100000000000003</v>
      </c>
      <c r="E187" s="29" t="s">
        <v>9</v>
      </c>
      <c r="F187" s="30">
        <v>-1875559</v>
      </c>
      <c r="G187" s="30">
        <f t="shared" si="101"/>
        <v>-1875559</v>
      </c>
      <c r="H187" s="30">
        <f t="shared" si="102"/>
        <v>-1875559</v>
      </c>
      <c r="I187" s="30">
        <f>-H187</f>
        <v>1875559</v>
      </c>
      <c r="J187" s="30">
        <f t="shared" si="103"/>
        <v>0</v>
      </c>
      <c r="K187" s="29" t="s">
        <v>10</v>
      </c>
      <c r="L187" s="270">
        <f>SUMIF('Allocation Factors'!$B$3:$B$89,'Current Income Tax Expense'!K187,'Allocation Factors'!$P$3:$P$89)</f>
        <v>6.7017620954721469E-2</v>
      </c>
      <c r="M187" s="30">
        <f t="shared" si="95"/>
        <v>-125696</v>
      </c>
      <c r="N187" s="30">
        <f t="shared" si="104"/>
        <v>125696</v>
      </c>
      <c r="O187" s="30">
        <f t="shared" si="105"/>
        <v>0</v>
      </c>
      <c r="P187" s="30">
        <f t="shared" si="100"/>
        <v>0</v>
      </c>
    </row>
    <row r="188" spans="1:16">
      <c r="A188" s="90" t="s">
        <v>364</v>
      </c>
      <c r="B188" s="29">
        <v>287840</v>
      </c>
      <c r="C188" s="273">
        <v>415.41</v>
      </c>
      <c r="D188" s="29" t="s">
        <v>8</v>
      </c>
      <c r="E188" s="29" t="s">
        <v>9</v>
      </c>
      <c r="F188" s="30">
        <v>1003974</v>
      </c>
      <c r="G188" s="30">
        <f t="shared" si="101"/>
        <v>1003974</v>
      </c>
      <c r="H188" s="30">
        <f t="shared" si="102"/>
        <v>1003974</v>
      </c>
      <c r="I188" s="30">
        <v>0</v>
      </c>
      <c r="J188" s="30">
        <f t="shared" si="103"/>
        <v>1003974</v>
      </c>
      <c r="K188" s="276" t="s">
        <v>119</v>
      </c>
      <c r="L188" s="270">
        <f>SUMIF('Allocation Factors'!$B$3:$B$89,'Current Income Tax Expense'!K188,'Allocation Factors'!$P$3:$P$89)</f>
        <v>0</v>
      </c>
      <c r="M188" s="30">
        <f t="shared" si="95"/>
        <v>0</v>
      </c>
      <c r="N188" s="30">
        <f t="shared" si="104"/>
        <v>0</v>
      </c>
      <c r="O188" s="30">
        <f t="shared" si="105"/>
        <v>0</v>
      </c>
      <c r="P188" s="30">
        <f t="shared" si="100"/>
        <v>0</v>
      </c>
    </row>
    <row r="189" spans="1:16">
      <c r="A189" s="90" t="s">
        <v>525</v>
      </c>
      <c r="B189" s="29">
        <v>287841</v>
      </c>
      <c r="C189" s="273">
        <v>415.411</v>
      </c>
      <c r="D189" s="29" t="s">
        <v>8</v>
      </c>
      <c r="E189" s="29" t="s">
        <v>9</v>
      </c>
      <c r="F189" s="30">
        <v>-17265</v>
      </c>
      <c r="G189" s="30">
        <f t="shared" si="101"/>
        <v>-17265</v>
      </c>
      <c r="H189" s="30">
        <f t="shared" si="102"/>
        <v>-17265</v>
      </c>
      <c r="I189" s="30">
        <v>0</v>
      </c>
      <c r="J189" s="30">
        <f t="shared" si="103"/>
        <v>-17265</v>
      </c>
      <c r="K189" s="276" t="s">
        <v>17</v>
      </c>
      <c r="L189" s="270">
        <f>SUMIF('Allocation Factors'!$B$3:$B$89,'Current Income Tax Expense'!K189,'Allocation Factors'!$P$3:$P$89)</f>
        <v>0</v>
      </c>
      <c r="M189" s="30">
        <f t="shared" si="95"/>
        <v>0</v>
      </c>
      <c r="N189" s="30">
        <f t="shared" si="104"/>
        <v>0</v>
      </c>
      <c r="O189" s="30">
        <f t="shared" si="105"/>
        <v>0</v>
      </c>
      <c r="P189" s="30">
        <f t="shared" si="100"/>
        <v>0</v>
      </c>
    </row>
    <row r="190" spans="1:16">
      <c r="A190" s="90" t="s">
        <v>526</v>
      </c>
      <c r="B190" s="29">
        <v>287842</v>
      </c>
      <c r="C190" s="273">
        <v>415.41199999999998</v>
      </c>
      <c r="D190" s="29" t="s">
        <v>8</v>
      </c>
      <c r="E190" s="29" t="s">
        <v>9</v>
      </c>
      <c r="F190" s="30">
        <v>415220</v>
      </c>
      <c r="G190" s="30">
        <f t="shared" si="101"/>
        <v>415220</v>
      </c>
      <c r="H190" s="30">
        <f t="shared" si="102"/>
        <v>415220</v>
      </c>
      <c r="I190" s="30">
        <v>0</v>
      </c>
      <c r="J190" s="30">
        <f t="shared" si="103"/>
        <v>415220</v>
      </c>
      <c r="K190" s="276" t="s">
        <v>29</v>
      </c>
      <c r="L190" s="270">
        <f>SUMIF('Allocation Factors'!$B$3:$B$89,'Current Income Tax Expense'!K190,'Allocation Factors'!$P$3:$P$89)</f>
        <v>0</v>
      </c>
      <c r="M190" s="30">
        <f t="shared" si="95"/>
        <v>0</v>
      </c>
      <c r="N190" s="30">
        <f t="shared" si="104"/>
        <v>0</v>
      </c>
      <c r="O190" s="30">
        <f t="shared" si="105"/>
        <v>0</v>
      </c>
      <c r="P190" s="30">
        <f t="shared" si="100"/>
        <v>0</v>
      </c>
    </row>
    <row r="191" spans="1:16">
      <c r="A191" s="90" t="s">
        <v>527</v>
      </c>
      <c r="B191" s="29">
        <v>287843</v>
      </c>
      <c r="C191" s="273">
        <v>415.41300000000001</v>
      </c>
      <c r="D191" s="29" t="s">
        <v>8</v>
      </c>
      <c r="E191" s="29" t="s">
        <v>9</v>
      </c>
      <c r="F191" s="30">
        <v>1619496</v>
      </c>
      <c r="G191" s="30">
        <f t="shared" si="101"/>
        <v>1619496</v>
      </c>
      <c r="H191" s="30">
        <f t="shared" si="102"/>
        <v>1619496</v>
      </c>
      <c r="I191" s="30">
        <v>0</v>
      </c>
      <c r="J191" s="30">
        <f t="shared" si="103"/>
        <v>1619496</v>
      </c>
      <c r="K191" s="276" t="s">
        <v>30</v>
      </c>
      <c r="L191" s="270">
        <f>SUMIF('Allocation Factors'!$B$3:$B$89,'Current Income Tax Expense'!K191,'Allocation Factors'!$P$3:$P$89)</f>
        <v>0</v>
      </c>
      <c r="M191" s="30">
        <f t="shared" si="95"/>
        <v>0</v>
      </c>
      <c r="N191" s="30">
        <f t="shared" si="104"/>
        <v>0</v>
      </c>
      <c r="O191" s="30">
        <f t="shared" si="105"/>
        <v>0</v>
      </c>
      <c r="P191" s="30">
        <f t="shared" si="100"/>
        <v>0</v>
      </c>
    </row>
    <row r="192" spans="1:16">
      <c r="A192" s="90" t="s">
        <v>528</v>
      </c>
      <c r="B192" s="29">
        <v>287844</v>
      </c>
      <c r="C192" s="273">
        <v>415.41399999999999</v>
      </c>
      <c r="D192" s="29" t="s">
        <v>8</v>
      </c>
      <c r="E192" s="29" t="s">
        <v>9</v>
      </c>
      <c r="F192" s="30">
        <v>7626</v>
      </c>
      <c r="G192" s="30">
        <f t="shared" si="101"/>
        <v>7626</v>
      </c>
      <c r="H192" s="30">
        <f t="shared" si="102"/>
        <v>7626</v>
      </c>
      <c r="I192" s="30">
        <v>0</v>
      </c>
      <c r="J192" s="30">
        <f t="shared" si="103"/>
        <v>7626</v>
      </c>
      <c r="K192" s="276" t="s">
        <v>28</v>
      </c>
      <c r="L192" s="270">
        <f>SUMIF('Allocation Factors'!$B$3:$B$89,'Current Income Tax Expense'!K192,'Allocation Factors'!$P$3:$P$89)</f>
        <v>0</v>
      </c>
      <c r="M192" s="30">
        <f t="shared" si="95"/>
        <v>0</v>
      </c>
      <c r="N192" s="30">
        <f t="shared" si="104"/>
        <v>0</v>
      </c>
      <c r="O192" s="30">
        <f t="shared" si="105"/>
        <v>0</v>
      </c>
      <c r="P192" s="30">
        <f t="shared" si="100"/>
        <v>0</v>
      </c>
    </row>
    <row r="193" spans="1:16">
      <c r="A193" s="90" t="s">
        <v>529</v>
      </c>
      <c r="B193" s="29">
        <v>287845</v>
      </c>
      <c r="C193" s="273">
        <v>415.41500000000002</v>
      </c>
      <c r="D193" s="29" t="s">
        <v>8</v>
      </c>
      <c r="E193" s="276" t="s">
        <v>333</v>
      </c>
      <c r="F193" s="30">
        <v>-77444</v>
      </c>
      <c r="G193" s="30">
        <f t="shared" si="101"/>
        <v>-77444</v>
      </c>
      <c r="H193" s="30">
        <f t="shared" si="102"/>
        <v>0</v>
      </c>
      <c r="I193" s="30">
        <v>0</v>
      </c>
      <c r="J193" s="30">
        <f t="shared" si="103"/>
        <v>0</v>
      </c>
      <c r="K193" s="276" t="s">
        <v>331</v>
      </c>
      <c r="L193" s="270">
        <f>SUMIF('Allocation Factors'!$B$3:$B$89,'Current Income Tax Expense'!K193,'Allocation Factors'!$P$3:$P$89)</f>
        <v>0</v>
      </c>
      <c r="M193" s="30">
        <f t="shared" si="95"/>
        <v>0</v>
      </c>
      <c r="N193" s="30">
        <f t="shared" si="104"/>
        <v>0</v>
      </c>
      <c r="O193" s="30">
        <f t="shared" si="105"/>
        <v>0</v>
      </c>
      <c r="P193" s="30">
        <f t="shared" si="100"/>
        <v>0</v>
      </c>
    </row>
    <row r="194" spans="1:16">
      <c r="A194" s="90" t="s">
        <v>530</v>
      </c>
      <c r="B194" s="29">
        <v>287851</v>
      </c>
      <c r="C194" s="273">
        <v>415.41699999999997</v>
      </c>
      <c r="D194" s="29" t="s">
        <v>8</v>
      </c>
      <c r="E194" s="29" t="s">
        <v>9</v>
      </c>
      <c r="F194" s="30">
        <v>-7419</v>
      </c>
      <c r="G194" s="30">
        <f t="shared" si="101"/>
        <v>-7419</v>
      </c>
      <c r="H194" s="30">
        <f t="shared" si="102"/>
        <v>-7419</v>
      </c>
      <c r="I194" s="30">
        <v>0</v>
      </c>
      <c r="J194" s="30">
        <f t="shared" si="103"/>
        <v>-7419</v>
      </c>
      <c r="K194" s="276" t="s">
        <v>15</v>
      </c>
      <c r="L194" s="270">
        <f>SUMIF('Allocation Factors'!$B$3:$B$89,'Current Income Tax Expense'!K194,'Allocation Factors'!$P$3:$P$89)</f>
        <v>0</v>
      </c>
      <c r="M194" s="30">
        <f t="shared" si="95"/>
        <v>0</v>
      </c>
      <c r="N194" s="30">
        <f t="shared" si="104"/>
        <v>0</v>
      </c>
      <c r="O194" s="30">
        <f t="shared" si="105"/>
        <v>0</v>
      </c>
      <c r="P194" s="30">
        <f t="shared" si="100"/>
        <v>0</v>
      </c>
    </row>
    <row r="195" spans="1:16">
      <c r="A195" s="90" t="s">
        <v>531</v>
      </c>
      <c r="B195" s="29">
        <v>287855</v>
      </c>
      <c r="C195" s="273">
        <v>415.42099999999999</v>
      </c>
      <c r="D195" s="29" t="s">
        <v>8</v>
      </c>
      <c r="E195" s="29" t="s">
        <v>9</v>
      </c>
      <c r="F195" s="30">
        <v>-33276</v>
      </c>
      <c r="G195" s="30">
        <f t="shared" si="101"/>
        <v>-33276</v>
      </c>
      <c r="H195" s="30">
        <f t="shared" si="102"/>
        <v>-33276</v>
      </c>
      <c r="I195" s="30">
        <v>0</v>
      </c>
      <c r="J195" s="30">
        <f t="shared" si="103"/>
        <v>-33276</v>
      </c>
      <c r="K195" s="276" t="s">
        <v>15</v>
      </c>
      <c r="L195" s="270">
        <f>SUMIF('Allocation Factors'!$B$3:$B$89,'Current Income Tax Expense'!K195,'Allocation Factors'!$P$3:$P$89)</f>
        <v>0</v>
      </c>
      <c r="M195" s="30">
        <f t="shared" si="95"/>
        <v>0</v>
      </c>
      <c r="N195" s="30">
        <f t="shared" si="104"/>
        <v>0</v>
      </c>
      <c r="O195" s="30">
        <f t="shared" si="105"/>
        <v>0</v>
      </c>
      <c r="P195" s="30">
        <f t="shared" si="100"/>
        <v>0</v>
      </c>
    </row>
    <row r="196" spans="1:16">
      <c r="A196" s="90" t="s">
        <v>427</v>
      </c>
      <c r="B196" s="29">
        <v>286912</v>
      </c>
      <c r="C196" s="273">
        <v>415.43099999999998</v>
      </c>
      <c r="D196" s="29" t="s">
        <v>8</v>
      </c>
      <c r="E196" s="29" t="s">
        <v>9</v>
      </c>
      <c r="F196" s="30">
        <v>-39464</v>
      </c>
      <c r="G196" s="30">
        <f t="shared" si="101"/>
        <v>-39464</v>
      </c>
      <c r="H196" s="30">
        <f t="shared" si="102"/>
        <v>-39464</v>
      </c>
      <c r="I196" s="30">
        <v>0</v>
      </c>
      <c r="J196" s="30">
        <f t="shared" si="103"/>
        <v>-39464</v>
      </c>
      <c r="K196" s="276" t="s">
        <v>15</v>
      </c>
      <c r="L196" s="270">
        <f>SUMIF('Allocation Factors'!$B$3:$B$89,'Current Income Tax Expense'!K196,'Allocation Factors'!$P$3:$P$89)</f>
        <v>0</v>
      </c>
      <c r="M196" s="30">
        <f t="shared" ref="M196:M197" si="111">ROUND(H196*L196,0)</f>
        <v>0</v>
      </c>
      <c r="N196" s="30">
        <f t="shared" ref="N196:N197" si="112">ROUND(I196*L196,0)</f>
        <v>0</v>
      </c>
      <c r="O196" s="30">
        <f t="shared" ref="O196:O197" si="113">SUM(M196:N196)</f>
        <v>0</v>
      </c>
      <c r="P196" s="30">
        <f t="shared" ref="P196:P197" si="114">O196</f>
        <v>0</v>
      </c>
    </row>
    <row r="197" spans="1:16">
      <c r="A197" s="90" t="s">
        <v>428</v>
      </c>
      <c r="B197" s="29">
        <v>286914</v>
      </c>
      <c r="C197" s="273">
        <v>415.52499999999998</v>
      </c>
      <c r="D197" s="29" t="s">
        <v>8</v>
      </c>
      <c r="E197" s="276" t="s">
        <v>333</v>
      </c>
      <c r="F197" s="30">
        <v>-412955</v>
      </c>
      <c r="G197" s="30">
        <f t="shared" si="101"/>
        <v>-412955</v>
      </c>
      <c r="H197" s="30">
        <f t="shared" si="102"/>
        <v>0</v>
      </c>
      <c r="I197" s="30">
        <v>0</v>
      </c>
      <c r="J197" s="30">
        <f t="shared" si="103"/>
        <v>0</v>
      </c>
      <c r="K197" s="276" t="s">
        <v>331</v>
      </c>
      <c r="L197" s="270">
        <f>SUMIF('Allocation Factors'!$B$3:$B$89,'Current Income Tax Expense'!K197,'Allocation Factors'!$P$3:$P$89)</f>
        <v>0</v>
      </c>
      <c r="M197" s="30">
        <f t="shared" si="111"/>
        <v>0</v>
      </c>
      <c r="N197" s="30">
        <f t="shared" si="112"/>
        <v>0</v>
      </c>
      <c r="O197" s="30">
        <f t="shared" si="113"/>
        <v>0</v>
      </c>
      <c r="P197" s="30">
        <f t="shared" si="114"/>
        <v>0</v>
      </c>
    </row>
    <row r="198" spans="1:16">
      <c r="A198" s="90" t="s">
        <v>381</v>
      </c>
      <c r="B198" s="297">
        <v>286905</v>
      </c>
      <c r="C198" s="273">
        <v>415.53</v>
      </c>
      <c r="D198" s="29" t="s">
        <v>8</v>
      </c>
      <c r="E198" s="29" t="s">
        <v>9</v>
      </c>
      <c r="F198" s="30">
        <v>-150000</v>
      </c>
      <c r="G198" s="30">
        <f t="shared" si="101"/>
        <v>-150000</v>
      </c>
      <c r="H198" s="30">
        <f t="shared" si="102"/>
        <v>-150000</v>
      </c>
      <c r="I198" s="30">
        <v>0</v>
      </c>
      <c r="J198" s="30">
        <f t="shared" si="103"/>
        <v>-150000</v>
      </c>
      <c r="K198" s="276" t="s">
        <v>29</v>
      </c>
      <c r="L198" s="270">
        <f>SUMIF('Allocation Factors'!$B$3:$B$89,'Current Income Tax Expense'!K198,'Allocation Factors'!$P$3:$P$89)</f>
        <v>0</v>
      </c>
      <c r="M198" s="30">
        <f t="shared" si="95"/>
        <v>0</v>
      </c>
      <c r="N198" s="30">
        <f t="shared" si="104"/>
        <v>0</v>
      </c>
      <c r="O198" s="30">
        <f t="shared" si="105"/>
        <v>0</v>
      </c>
      <c r="P198" s="30">
        <f t="shared" si="100"/>
        <v>0</v>
      </c>
    </row>
    <row r="199" spans="1:16">
      <c r="A199" s="90" t="s">
        <v>382</v>
      </c>
      <c r="B199" s="297">
        <v>286906</v>
      </c>
      <c r="C199" s="273">
        <v>415.53100000000001</v>
      </c>
      <c r="D199" s="29" t="s">
        <v>8</v>
      </c>
      <c r="E199" s="29" t="s">
        <v>9</v>
      </c>
      <c r="F199" s="30">
        <v>-4400000</v>
      </c>
      <c r="G199" s="30">
        <f t="shared" si="101"/>
        <v>-4400000</v>
      </c>
      <c r="H199" s="30">
        <f t="shared" si="102"/>
        <v>-4400000</v>
      </c>
      <c r="I199" s="30">
        <v>0</v>
      </c>
      <c r="J199" s="30">
        <f t="shared" si="103"/>
        <v>-4400000</v>
      </c>
      <c r="K199" s="276" t="s">
        <v>28</v>
      </c>
      <c r="L199" s="270">
        <f>SUMIF('Allocation Factors'!$B$3:$B$89,'Current Income Tax Expense'!K199,'Allocation Factors'!$P$3:$P$89)</f>
        <v>0</v>
      </c>
      <c r="M199" s="30">
        <f t="shared" si="95"/>
        <v>0</v>
      </c>
      <c r="N199" s="30">
        <f t="shared" si="104"/>
        <v>0</v>
      </c>
      <c r="O199" s="30">
        <f t="shared" si="105"/>
        <v>0</v>
      </c>
      <c r="P199" s="30">
        <f t="shared" si="100"/>
        <v>0</v>
      </c>
    </row>
    <row r="200" spans="1:16">
      <c r="A200" s="90" t="s">
        <v>383</v>
      </c>
      <c r="B200" s="297">
        <v>286907</v>
      </c>
      <c r="C200" s="273">
        <v>415.53199999999998</v>
      </c>
      <c r="D200" s="29" t="s">
        <v>8</v>
      </c>
      <c r="E200" s="29" t="s">
        <v>9</v>
      </c>
      <c r="F200" s="30">
        <v>-1599996</v>
      </c>
      <c r="G200" s="30">
        <f t="shared" si="101"/>
        <v>-1599996</v>
      </c>
      <c r="H200" s="30">
        <f t="shared" si="102"/>
        <v>-1599996</v>
      </c>
      <c r="I200" s="30">
        <v>0</v>
      </c>
      <c r="J200" s="30">
        <f t="shared" si="103"/>
        <v>-1599996</v>
      </c>
      <c r="K200" s="276" t="s">
        <v>32</v>
      </c>
      <c r="L200" s="270">
        <f>SUMIF('Allocation Factors'!$B$3:$B$89,'Current Income Tax Expense'!K200,'Allocation Factors'!$P$3:$P$89)</f>
        <v>0</v>
      </c>
      <c r="M200" s="30">
        <f t="shared" si="95"/>
        <v>0</v>
      </c>
      <c r="N200" s="30">
        <f t="shared" si="104"/>
        <v>0</v>
      </c>
      <c r="O200" s="30">
        <f t="shared" si="105"/>
        <v>0</v>
      </c>
      <c r="P200" s="30">
        <f t="shared" ref="P200:P223" si="115">O200</f>
        <v>0</v>
      </c>
    </row>
    <row r="201" spans="1:16">
      <c r="A201" s="90" t="s">
        <v>532</v>
      </c>
      <c r="B201" s="297">
        <v>287996</v>
      </c>
      <c r="C201" s="273">
        <v>415.67500000000001</v>
      </c>
      <c r="D201" s="29" t="s">
        <v>8</v>
      </c>
      <c r="E201" s="29" t="s">
        <v>9</v>
      </c>
      <c r="F201" s="30">
        <v>82531</v>
      </c>
      <c r="G201" s="30">
        <f t="shared" si="101"/>
        <v>82531</v>
      </c>
      <c r="H201" s="30">
        <f t="shared" si="102"/>
        <v>82531</v>
      </c>
      <c r="I201" s="30">
        <v>0</v>
      </c>
      <c r="J201" s="30">
        <f t="shared" si="103"/>
        <v>82531</v>
      </c>
      <c r="K201" s="276" t="s">
        <v>15</v>
      </c>
      <c r="L201" s="270">
        <f>SUMIF('Allocation Factors'!$B$3:$B$89,'Current Income Tax Expense'!K201,'Allocation Factors'!$P$3:$P$89)</f>
        <v>0</v>
      </c>
      <c r="M201" s="30">
        <f t="shared" si="95"/>
        <v>0</v>
      </c>
      <c r="N201" s="30">
        <f t="shared" si="104"/>
        <v>0</v>
      </c>
      <c r="O201" s="30">
        <f t="shared" si="105"/>
        <v>0</v>
      </c>
      <c r="P201" s="30">
        <f t="shared" si="115"/>
        <v>0</v>
      </c>
    </row>
    <row r="202" spans="1:16">
      <c r="A202" s="90" t="s">
        <v>533</v>
      </c>
      <c r="B202" s="297">
        <v>287858</v>
      </c>
      <c r="C202" s="273">
        <v>415.67599999999999</v>
      </c>
      <c r="D202" s="29" t="s">
        <v>8</v>
      </c>
      <c r="E202" s="29" t="s">
        <v>9</v>
      </c>
      <c r="F202" s="30">
        <v>28442</v>
      </c>
      <c r="G202" s="30">
        <f t="shared" si="101"/>
        <v>28442</v>
      </c>
      <c r="H202" s="30">
        <f t="shared" si="102"/>
        <v>28442</v>
      </c>
      <c r="I202" s="30">
        <v>0</v>
      </c>
      <c r="J202" s="30">
        <f t="shared" si="103"/>
        <v>28442</v>
      </c>
      <c r="K202" s="276" t="s">
        <v>15</v>
      </c>
      <c r="L202" s="270">
        <f>SUMIF('Allocation Factors'!$B$3:$B$89,'Current Income Tax Expense'!K202,'Allocation Factors'!$P$3:$P$89)</f>
        <v>0</v>
      </c>
      <c r="M202" s="30">
        <f t="shared" si="95"/>
        <v>0</v>
      </c>
      <c r="N202" s="30">
        <f t="shared" si="104"/>
        <v>0</v>
      </c>
      <c r="O202" s="30">
        <f t="shared" si="105"/>
        <v>0</v>
      </c>
      <c r="P202" s="30">
        <f t="shared" si="115"/>
        <v>0</v>
      </c>
    </row>
    <row r="203" spans="1:16">
      <c r="A203" s="90" t="s">
        <v>371</v>
      </c>
      <c r="B203" s="297">
        <v>287601</v>
      </c>
      <c r="C203" s="273">
        <v>415.67700000000002</v>
      </c>
      <c r="D203" s="29" t="s">
        <v>8</v>
      </c>
      <c r="E203" s="29" t="s">
        <v>9</v>
      </c>
      <c r="F203" s="30">
        <v>13318</v>
      </c>
      <c r="G203" s="30">
        <f t="shared" si="101"/>
        <v>13318</v>
      </c>
      <c r="H203" s="30">
        <f t="shared" si="102"/>
        <v>13318</v>
      </c>
      <c r="I203" s="30">
        <v>0</v>
      </c>
      <c r="J203" s="30">
        <f t="shared" si="103"/>
        <v>13318</v>
      </c>
      <c r="K203" s="276" t="s">
        <v>15</v>
      </c>
      <c r="L203" s="270">
        <f>SUMIF('Allocation Factors'!$B$3:$B$89,'Current Income Tax Expense'!K203,'Allocation Factors'!$P$3:$P$89)</f>
        <v>0</v>
      </c>
      <c r="M203" s="30">
        <f t="shared" si="95"/>
        <v>0</v>
      </c>
      <c r="N203" s="30">
        <f t="shared" si="104"/>
        <v>0</v>
      </c>
      <c r="O203" s="30">
        <f t="shared" si="105"/>
        <v>0</v>
      </c>
      <c r="P203" s="30">
        <f t="shared" si="115"/>
        <v>0</v>
      </c>
    </row>
    <row r="204" spans="1:16">
      <c r="A204" s="73" t="s">
        <v>534</v>
      </c>
      <c r="B204" s="297">
        <v>287640</v>
      </c>
      <c r="C204" s="273">
        <v>415.68</v>
      </c>
      <c r="D204" s="29" t="s">
        <v>8</v>
      </c>
      <c r="E204" s="29" t="s">
        <v>9</v>
      </c>
      <c r="F204" s="30">
        <v>-442893</v>
      </c>
      <c r="G204" s="30">
        <f t="shared" si="101"/>
        <v>-442893</v>
      </c>
      <c r="H204" s="30">
        <f t="shared" si="102"/>
        <v>-442893</v>
      </c>
      <c r="I204" s="30">
        <v>0</v>
      </c>
      <c r="J204" s="30">
        <f t="shared" si="103"/>
        <v>-442893</v>
      </c>
      <c r="K204" s="276" t="s">
        <v>15</v>
      </c>
      <c r="L204" s="270">
        <f>SUMIF('Allocation Factors'!$B$3:$B$89,'Current Income Tax Expense'!K204,'Allocation Factors'!$P$3:$P$89)</f>
        <v>0</v>
      </c>
      <c r="M204" s="30">
        <f t="shared" si="95"/>
        <v>0</v>
      </c>
      <c r="N204" s="30">
        <f t="shared" si="104"/>
        <v>0</v>
      </c>
      <c r="O204" s="30">
        <f t="shared" si="105"/>
        <v>0</v>
      </c>
      <c r="P204" s="30">
        <f t="shared" si="115"/>
        <v>0</v>
      </c>
    </row>
    <row r="205" spans="1:16">
      <c r="A205" s="90" t="s">
        <v>365</v>
      </c>
      <c r="B205" s="297">
        <v>287911</v>
      </c>
      <c r="C205" s="273">
        <v>415.69900000000001</v>
      </c>
      <c r="D205" s="29" t="s">
        <v>8</v>
      </c>
      <c r="E205" s="276" t="s">
        <v>333</v>
      </c>
      <c r="F205" s="30">
        <v>-1206340</v>
      </c>
      <c r="G205" s="30">
        <f t="shared" si="101"/>
        <v>-1206340</v>
      </c>
      <c r="H205" s="30">
        <f t="shared" si="102"/>
        <v>0</v>
      </c>
      <c r="I205" s="30">
        <v>0</v>
      </c>
      <c r="J205" s="30">
        <f t="shared" si="103"/>
        <v>0</v>
      </c>
      <c r="K205" s="276" t="s">
        <v>331</v>
      </c>
      <c r="L205" s="270">
        <f>SUMIF('Allocation Factors'!$B$3:$B$89,'Current Income Tax Expense'!K205,'Allocation Factors'!$P$3:$P$89)</f>
        <v>0</v>
      </c>
      <c r="M205" s="30">
        <f t="shared" si="95"/>
        <v>0</v>
      </c>
      <c r="N205" s="30">
        <f t="shared" si="104"/>
        <v>0</v>
      </c>
      <c r="O205" s="30">
        <f t="shared" si="105"/>
        <v>0</v>
      </c>
      <c r="P205" s="30">
        <f t="shared" si="115"/>
        <v>0</v>
      </c>
    </row>
    <row r="206" spans="1:16">
      <c r="A206" s="73" t="s">
        <v>535</v>
      </c>
      <c r="B206" s="297">
        <v>287570</v>
      </c>
      <c r="C206" s="273">
        <v>415.70100000000002</v>
      </c>
      <c r="D206" s="29" t="s">
        <v>8</v>
      </c>
      <c r="E206" s="29" t="s">
        <v>9</v>
      </c>
      <c r="F206" s="30">
        <v>-1555</v>
      </c>
      <c r="G206" s="30">
        <f t="shared" si="101"/>
        <v>-1555</v>
      </c>
      <c r="H206" s="30">
        <f t="shared" si="102"/>
        <v>-1555</v>
      </c>
      <c r="I206" s="30">
        <v>0</v>
      </c>
      <c r="J206" s="30">
        <f t="shared" si="103"/>
        <v>-1555</v>
      </c>
      <c r="K206" s="276" t="s">
        <v>15</v>
      </c>
      <c r="L206" s="270">
        <f>SUMIF('Allocation Factors'!$B$3:$B$89,'Current Income Tax Expense'!K206,'Allocation Factors'!$P$3:$P$89)</f>
        <v>0</v>
      </c>
      <c r="M206" s="30">
        <f t="shared" si="95"/>
        <v>0</v>
      </c>
      <c r="N206" s="30">
        <f t="shared" si="104"/>
        <v>0</v>
      </c>
      <c r="O206" s="30">
        <f t="shared" si="105"/>
        <v>0</v>
      </c>
      <c r="P206" s="30">
        <f t="shared" si="115"/>
        <v>0</v>
      </c>
    </row>
    <row r="207" spans="1:16">
      <c r="A207" s="90" t="s">
        <v>429</v>
      </c>
      <c r="B207" s="297">
        <v>286913</v>
      </c>
      <c r="C207" s="273">
        <v>415.72</v>
      </c>
      <c r="D207" s="29" t="s">
        <v>8</v>
      </c>
      <c r="E207" s="29" t="s">
        <v>9</v>
      </c>
      <c r="F207" s="30">
        <v>-160053</v>
      </c>
      <c r="G207" s="30">
        <f t="shared" si="101"/>
        <v>-160053</v>
      </c>
      <c r="H207" s="30">
        <f t="shared" si="102"/>
        <v>-160053</v>
      </c>
      <c r="I207" s="30">
        <v>0</v>
      </c>
      <c r="J207" s="30">
        <f t="shared" si="103"/>
        <v>-160053</v>
      </c>
      <c r="K207" s="276" t="s">
        <v>15</v>
      </c>
      <c r="L207" s="270">
        <f>SUMIF('Allocation Factors'!$B$3:$B$89,'Current Income Tax Expense'!K207,'Allocation Factors'!$P$3:$P$89)</f>
        <v>0</v>
      </c>
      <c r="M207" s="30">
        <f t="shared" ref="M207" si="116">ROUND(H207*L207,0)</f>
        <v>0</v>
      </c>
      <c r="N207" s="30">
        <f t="shared" ref="N207" si="117">ROUND(I207*L207,0)</f>
        <v>0</v>
      </c>
      <c r="O207" s="30">
        <f t="shared" ref="O207" si="118">SUM(M207:N207)</f>
        <v>0</v>
      </c>
      <c r="P207" s="30">
        <f t="shared" ref="P207" si="119">O207</f>
        <v>0</v>
      </c>
    </row>
    <row r="208" spans="1:16">
      <c r="A208" s="90" t="s">
        <v>352</v>
      </c>
      <c r="B208" s="297">
        <v>287970</v>
      </c>
      <c r="C208" s="273">
        <v>415.815</v>
      </c>
      <c r="D208" s="29" t="s">
        <v>8</v>
      </c>
      <c r="E208" s="29" t="s">
        <v>9</v>
      </c>
      <c r="F208" s="30">
        <v>228904</v>
      </c>
      <c r="G208" s="30">
        <f t="shared" si="101"/>
        <v>228904</v>
      </c>
      <c r="H208" s="30">
        <f t="shared" si="102"/>
        <v>228904</v>
      </c>
      <c r="I208" s="30">
        <v>0</v>
      </c>
      <c r="J208" s="30">
        <f t="shared" si="103"/>
        <v>228904</v>
      </c>
      <c r="K208" s="276" t="s">
        <v>10</v>
      </c>
      <c r="L208" s="270">
        <f>SUMIF('Allocation Factors'!$B$3:$B$89,'Current Income Tax Expense'!K208,'Allocation Factors'!$P$3:$P$89)</f>
        <v>6.7017620954721469E-2</v>
      </c>
      <c r="M208" s="30">
        <f t="shared" si="95"/>
        <v>15341</v>
      </c>
      <c r="N208" s="30">
        <f t="shared" si="104"/>
        <v>0</v>
      </c>
      <c r="O208" s="30">
        <f t="shared" si="105"/>
        <v>15341</v>
      </c>
      <c r="P208" s="30">
        <f t="shared" si="115"/>
        <v>15341</v>
      </c>
    </row>
    <row r="209" spans="1:16">
      <c r="A209" s="28" t="s">
        <v>536</v>
      </c>
      <c r="B209" s="29">
        <v>287577</v>
      </c>
      <c r="C209" s="273">
        <v>415.82</v>
      </c>
      <c r="D209" s="29" t="s">
        <v>8</v>
      </c>
      <c r="E209" s="269" t="s">
        <v>9</v>
      </c>
      <c r="F209" s="30">
        <v>-503753</v>
      </c>
      <c r="G209" s="30">
        <f t="shared" si="101"/>
        <v>-503753</v>
      </c>
      <c r="H209" s="30">
        <f t="shared" si="102"/>
        <v>-503753</v>
      </c>
      <c r="I209" s="30">
        <v>0</v>
      </c>
      <c r="J209" s="30">
        <f t="shared" si="103"/>
        <v>-503753</v>
      </c>
      <c r="K209" s="276" t="s">
        <v>30</v>
      </c>
      <c r="L209" s="270">
        <f>SUMIF('Allocation Factors'!$B$3:$B$89,'Current Income Tax Expense'!K209,'Allocation Factors'!$P$3:$P$89)</f>
        <v>0</v>
      </c>
      <c r="M209" s="30">
        <f t="shared" ref="M209:M269" si="120">ROUND(H209*L209,0)</f>
        <v>0</v>
      </c>
      <c r="N209" s="30">
        <f t="shared" si="104"/>
        <v>0</v>
      </c>
      <c r="O209" s="30">
        <f t="shared" si="105"/>
        <v>0</v>
      </c>
      <c r="P209" s="30">
        <f t="shared" si="115"/>
        <v>0</v>
      </c>
    </row>
    <row r="210" spans="1:16">
      <c r="A210" s="28" t="s">
        <v>537</v>
      </c>
      <c r="B210" s="29">
        <v>287581</v>
      </c>
      <c r="C210" s="273">
        <v>415.82400000000001</v>
      </c>
      <c r="D210" s="29" t="s">
        <v>8</v>
      </c>
      <c r="E210" s="276" t="s">
        <v>9</v>
      </c>
      <c r="F210" s="30">
        <v>-45017</v>
      </c>
      <c r="G210" s="30">
        <f t="shared" si="101"/>
        <v>-45017</v>
      </c>
      <c r="H210" s="30">
        <f t="shared" si="102"/>
        <v>-45017</v>
      </c>
      <c r="I210" s="30">
        <v>0</v>
      </c>
      <c r="J210" s="30">
        <f t="shared" si="103"/>
        <v>-45017</v>
      </c>
      <c r="K210" s="276" t="s">
        <v>17</v>
      </c>
      <c r="L210" s="270">
        <f>SUMIF('Allocation Factors'!$B$3:$B$89,'Current Income Tax Expense'!K210,'Allocation Factors'!$P$3:$P$89)</f>
        <v>0</v>
      </c>
      <c r="M210" s="30">
        <f t="shared" si="120"/>
        <v>0</v>
      </c>
      <c r="N210" s="30">
        <f t="shared" si="104"/>
        <v>0</v>
      </c>
      <c r="O210" s="30">
        <f t="shared" si="105"/>
        <v>0</v>
      </c>
      <c r="P210" s="30">
        <f t="shared" si="115"/>
        <v>0</v>
      </c>
    </row>
    <row r="211" spans="1:16">
      <c r="A211" s="90" t="s">
        <v>430</v>
      </c>
      <c r="B211" s="29">
        <v>287583</v>
      </c>
      <c r="C211" s="273">
        <v>415.82600000000002</v>
      </c>
      <c r="D211" s="29" t="s">
        <v>8</v>
      </c>
      <c r="E211" s="29" t="s">
        <v>333</v>
      </c>
      <c r="F211" s="30">
        <v>-1455589</v>
      </c>
      <c r="G211" s="30">
        <f t="shared" si="101"/>
        <v>-1455589</v>
      </c>
      <c r="H211" s="30">
        <f t="shared" si="102"/>
        <v>0</v>
      </c>
      <c r="I211" s="30">
        <v>0</v>
      </c>
      <c r="J211" s="30">
        <f t="shared" si="103"/>
        <v>0</v>
      </c>
      <c r="K211" s="276" t="s">
        <v>331</v>
      </c>
      <c r="L211" s="270">
        <f>SUMIF('Allocation Factors'!$B$3:$B$89,'Current Income Tax Expense'!K211,'Allocation Factors'!$P$3:$P$89)</f>
        <v>0</v>
      </c>
      <c r="M211" s="30">
        <f t="shared" ref="M211" si="121">ROUND(H211*L211,0)</f>
        <v>0</v>
      </c>
      <c r="N211" s="30">
        <f t="shared" ref="N211" si="122">ROUND(I211*L211,0)</f>
        <v>0</v>
      </c>
      <c r="O211" s="30">
        <f t="shared" ref="O211" si="123">SUM(M211:N211)</f>
        <v>0</v>
      </c>
      <c r="P211" s="30">
        <f t="shared" ref="P211" si="124">O211</f>
        <v>0</v>
      </c>
    </row>
    <row r="212" spans="1:16">
      <c r="A212" s="28" t="s">
        <v>538</v>
      </c>
      <c r="B212" s="29">
        <v>287966</v>
      </c>
      <c r="C212" s="273">
        <v>415.834</v>
      </c>
      <c r="D212" s="29" t="s">
        <v>8</v>
      </c>
      <c r="E212" s="29" t="s">
        <v>333</v>
      </c>
      <c r="F212" s="30">
        <v>-3287310</v>
      </c>
      <c r="G212" s="30">
        <f t="shared" si="101"/>
        <v>-3287310</v>
      </c>
      <c r="H212" s="30">
        <f t="shared" si="102"/>
        <v>0</v>
      </c>
      <c r="I212" s="30">
        <v>0</v>
      </c>
      <c r="J212" s="30">
        <f t="shared" si="103"/>
        <v>0</v>
      </c>
      <c r="K212" s="276" t="s">
        <v>331</v>
      </c>
      <c r="L212" s="270">
        <f>SUMIF('Allocation Factors'!$B$3:$B$89,'Current Income Tax Expense'!K212,'Allocation Factors'!$P$3:$P$89)</f>
        <v>0</v>
      </c>
      <c r="M212" s="30">
        <f t="shared" si="120"/>
        <v>0</v>
      </c>
      <c r="N212" s="30">
        <f t="shared" si="104"/>
        <v>0</v>
      </c>
      <c r="O212" s="30">
        <f t="shared" si="105"/>
        <v>0</v>
      </c>
      <c r="P212" s="30">
        <f t="shared" si="115"/>
        <v>0</v>
      </c>
    </row>
    <row r="213" spans="1:16">
      <c r="A213" s="28" t="s">
        <v>314</v>
      </c>
      <c r="B213" s="29">
        <v>287886</v>
      </c>
      <c r="C213" s="273">
        <v>415.83699999999999</v>
      </c>
      <c r="D213" s="29" t="s">
        <v>8</v>
      </c>
      <c r="E213" s="29" t="s">
        <v>333</v>
      </c>
      <c r="F213" s="30">
        <v>14090019</v>
      </c>
      <c r="G213" s="30">
        <f t="shared" si="101"/>
        <v>14090019</v>
      </c>
      <c r="H213" s="30">
        <f t="shared" si="102"/>
        <v>0</v>
      </c>
      <c r="I213" s="30">
        <v>0</v>
      </c>
      <c r="J213" s="30">
        <f t="shared" si="103"/>
        <v>0</v>
      </c>
      <c r="K213" s="276" t="s">
        <v>331</v>
      </c>
      <c r="L213" s="270">
        <f>SUMIF('Allocation Factors'!$B$3:$B$89,'Current Income Tax Expense'!K213,'Allocation Factors'!$P$3:$P$89)</f>
        <v>0</v>
      </c>
      <c r="M213" s="30">
        <f t="shared" si="120"/>
        <v>0</v>
      </c>
      <c r="N213" s="30">
        <f t="shared" si="104"/>
        <v>0</v>
      </c>
      <c r="O213" s="30">
        <f t="shared" si="105"/>
        <v>0</v>
      </c>
      <c r="P213" s="30">
        <f t="shared" si="115"/>
        <v>0</v>
      </c>
    </row>
    <row r="214" spans="1:16" s="71" customFormat="1">
      <c r="A214" s="90" t="s">
        <v>372</v>
      </c>
      <c r="B214" s="29">
        <v>287997</v>
      </c>
      <c r="C214" s="273">
        <v>415.86200000000002</v>
      </c>
      <c r="D214" s="29" t="s">
        <v>8</v>
      </c>
      <c r="E214" s="269" t="s">
        <v>9</v>
      </c>
      <c r="F214" s="30">
        <v>-6598</v>
      </c>
      <c r="G214" s="30">
        <f t="shared" si="101"/>
        <v>-6598</v>
      </c>
      <c r="H214" s="30">
        <f t="shared" si="102"/>
        <v>-6598</v>
      </c>
      <c r="I214" s="30">
        <v>0</v>
      </c>
      <c r="J214" s="30">
        <f t="shared" si="103"/>
        <v>-6598</v>
      </c>
      <c r="K214" s="276" t="s">
        <v>15</v>
      </c>
      <c r="L214" s="270">
        <f>SUMIF('Allocation Factors'!$B$3:$B$89,'Current Income Tax Expense'!K214,'Allocation Factors'!$P$3:$P$89)</f>
        <v>0</v>
      </c>
      <c r="M214" s="30">
        <f t="shared" si="120"/>
        <v>0</v>
      </c>
      <c r="N214" s="30">
        <f t="shared" si="104"/>
        <v>0</v>
      </c>
      <c r="O214" s="30">
        <f t="shared" si="105"/>
        <v>0</v>
      </c>
      <c r="P214" s="30">
        <f t="shared" si="115"/>
        <v>0</v>
      </c>
    </row>
    <row r="215" spans="1:16" s="71" customFormat="1">
      <c r="A215" s="90" t="s">
        <v>375</v>
      </c>
      <c r="B215" s="29">
        <v>287906</v>
      </c>
      <c r="C215" s="273">
        <v>415.863</v>
      </c>
      <c r="D215" s="29" t="s">
        <v>8</v>
      </c>
      <c r="E215" s="269" t="s">
        <v>9</v>
      </c>
      <c r="F215" s="30">
        <v>-107218</v>
      </c>
      <c r="G215" s="30">
        <f t="shared" ref="G215:G246" si="125">+F215</f>
        <v>-107218</v>
      </c>
      <c r="H215" s="30">
        <f t="shared" ref="H215:H246" si="126">IF(E215="U",G215,0)</f>
        <v>-107218</v>
      </c>
      <c r="I215" s="30">
        <v>0</v>
      </c>
      <c r="J215" s="30">
        <f t="shared" si="103"/>
        <v>-107218</v>
      </c>
      <c r="K215" s="276" t="s">
        <v>28</v>
      </c>
      <c r="L215" s="270">
        <f>SUMIF('Allocation Factors'!$B$3:$B$89,'Current Income Tax Expense'!K215,'Allocation Factors'!$P$3:$P$89)</f>
        <v>0</v>
      </c>
      <c r="M215" s="30">
        <f t="shared" si="120"/>
        <v>0</v>
      </c>
      <c r="N215" s="30">
        <f t="shared" si="104"/>
        <v>0</v>
      </c>
      <c r="O215" s="30">
        <f t="shared" si="105"/>
        <v>0</v>
      </c>
      <c r="P215" s="30">
        <f t="shared" si="115"/>
        <v>0</v>
      </c>
    </row>
    <row r="216" spans="1:16">
      <c r="A216" s="28" t="s">
        <v>539</v>
      </c>
      <c r="B216" s="29">
        <v>287871</v>
      </c>
      <c r="C216" s="273">
        <v>415.86599999999999</v>
      </c>
      <c r="D216" s="29" t="s">
        <v>8</v>
      </c>
      <c r="E216" s="29" t="s">
        <v>9</v>
      </c>
      <c r="F216" s="30">
        <v>69830</v>
      </c>
      <c r="G216" s="30">
        <f t="shared" si="125"/>
        <v>69830</v>
      </c>
      <c r="H216" s="30">
        <f t="shared" si="126"/>
        <v>69830</v>
      </c>
      <c r="I216" s="30">
        <v>0</v>
      </c>
      <c r="J216" s="30">
        <f t="shared" si="103"/>
        <v>69830</v>
      </c>
      <c r="K216" s="269" t="s">
        <v>15</v>
      </c>
      <c r="L216" s="270">
        <f>SUMIF('Allocation Factors'!$B$3:$B$89,'Current Income Tax Expense'!K216,'Allocation Factors'!$P$3:$P$89)</f>
        <v>0</v>
      </c>
      <c r="M216" s="30">
        <f t="shared" si="120"/>
        <v>0</v>
      </c>
      <c r="N216" s="30">
        <f t="shared" si="104"/>
        <v>0</v>
      </c>
      <c r="O216" s="30">
        <f t="shared" si="105"/>
        <v>0</v>
      </c>
      <c r="P216" s="30">
        <f t="shared" si="115"/>
        <v>0</v>
      </c>
    </row>
    <row r="217" spans="1:16">
      <c r="A217" s="90" t="s">
        <v>744</v>
      </c>
      <c r="B217" s="29">
        <v>287781</v>
      </c>
      <c r="C217" s="273">
        <v>415.87</v>
      </c>
      <c r="D217" s="29" t="s">
        <v>8</v>
      </c>
      <c r="E217" s="29" t="s">
        <v>9</v>
      </c>
      <c r="F217" s="30">
        <v>-1964945</v>
      </c>
      <c r="G217" s="30">
        <f t="shared" si="125"/>
        <v>-1964945</v>
      </c>
      <c r="H217" s="30">
        <f t="shared" si="126"/>
        <v>-1964945</v>
      </c>
      <c r="I217" s="30">
        <v>0</v>
      </c>
      <c r="J217" s="30">
        <f t="shared" si="103"/>
        <v>-1964945</v>
      </c>
      <c r="K217" s="29" t="s">
        <v>17</v>
      </c>
      <c r="L217" s="270">
        <f>SUMIF('Allocation Factors'!$B$3:$B$89,'Current Income Tax Expense'!K217,'Allocation Factors'!$P$3:$P$89)</f>
        <v>0</v>
      </c>
      <c r="M217" s="30">
        <f t="shared" si="120"/>
        <v>0</v>
      </c>
      <c r="N217" s="30">
        <f t="shared" si="104"/>
        <v>0</v>
      </c>
      <c r="O217" s="30">
        <f t="shared" si="105"/>
        <v>0</v>
      </c>
      <c r="P217" s="30">
        <f t="shared" si="115"/>
        <v>0</v>
      </c>
    </row>
    <row r="218" spans="1:16">
      <c r="A218" s="90" t="s">
        <v>540</v>
      </c>
      <c r="B218" s="29">
        <v>287593</v>
      </c>
      <c r="C218" s="273">
        <v>415.87400000000002</v>
      </c>
      <c r="D218" s="29" t="s">
        <v>8</v>
      </c>
      <c r="E218" s="29" t="s">
        <v>9</v>
      </c>
      <c r="F218" s="30">
        <v>-7302971</v>
      </c>
      <c r="G218" s="30">
        <f t="shared" si="125"/>
        <v>-7302971</v>
      </c>
      <c r="H218" s="30">
        <f t="shared" si="126"/>
        <v>-7302971</v>
      </c>
      <c r="I218" s="30">
        <v>0</v>
      </c>
      <c r="J218" s="30">
        <f t="shared" si="103"/>
        <v>-7302971</v>
      </c>
      <c r="K218" s="29" t="s">
        <v>15</v>
      </c>
      <c r="L218" s="270">
        <f>SUMIF('Allocation Factors'!$B$3:$B$89,'Current Income Tax Expense'!K218,'Allocation Factors'!$P$3:$P$89)</f>
        <v>0</v>
      </c>
      <c r="M218" s="30">
        <f t="shared" ref="M218" si="127">ROUND(H218*L218,0)</f>
        <v>0</v>
      </c>
      <c r="N218" s="30">
        <f t="shared" ref="N218" si="128">ROUND(I218*L218,0)</f>
        <v>0</v>
      </c>
      <c r="O218" s="30">
        <f t="shared" ref="O218" si="129">SUM(M218:N218)</f>
        <v>0</v>
      </c>
      <c r="P218" s="30">
        <f t="shared" ref="P218" si="130">O218</f>
        <v>0</v>
      </c>
    </row>
    <row r="219" spans="1:16">
      <c r="A219" s="28" t="s">
        <v>541</v>
      </c>
      <c r="B219" s="29">
        <v>287896</v>
      </c>
      <c r="C219" s="273">
        <v>415.875</v>
      </c>
      <c r="D219" s="29" t="s">
        <v>8</v>
      </c>
      <c r="E219" s="29" t="s">
        <v>9</v>
      </c>
      <c r="F219" s="30">
        <v>-32906043</v>
      </c>
      <c r="G219" s="30">
        <f t="shared" si="125"/>
        <v>-32906043</v>
      </c>
      <c r="H219" s="30">
        <f t="shared" si="126"/>
        <v>-32906043</v>
      </c>
      <c r="I219" s="30">
        <v>0</v>
      </c>
      <c r="J219" s="30">
        <f t="shared" si="103"/>
        <v>-32906043</v>
      </c>
      <c r="K219" s="29" t="s">
        <v>15</v>
      </c>
      <c r="L219" s="270">
        <f>SUMIF('Allocation Factors'!$B$3:$B$89,'Current Income Tax Expense'!K219,'Allocation Factors'!$P$3:$P$89)</f>
        <v>0</v>
      </c>
      <c r="M219" s="30">
        <f t="shared" si="120"/>
        <v>0</v>
      </c>
      <c r="N219" s="30">
        <f t="shared" si="104"/>
        <v>0</v>
      </c>
      <c r="O219" s="30">
        <f t="shared" si="105"/>
        <v>0</v>
      </c>
      <c r="P219" s="30">
        <f t="shared" si="115"/>
        <v>0</v>
      </c>
    </row>
    <row r="220" spans="1:16">
      <c r="A220" s="90" t="s">
        <v>542</v>
      </c>
      <c r="B220" s="29">
        <v>287899</v>
      </c>
      <c r="C220" s="273">
        <v>415.87799999999999</v>
      </c>
      <c r="D220" s="29" t="s">
        <v>8</v>
      </c>
      <c r="E220" s="29" t="s">
        <v>9</v>
      </c>
      <c r="F220" s="30">
        <v>35000</v>
      </c>
      <c r="G220" s="30">
        <f t="shared" si="125"/>
        <v>35000</v>
      </c>
      <c r="H220" s="30">
        <f t="shared" si="126"/>
        <v>35000</v>
      </c>
      <c r="I220" s="30">
        <v>0</v>
      </c>
      <c r="J220" s="30">
        <f t="shared" ref="J220:J255" si="131">SUM(H220:I220)</f>
        <v>35000</v>
      </c>
      <c r="K220" s="276" t="s">
        <v>28</v>
      </c>
      <c r="L220" s="270">
        <f>SUMIF('Allocation Factors'!$B$3:$B$89,'Current Income Tax Expense'!K220,'Allocation Factors'!$P$3:$P$89)</f>
        <v>0</v>
      </c>
      <c r="M220" s="30">
        <f t="shared" si="120"/>
        <v>0</v>
      </c>
      <c r="N220" s="30">
        <f t="shared" ref="N220:N255" si="132">ROUND(I220*L220,0)</f>
        <v>0</v>
      </c>
      <c r="O220" s="30">
        <f t="shared" ref="O220:O255" si="133">SUM(M220:N220)</f>
        <v>0</v>
      </c>
      <c r="P220" s="30">
        <f t="shared" si="115"/>
        <v>0</v>
      </c>
    </row>
    <row r="221" spans="1:16">
      <c r="A221" s="28" t="s">
        <v>346</v>
      </c>
      <c r="B221" s="29">
        <v>287903</v>
      </c>
      <c r="C221" s="273">
        <v>415.87900000000002</v>
      </c>
      <c r="D221" s="29" t="s">
        <v>8</v>
      </c>
      <c r="E221" s="29" t="s">
        <v>9</v>
      </c>
      <c r="F221" s="30">
        <v>5708</v>
      </c>
      <c r="G221" s="30">
        <f t="shared" si="125"/>
        <v>5708</v>
      </c>
      <c r="H221" s="30">
        <f t="shared" si="126"/>
        <v>5708</v>
      </c>
      <c r="I221" s="30">
        <v>0</v>
      </c>
      <c r="J221" s="30">
        <f t="shared" si="131"/>
        <v>5708</v>
      </c>
      <c r="K221" s="276" t="s">
        <v>32</v>
      </c>
      <c r="L221" s="270">
        <f>SUMIF('Allocation Factors'!$B$3:$B$89,'Current Income Tax Expense'!K221,'Allocation Factors'!$P$3:$P$89)</f>
        <v>0</v>
      </c>
      <c r="M221" s="30">
        <f t="shared" si="120"/>
        <v>0</v>
      </c>
      <c r="N221" s="30">
        <f t="shared" si="132"/>
        <v>0</v>
      </c>
      <c r="O221" s="30">
        <f t="shared" si="133"/>
        <v>0</v>
      </c>
      <c r="P221" s="30">
        <f t="shared" si="115"/>
        <v>0</v>
      </c>
    </row>
    <row r="222" spans="1:16">
      <c r="A222" s="28" t="s">
        <v>543</v>
      </c>
      <c r="B222" s="29">
        <v>287783</v>
      </c>
      <c r="C222" s="273">
        <v>415.88</v>
      </c>
      <c r="D222" s="29" t="s">
        <v>8</v>
      </c>
      <c r="E222" s="276" t="s">
        <v>333</v>
      </c>
      <c r="F222" s="30">
        <v>-14974</v>
      </c>
      <c r="G222" s="30">
        <f t="shared" si="125"/>
        <v>-14974</v>
      </c>
      <c r="H222" s="30">
        <f t="shared" si="126"/>
        <v>0</v>
      </c>
      <c r="I222" s="30">
        <v>0</v>
      </c>
      <c r="J222" s="30">
        <f t="shared" si="131"/>
        <v>0</v>
      </c>
      <c r="K222" s="276" t="s">
        <v>331</v>
      </c>
      <c r="L222" s="270">
        <f>SUMIF('Allocation Factors'!$B$3:$B$89,'Current Income Tax Expense'!K222,'Allocation Factors'!$P$3:$P$89)</f>
        <v>0</v>
      </c>
      <c r="M222" s="30">
        <f t="shared" si="120"/>
        <v>0</v>
      </c>
      <c r="N222" s="30">
        <f t="shared" si="132"/>
        <v>0</v>
      </c>
      <c r="O222" s="30">
        <f t="shared" si="133"/>
        <v>0</v>
      </c>
      <c r="P222" s="30">
        <f t="shared" si="115"/>
        <v>0</v>
      </c>
    </row>
    <row r="223" spans="1:16">
      <c r="A223" s="28" t="s">
        <v>544</v>
      </c>
      <c r="B223" s="29">
        <v>287888</v>
      </c>
      <c r="C223" s="273">
        <v>415.88200000000001</v>
      </c>
      <c r="D223" s="29" t="s">
        <v>8</v>
      </c>
      <c r="E223" s="29" t="s">
        <v>9</v>
      </c>
      <c r="F223" s="30">
        <v>21145</v>
      </c>
      <c r="G223" s="30">
        <f t="shared" si="125"/>
        <v>21145</v>
      </c>
      <c r="H223" s="30">
        <f t="shared" si="126"/>
        <v>21145</v>
      </c>
      <c r="I223" s="30">
        <v>0</v>
      </c>
      <c r="J223" s="30">
        <f t="shared" si="131"/>
        <v>21145</v>
      </c>
      <c r="K223" s="276" t="s">
        <v>15</v>
      </c>
      <c r="L223" s="270">
        <f>SUMIF('Allocation Factors'!$B$3:$B$89,'Current Income Tax Expense'!K223,'Allocation Factors'!$P$3:$P$89)</f>
        <v>0</v>
      </c>
      <c r="M223" s="30">
        <f t="shared" si="120"/>
        <v>0</v>
      </c>
      <c r="N223" s="30">
        <f t="shared" si="132"/>
        <v>0</v>
      </c>
      <c r="O223" s="30">
        <f t="shared" si="133"/>
        <v>0</v>
      </c>
      <c r="P223" s="30">
        <f t="shared" si="115"/>
        <v>0</v>
      </c>
    </row>
    <row r="224" spans="1:16">
      <c r="A224" s="28" t="s">
        <v>315</v>
      </c>
      <c r="B224" s="29">
        <v>287977</v>
      </c>
      <c r="C224" s="273">
        <v>415.88499999999999</v>
      </c>
      <c r="D224" s="29" t="s">
        <v>8</v>
      </c>
      <c r="E224" s="29" t="s">
        <v>9</v>
      </c>
      <c r="F224" s="30">
        <v>14974</v>
      </c>
      <c r="G224" s="30">
        <f t="shared" si="125"/>
        <v>14974</v>
      </c>
      <c r="H224" s="30">
        <f t="shared" si="126"/>
        <v>14974</v>
      </c>
      <c r="I224" s="30">
        <v>0</v>
      </c>
      <c r="J224" s="30">
        <f t="shared" si="131"/>
        <v>14974</v>
      </c>
      <c r="K224" s="276" t="s">
        <v>15</v>
      </c>
      <c r="L224" s="270">
        <f>SUMIF('Allocation Factors'!$B$3:$B$89,'Current Income Tax Expense'!K224,'Allocation Factors'!$P$3:$P$89)</f>
        <v>0</v>
      </c>
      <c r="M224" s="30">
        <f t="shared" si="120"/>
        <v>0</v>
      </c>
      <c r="N224" s="30">
        <f t="shared" si="132"/>
        <v>0</v>
      </c>
      <c r="O224" s="30">
        <f t="shared" si="133"/>
        <v>0</v>
      </c>
      <c r="P224" s="30">
        <f t="shared" ref="P224:P235" si="134">O224</f>
        <v>0</v>
      </c>
    </row>
    <row r="225" spans="1:16">
      <c r="A225" s="28" t="s">
        <v>545</v>
      </c>
      <c r="B225" s="29">
        <v>287596</v>
      </c>
      <c r="C225" s="273">
        <v>415.892</v>
      </c>
      <c r="D225" s="29" t="s">
        <v>8</v>
      </c>
      <c r="E225" s="29" t="s">
        <v>9</v>
      </c>
      <c r="F225" s="30">
        <v>-12033265</v>
      </c>
      <c r="G225" s="30">
        <f t="shared" si="125"/>
        <v>-12033265</v>
      </c>
      <c r="H225" s="30">
        <f t="shared" si="126"/>
        <v>-12033265</v>
      </c>
      <c r="I225" s="30">
        <v>0</v>
      </c>
      <c r="J225" s="30">
        <f t="shared" si="131"/>
        <v>-12033265</v>
      </c>
      <c r="K225" s="29" t="s">
        <v>15</v>
      </c>
      <c r="L225" s="270">
        <f>SUMIF('Allocation Factors'!$B$3:$B$89,'Current Income Tax Expense'!K225,'Allocation Factors'!$P$3:$P$89)</f>
        <v>0</v>
      </c>
      <c r="M225" s="30">
        <f t="shared" si="120"/>
        <v>0</v>
      </c>
      <c r="N225" s="30">
        <f t="shared" si="132"/>
        <v>0</v>
      </c>
      <c r="O225" s="30">
        <f t="shared" si="133"/>
        <v>0</v>
      </c>
      <c r="P225" s="30">
        <f t="shared" si="134"/>
        <v>0</v>
      </c>
    </row>
    <row r="226" spans="1:16">
      <c r="A226" s="28" t="s">
        <v>347</v>
      </c>
      <c r="B226" s="29">
        <v>287978</v>
      </c>
      <c r="C226" s="273">
        <v>415.90600000000001</v>
      </c>
      <c r="D226" s="29" t="s">
        <v>8</v>
      </c>
      <c r="E226" s="29" t="s">
        <v>9</v>
      </c>
      <c r="F226" s="30">
        <v>179015</v>
      </c>
      <c r="G226" s="30">
        <f t="shared" si="125"/>
        <v>179015</v>
      </c>
      <c r="H226" s="30">
        <f t="shared" si="126"/>
        <v>179015</v>
      </c>
      <c r="I226" s="30">
        <v>0</v>
      </c>
      <c r="J226" s="30">
        <f t="shared" si="131"/>
        <v>179015</v>
      </c>
      <c r="K226" s="276" t="s">
        <v>15</v>
      </c>
      <c r="L226" s="270">
        <f>SUMIF('Allocation Factors'!$B$3:$B$89,'Current Income Tax Expense'!K226,'Allocation Factors'!$P$3:$P$89)</f>
        <v>0</v>
      </c>
      <c r="M226" s="30">
        <f t="shared" si="120"/>
        <v>0</v>
      </c>
      <c r="N226" s="30">
        <f t="shared" si="132"/>
        <v>0</v>
      </c>
      <c r="O226" s="30">
        <f t="shared" si="133"/>
        <v>0</v>
      </c>
      <c r="P226" s="30">
        <f t="shared" si="134"/>
        <v>0</v>
      </c>
    </row>
    <row r="227" spans="1:16">
      <c r="A227" s="90" t="s">
        <v>353</v>
      </c>
      <c r="B227" s="29">
        <v>287981</v>
      </c>
      <c r="C227" s="273">
        <v>415.92</v>
      </c>
      <c r="D227" s="29" t="s">
        <v>8</v>
      </c>
      <c r="E227" s="29" t="s">
        <v>9</v>
      </c>
      <c r="F227" s="30">
        <v>-73385</v>
      </c>
      <c r="G227" s="30">
        <f t="shared" si="125"/>
        <v>-73385</v>
      </c>
      <c r="H227" s="30">
        <f t="shared" si="126"/>
        <v>-73385</v>
      </c>
      <c r="I227" s="30">
        <v>0</v>
      </c>
      <c r="J227" s="30">
        <f t="shared" si="131"/>
        <v>-73385</v>
      </c>
      <c r="K227" s="276" t="s">
        <v>29</v>
      </c>
      <c r="L227" s="270">
        <f>SUMIF('Allocation Factors'!$B$3:$B$89,'Current Income Tax Expense'!K227,'Allocation Factors'!$P$3:$P$89)</f>
        <v>0</v>
      </c>
      <c r="M227" s="30">
        <f t="shared" si="120"/>
        <v>0</v>
      </c>
      <c r="N227" s="30">
        <f t="shared" si="132"/>
        <v>0</v>
      </c>
      <c r="O227" s="30">
        <f t="shared" si="133"/>
        <v>0</v>
      </c>
      <c r="P227" s="30">
        <f t="shared" si="134"/>
        <v>0</v>
      </c>
    </row>
    <row r="228" spans="1:16">
      <c r="A228" s="90" t="s">
        <v>355</v>
      </c>
      <c r="B228" s="29">
        <v>287982</v>
      </c>
      <c r="C228" s="273">
        <v>415.92099999999999</v>
      </c>
      <c r="D228" s="29" t="s">
        <v>8</v>
      </c>
      <c r="E228" s="29" t="s">
        <v>9</v>
      </c>
      <c r="F228" s="30">
        <v>128043</v>
      </c>
      <c r="G228" s="30">
        <f t="shared" si="125"/>
        <v>128043</v>
      </c>
      <c r="H228" s="30">
        <f t="shared" si="126"/>
        <v>128043</v>
      </c>
      <c r="I228" s="30">
        <v>0</v>
      </c>
      <c r="J228" s="30">
        <f t="shared" si="131"/>
        <v>128043</v>
      </c>
      <c r="K228" s="276" t="s">
        <v>28</v>
      </c>
      <c r="L228" s="270">
        <f>SUMIF('Allocation Factors'!$B$3:$B$89,'Current Income Tax Expense'!K228,'Allocation Factors'!$P$3:$P$89)</f>
        <v>0</v>
      </c>
      <c r="M228" s="30">
        <f t="shared" si="120"/>
        <v>0</v>
      </c>
      <c r="N228" s="30">
        <f t="shared" si="132"/>
        <v>0</v>
      </c>
      <c r="O228" s="30">
        <f t="shared" si="133"/>
        <v>0</v>
      </c>
      <c r="P228" s="30">
        <f t="shared" si="134"/>
        <v>0</v>
      </c>
    </row>
    <row r="229" spans="1:16">
      <c r="A229" s="90" t="s">
        <v>356</v>
      </c>
      <c r="B229" s="29">
        <v>287983</v>
      </c>
      <c r="C229" s="273">
        <v>415.92200000000003</v>
      </c>
      <c r="D229" s="29" t="s">
        <v>8</v>
      </c>
      <c r="E229" s="29" t="s">
        <v>9</v>
      </c>
      <c r="F229" s="30">
        <v>442191</v>
      </c>
      <c r="G229" s="30">
        <f t="shared" si="125"/>
        <v>442191</v>
      </c>
      <c r="H229" s="30">
        <f t="shared" si="126"/>
        <v>442191</v>
      </c>
      <c r="I229" s="30">
        <v>0</v>
      </c>
      <c r="J229" s="30">
        <f t="shared" si="131"/>
        <v>442191</v>
      </c>
      <c r="K229" s="276" t="s">
        <v>32</v>
      </c>
      <c r="L229" s="270">
        <f>SUMIF('Allocation Factors'!$B$3:$B$89,'Current Income Tax Expense'!K229,'Allocation Factors'!$P$3:$P$89)</f>
        <v>0</v>
      </c>
      <c r="M229" s="30">
        <f t="shared" si="120"/>
        <v>0</v>
      </c>
      <c r="N229" s="30">
        <f t="shared" si="132"/>
        <v>0</v>
      </c>
      <c r="O229" s="30">
        <f t="shared" si="133"/>
        <v>0</v>
      </c>
      <c r="P229" s="30">
        <f t="shared" si="134"/>
        <v>0</v>
      </c>
    </row>
    <row r="230" spans="1:16">
      <c r="A230" s="90" t="s">
        <v>354</v>
      </c>
      <c r="B230" s="29">
        <v>287984</v>
      </c>
      <c r="C230" s="273">
        <v>415.923</v>
      </c>
      <c r="D230" s="29" t="s">
        <v>8</v>
      </c>
      <c r="E230" s="29" t="s">
        <v>9</v>
      </c>
      <c r="F230" s="30">
        <v>478639</v>
      </c>
      <c r="G230" s="30">
        <f t="shared" si="125"/>
        <v>478639</v>
      </c>
      <c r="H230" s="30">
        <f t="shared" si="126"/>
        <v>478639</v>
      </c>
      <c r="I230" s="30">
        <v>0</v>
      </c>
      <c r="J230" s="30">
        <f t="shared" si="131"/>
        <v>478639</v>
      </c>
      <c r="K230" s="276" t="s">
        <v>29</v>
      </c>
      <c r="L230" s="270">
        <f>SUMIF('Allocation Factors'!$B$3:$B$89,'Current Income Tax Expense'!K230,'Allocation Factors'!$P$3:$P$89)</f>
        <v>0</v>
      </c>
      <c r="M230" s="30">
        <f t="shared" si="120"/>
        <v>0</v>
      </c>
      <c r="N230" s="30">
        <f t="shared" si="132"/>
        <v>0</v>
      </c>
      <c r="O230" s="30">
        <f t="shared" si="133"/>
        <v>0</v>
      </c>
      <c r="P230" s="30">
        <f t="shared" si="134"/>
        <v>0</v>
      </c>
    </row>
    <row r="231" spans="1:16">
      <c r="A231" s="90" t="s">
        <v>357</v>
      </c>
      <c r="B231" s="29">
        <v>287985</v>
      </c>
      <c r="C231" s="273">
        <v>415.92399999999998</v>
      </c>
      <c r="D231" s="29" t="s">
        <v>8</v>
      </c>
      <c r="E231" s="29" t="s">
        <v>9</v>
      </c>
      <c r="F231" s="30">
        <v>3444641</v>
      </c>
      <c r="G231" s="30">
        <f t="shared" si="125"/>
        <v>3444641</v>
      </c>
      <c r="H231" s="30">
        <f t="shared" si="126"/>
        <v>3444641</v>
      </c>
      <c r="I231" s="30">
        <v>0</v>
      </c>
      <c r="J231" s="30">
        <f t="shared" si="131"/>
        <v>3444641</v>
      </c>
      <c r="K231" s="276" t="s">
        <v>28</v>
      </c>
      <c r="L231" s="270">
        <f>SUMIF('Allocation Factors'!$B$3:$B$89,'Current Income Tax Expense'!K231,'Allocation Factors'!$P$3:$P$89)</f>
        <v>0</v>
      </c>
      <c r="M231" s="30">
        <f t="shared" si="120"/>
        <v>0</v>
      </c>
      <c r="N231" s="30">
        <f t="shared" si="132"/>
        <v>0</v>
      </c>
      <c r="O231" s="30">
        <f t="shared" si="133"/>
        <v>0</v>
      </c>
      <c r="P231" s="30">
        <f t="shared" si="134"/>
        <v>0</v>
      </c>
    </row>
    <row r="232" spans="1:16">
      <c r="A232" s="90" t="s">
        <v>358</v>
      </c>
      <c r="B232" s="29">
        <v>287986</v>
      </c>
      <c r="C232" s="273">
        <v>415.92500000000001</v>
      </c>
      <c r="D232" s="29" t="s">
        <v>8</v>
      </c>
      <c r="E232" s="29" t="s">
        <v>9</v>
      </c>
      <c r="F232" s="30">
        <v>1158188</v>
      </c>
      <c r="G232" s="30">
        <f t="shared" si="125"/>
        <v>1158188</v>
      </c>
      <c r="H232" s="30">
        <f t="shared" si="126"/>
        <v>1158188</v>
      </c>
      <c r="I232" s="30">
        <v>0</v>
      </c>
      <c r="J232" s="30">
        <f t="shared" si="131"/>
        <v>1158188</v>
      </c>
      <c r="K232" s="276" t="s">
        <v>32</v>
      </c>
      <c r="L232" s="270">
        <f>SUMIF('Allocation Factors'!$B$3:$B$89,'Current Income Tax Expense'!K232,'Allocation Factors'!$P$3:$P$89)</f>
        <v>0</v>
      </c>
      <c r="M232" s="30">
        <f t="shared" si="120"/>
        <v>0</v>
      </c>
      <c r="N232" s="30">
        <f t="shared" si="132"/>
        <v>0</v>
      </c>
      <c r="O232" s="30">
        <f t="shared" si="133"/>
        <v>0</v>
      </c>
      <c r="P232" s="30">
        <f t="shared" si="134"/>
        <v>0</v>
      </c>
    </row>
    <row r="233" spans="1:16">
      <c r="A233" s="90" t="s">
        <v>431</v>
      </c>
      <c r="B233" s="29">
        <v>287221</v>
      </c>
      <c r="C233" s="273">
        <v>415.93299999999999</v>
      </c>
      <c r="D233" s="29" t="s">
        <v>8</v>
      </c>
      <c r="E233" s="29" t="s">
        <v>9</v>
      </c>
      <c r="F233" s="30">
        <v>34621</v>
      </c>
      <c r="G233" s="30">
        <f t="shared" si="125"/>
        <v>34621</v>
      </c>
      <c r="H233" s="30">
        <f t="shared" si="126"/>
        <v>34621</v>
      </c>
      <c r="I233" s="30">
        <v>0</v>
      </c>
      <c r="J233" s="30">
        <f t="shared" si="131"/>
        <v>34621</v>
      </c>
      <c r="K233" s="276" t="s">
        <v>29</v>
      </c>
      <c r="L233" s="270">
        <f>SUMIF('Allocation Factors'!$B$3:$B$89,'Current Income Tax Expense'!K233,'Allocation Factors'!$P$3:$P$89)</f>
        <v>0</v>
      </c>
      <c r="M233" s="30">
        <f t="shared" ref="M233:M234" si="135">ROUND(H233*L233,0)</f>
        <v>0</v>
      </c>
      <c r="N233" s="30">
        <f t="shared" ref="N233:N234" si="136">ROUND(I233*L233,0)</f>
        <v>0</v>
      </c>
      <c r="O233" s="30">
        <f t="shared" ref="O233:O234" si="137">SUM(M233:N233)</f>
        <v>0</v>
      </c>
      <c r="P233" s="30">
        <f t="shared" ref="P233:P234" si="138">O233</f>
        <v>0</v>
      </c>
    </row>
    <row r="234" spans="1:16">
      <c r="A234" s="90" t="s">
        <v>432</v>
      </c>
      <c r="B234" s="29">
        <v>287222</v>
      </c>
      <c r="C234" s="273">
        <v>415.93400000000003</v>
      </c>
      <c r="D234" s="29" t="s">
        <v>8</v>
      </c>
      <c r="E234" s="29" t="s">
        <v>9</v>
      </c>
      <c r="F234" s="30">
        <v>250441</v>
      </c>
      <c r="G234" s="30">
        <f t="shared" si="125"/>
        <v>250441</v>
      </c>
      <c r="H234" s="30">
        <f t="shared" si="126"/>
        <v>250441</v>
      </c>
      <c r="I234" s="30">
        <v>0</v>
      </c>
      <c r="J234" s="30">
        <f t="shared" si="131"/>
        <v>250441</v>
      </c>
      <c r="K234" s="276" t="s">
        <v>28</v>
      </c>
      <c r="L234" s="270">
        <f>SUMIF('Allocation Factors'!$B$3:$B$89,'Current Income Tax Expense'!K234,'Allocation Factors'!$P$3:$P$89)</f>
        <v>0</v>
      </c>
      <c r="M234" s="30">
        <f t="shared" si="135"/>
        <v>0</v>
      </c>
      <c r="N234" s="30">
        <f t="shared" si="136"/>
        <v>0</v>
      </c>
      <c r="O234" s="30">
        <f t="shared" si="137"/>
        <v>0</v>
      </c>
      <c r="P234" s="30">
        <f t="shared" si="138"/>
        <v>0</v>
      </c>
    </row>
    <row r="235" spans="1:16">
      <c r="A235" s="90" t="s">
        <v>366</v>
      </c>
      <c r="B235" s="29">
        <v>287223</v>
      </c>
      <c r="C235" s="273">
        <v>415.935</v>
      </c>
      <c r="D235" s="29" t="s">
        <v>8</v>
      </c>
      <c r="E235" s="29" t="s">
        <v>9</v>
      </c>
      <c r="F235" s="30">
        <v>623945</v>
      </c>
      <c r="G235" s="30">
        <f t="shared" si="125"/>
        <v>623945</v>
      </c>
      <c r="H235" s="30">
        <f t="shared" si="126"/>
        <v>623945</v>
      </c>
      <c r="I235" s="30">
        <v>0</v>
      </c>
      <c r="J235" s="30">
        <f t="shared" si="131"/>
        <v>623945</v>
      </c>
      <c r="K235" s="276" t="s">
        <v>32</v>
      </c>
      <c r="L235" s="270">
        <f>SUMIF('Allocation Factors'!$B$3:$B$89,'Current Income Tax Expense'!K235,'Allocation Factors'!$P$3:$P$89)</f>
        <v>0</v>
      </c>
      <c r="M235" s="30">
        <f t="shared" si="120"/>
        <v>0</v>
      </c>
      <c r="N235" s="30">
        <f t="shared" si="132"/>
        <v>0</v>
      </c>
      <c r="O235" s="30">
        <f t="shared" si="133"/>
        <v>0</v>
      </c>
      <c r="P235" s="30">
        <f t="shared" si="134"/>
        <v>0</v>
      </c>
    </row>
    <row r="236" spans="1:16">
      <c r="A236" s="90" t="s">
        <v>546</v>
      </c>
      <c r="B236" s="29">
        <v>287647</v>
      </c>
      <c r="C236" s="273">
        <v>425.1</v>
      </c>
      <c r="D236" s="29" t="s">
        <v>8</v>
      </c>
      <c r="E236" s="29" t="s">
        <v>9</v>
      </c>
      <c r="F236" s="30">
        <v>-40000</v>
      </c>
      <c r="G236" s="30">
        <f t="shared" si="125"/>
        <v>-40000</v>
      </c>
      <c r="H236" s="30">
        <f t="shared" si="126"/>
        <v>-40000</v>
      </c>
      <c r="I236" s="30">
        <v>0</v>
      </c>
      <c r="J236" s="30">
        <f t="shared" si="131"/>
        <v>-40000</v>
      </c>
      <c r="K236" s="276" t="s">
        <v>29</v>
      </c>
      <c r="L236" s="270">
        <f>SUMIF('Allocation Factors'!$B$3:$B$89,'Current Income Tax Expense'!K236,'Allocation Factors'!$P$3:$P$89)</f>
        <v>0</v>
      </c>
      <c r="M236" s="30">
        <f t="shared" ref="M236" si="139">ROUND(H236*L236,0)</f>
        <v>0</v>
      </c>
      <c r="N236" s="30">
        <f t="shared" ref="N236" si="140">ROUND(I236*L236,0)</f>
        <v>0</v>
      </c>
      <c r="O236" s="30">
        <f t="shared" ref="O236" si="141">SUM(M236:N236)</f>
        <v>0</v>
      </c>
      <c r="P236" s="30">
        <f t="shared" ref="P236" si="142">O236</f>
        <v>0</v>
      </c>
    </row>
    <row r="237" spans="1:16">
      <c r="A237" s="90" t="s">
        <v>547</v>
      </c>
      <c r="B237" s="29">
        <v>287393</v>
      </c>
      <c r="C237" s="273">
        <v>425.11</v>
      </c>
      <c r="D237" s="29" t="s">
        <v>8</v>
      </c>
      <c r="E237" s="276" t="s">
        <v>333</v>
      </c>
      <c r="F237" s="30">
        <v>-501369</v>
      </c>
      <c r="G237" s="30">
        <f t="shared" si="125"/>
        <v>-501369</v>
      </c>
      <c r="H237" s="30">
        <f t="shared" si="126"/>
        <v>0</v>
      </c>
      <c r="I237" s="30">
        <v>0</v>
      </c>
      <c r="J237" s="30">
        <f t="shared" si="131"/>
        <v>0</v>
      </c>
      <c r="K237" s="269" t="s">
        <v>331</v>
      </c>
      <c r="L237" s="270">
        <f>SUMIF('Allocation Factors'!$B$3:$B$89,'Current Income Tax Expense'!K237,'Allocation Factors'!$P$3:$P$89)</f>
        <v>0</v>
      </c>
      <c r="M237" s="30">
        <f t="shared" si="120"/>
        <v>0</v>
      </c>
      <c r="N237" s="30">
        <f t="shared" si="132"/>
        <v>0</v>
      </c>
      <c r="O237" s="30">
        <f t="shared" si="133"/>
        <v>0</v>
      </c>
      <c r="P237" s="30">
        <f t="shared" ref="P237:P258" si="143">O237</f>
        <v>0</v>
      </c>
    </row>
    <row r="238" spans="1:16">
      <c r="A238" s="90" t="s">
        <v>433</v>
      </c>
      <c r="B238" s="29">
        <v>286915</v>
      </c>
      <c r="C238" s="273">
        <v>425.15499999999997</v>
      </c>
      <c r="D238" s="29" t="s">
        <v>8</v>
      </c>
      <c r="E238" s="276" t="s">
        <v>333</v>
      </c>
      <c r="F238" s="30">
        <v>-13866840</v>
      </c>
      <c r="G238" s="30">
        <f t="shared" si="125"/>
        <v>-13866840</v>
      </c>
      <c r="H238" s="30">
        <f t="shared" si="126"/>
        <v>0</v>
      </c>
      <c r="I238" s="30">
        <v>0</v>
      </c>
      <c r="J238" s="30">
        <f t="shared" si="131"/>
        <v>0</v>
      </c>
      <c r="K238" s="269" t="s">
        <v>331</v>
      </c>
      <c r="L238" s="270">
        <f>SUMIF('Allocation Factors'!$B$3:$B$89,'Current Income Tax Expense'!K238,'Allocation Factors'!$P$3:$P$89)</f>
        <v>0</v>
      </c>
      <c r="M238" s="30">
        <f t="shared" ref="M238" si="144">ROUND(H238*L238,0)</f>
        <v>0</v>
      </c>
      <c r="N238" s="30">
        <f t="shared" ref="N238" si="145">ROUND(I238*L238,0)</f>
        <v>0</v>
      </c>
      <c r="O238" s="30">
        <f t="shared" ref="O238" si="146">SUM(M238:N238)</f>
        <v>0</v>
      </c>
      <c r="P238" s="30">
        <f t="shared" ref="P238" si="147">O238</f>
        <v>0</v>
      </c>
    </row>
    <row r="239" spans="1:16">
      <c r="A239" s="28" t="s">
        <v>61</v>
      </c>
      <c r="B239" s="29">
        <v>287370</v>
      </c>
      <c r="C239" s="273">
        <v>425.21499999999997</v>
      </c>
      <c r="D239" s="29" t="s">
        <v>8</v>
      </c>
      <c r="E239" s="29" t="s">
        <v>9</v>
      </c>
      <c r="F239" s="30">
        <v>22004</v>
      </c>
      <c r="G239" s="30">
        <f t="shared" si="125"/>
        <v>22004</v>
      </c>
      <c r="H239" s="30">
        <f t="shared" si="126"/>
        <v>22004</v>
      </c>
      <c r="I239" s="30">
        <v>0</v>
      </c>
      <c r="J239" s="30">
        <f t="shared" si="131"/>
        <v>22004</v>
      </c>
      <c r="K239" s="269" t="s">
        <v>21</v>
      </c>
      <c r="L239" s="270">
        <f>SUMIF('Allocation Factors'!$B$3:$B$89,'Current Income Tax Expense'!K239,'Allocation Factors'!$P$3:$P$89)</f>
        <v>6.4409240866138473E-2</v>
      </c>
      <c r="M239" s="30">
        <f t="shared" si="120"/>
        <v>1417</v>
      </c>
      <c r="N239" s="30">
        <f t="shared" si="132"/>
        <v>0</v>
      </c>
      <c r="O239" s="30">
        <f t="shared" si="133"/>
        <v>1417</v>
      </c>
      <c r="P239" s="30">
        <f t="shared" si="143"/>
        <v>1417</v>
      </c>
    </row>
    <row r="240" spans="1:16">
      <c r="A240" s="28" t="s">
        <v>548</v>
      </c>
      <c r="B240" s="29">
        <v>287897</v>
      </c>
      <c r="C240" s="273">
        <v>425.4</v>
      </c>
      <c r="D240" s="29" t="s">
        <v>8</v>
      </c>
      <c r="E240" s="269" t="s">
        <v>9</v>
      </c>
      <c r="F240" s="30">
        <v>3602501</v>
      </c>
      <c r="G240" s="30">
        <f t="shared" si="125"/>
        <v>3602501</v>
      </c>
      <c r="H240" s="30">
        <f t="shared" si="126"/>
        <v>3602501</v>
      </c>
      <c r="I240" s="30">
        <v>0</v>
      </c>
      <c r="J240" s="30">
        <f t="shared" si="131"/>
        <v>3602501</v>
      </c>
      <c r="K240" s="29" t="s">
        <v>15</v>
      </c>
      <c r="L240" s="270">
        <f>SUMIF('Allocation Factors'!$B$3:$B$89,'Current Income Tax Expense'!K240,'Allocation Factors'!$P$3:$P$89)</f>
        <v>0</v>
      </c>
      <c r="M240" s="30">
        <f t="shared" si="120"/>
        <v>0</v>
      </c>
      <c r="N240" s="30">
        <f t="shared" si="132"/>
        <v>0</v>
      </c>
      <c r="O240" s="30">
        <f t="shared" si="133"/>
        <v>0</v>
      </c>
      <c r="P240" s="30">
        <f t="shared" si="143"/>
        <v>0</v>
      </c>
    </row>
    <row r="241" spans="1:16">
      <c r="A241" s="28" t="s">
        <v>549</v>
      </c>
      <c r="B241" s="29">
        <v>287576</v>
      </c>
      <c r="C241" s="273">
        <v>430.11</v>
      </c>
      <c r="D241" s="29" t="s">
        <v>8</v>
      </c>
      <c r="E241" s="269" t="s">
        <v>9</v>
      </c>
      <c r="F241" s="30">
        <v>-23147146</v>
      </c>
      <c r="G241" s="30">
        <f t="shared" si="125"/>
        <v>-23147146</v>
      </c>
      <c r="H241" s="30">
        <f t="shared" si="126"/>
        <v>-23147146</v>
      </c>
      <c r="I241" s="30">
        <v>0</v>
      </c>
      <c r="J241" s="30">
        <f t="shared" si="131"/>
        <v>-23147146</v>
      </c>
      <c r="K241" s="276" t="s">
        <v>15</v>
      </c>
      <c r="L241" s="270">
        <f>SUMIF('Allocation Factors'!$B$3:$B$89,'Current Income Tax Expense'!K241,'Allocation Factors'!$P$3:$P$89)</f>
        <v>0</v>
      </c>
      <c r="M241" s="30">
        <f t="shared" si="120"/>
        <v>0</v>
      </c>
      <c r="N241" s="30">
        <f t="shared" si="132"/>
        <v>0</v>
      </c>
      <c r="O241" s="30">
        <f t="shared" si="133"/>
        <v>0</v>
      </c>
      <c r="P241" s="30">
        <f t="shared" si="143"/>
        <v>0</v>
      </c>
    </row>
    <row r="242" spans="1:16">
      <c r="A242" s="28" t="s">
        <v>62</v>
      </c>
      <c r="B242" s="29">
        <v>287942</v>
      </c>
      <c r="C242" s="273">
        <v>430.11200000000002</v>
      </c>
      <c r="D242" s="29" t="s">
        <v>8</v>
      </c>
      <c r="E242" s="269" t="s">
        <v>9</v>
      </c>
      <c r="F242" s="30">
        <v>-994267</v>
      </c>
      <c r="G242" s="30">
        <f t="shared" si="125"/>
        <v>-994267</v>
      </c>
      <c r="H242" s="30">
        <f t="shared" si="126"/>
        <v>-994267</v>
      </c>
      <c r="I242" s="30">
        <v>0</v>
      </c>
      <c r="J242" s="30">
        <f t="shared" si="131"/>
        <v>-994267</v>
      </c>
      <c r="K242" s="276" t="s">
        <v>15</v>
      </c>
      <c r="L242" s="270">
        <f>SUMIF('Allocation Factors'!$B$3:$B$89,'Current Income Tax Expense'!K242,'Allocation Factors'!$P$3:$P$89)</f>
        <v>0</v>
      </c>
      <c r="M242" s="30">
        <f t="shared" si="120"/>
        <v>0</v>
      </c>
      <c r="N242" s="30">
        <f t="shared" si="132"/>
        <v>0</v>
      </c>
      <c r="O242" s="30">
        <f t="shared" si="133"/>
        <v>0</v>
      </c>
      <c r="P242" s="30">
        <f t="shared" si="143"/>
        <v>0</v>
      </c>
    </row>
    <row r="243" spans="1:16">
      <c r="A243" s="28" t="s">
        <v>256</v>
      </c>
      <c r="B243" s="29">
        <v>287354</v>
      </c>
      <c r="C243" s="273">
        <v>505.15</v>
      </c>
      <c r="D243" s="29" t="s">
        <v>8</v>
      </c>
      <c r="E243" s="269" t="s">
        <v>333</v>
      </c>
      <c r="F243" s="30">
        <v>6991484</v>
      </c>
      <c r="G243" s="30">
        <f t="shared" si="125"/>
        <v>6991484</v>
      </c>
      <c r="H243" s="30">
        <f t="shared" si="126"/>
        <v>0</v>
      </c>
      <c r="I243" s="30">
        <v>0</v>
      </c>
      <c r="J243" s="30">
        <f t="shared" si="131"/>
        <v>0</v>
      </c>
      <c r="K243" s="276" t="s">
        <v>331</v>
      </c>
      <c r="L243" s="270">
        <f>SUMIF('Allocation Factors'!$B$3:$B$89,'Current Income Tax Expense'!K243,'Allocation Factors'!$P$3:$P$89)</f>
        <v>0</v>
      </c>
      <c r="M243" s="30">
        <f t="shared" si="120"/>
        <v>0</v>
      </c>
      <c r="N243" s="30">
        <f t="shared" si="132"/>
        <v>0</v>
      </c>
      <c r="O243" s="30">
        <f t="shared" si="133"/>
        <v>0</v>
      </c>
      <c r="P243" s="30">
        <f t="shared" si="143"/>
        <v>0</v>
      </c>
    </row>
    <row r="244" spans="1:16">
      <c r="A244" s="90" t="s">
        <v>550</v>
      </c>
      <c r="B244" s="29">
        <v>287297</v>
      </c>
      <c r="C244" s="273">
        <v>505.15499999999997</v>
      </c>
      <c r="D244" s="29" t="s">
        <v>8</v>
      </c>
      <c r="E244" s="269" t="s">
        <v>333</v>
      </c>
      <c r="F244" s="30">
        <v>117127</v>
      </c>
      <c r="G244" s="30">
        <f t="shared" si="125"/>
        <v>117127</v>
      </c>
      <c r="H244" s="30">
        <f t="shared" si="126"/>
        <v>0</v>
      </c>
      <c r="I244" s="30">
        <v>0</v>
      </c>
      <c r="J244" s="30">
        <f t="shared" si="131"/>
        <v>0</v>
      </c>
      <c r="K244" s="276" t="s">
        <v>331</v>
      </c>
      <c r="L244" s="270">
        <f>SUMIF('Allocation Factors'!$B$3:$B$89,'Current Income Tax Expense'!K244,'Allocation Factors'!$P$3:$P$89)</f>
        <v>0</v>
      </c>
      <c r="M244" s="30">
        <f t="shared" ref="M244" si="148">ROUND(H244*L244,0)</f>
        <v>0</v>
      </c>
      <c r="N244" s="30">
        <f t="shared" ref="N244" si="149">ROUND(I244*L244,0)</f>
        <v>0</v>
      </c>
      <c r="O244" s="30">
        <f t="shared" ref="O244" si="150">SUM(M244:N244)</f>
        <v>0</v>
      </c>
      <c r="P244" s="30">
        <f t="shared" ref="P244" si="151">O244</f>
        <v>0</v>
      </c>
    </row>
    <row r="245" spans="1:16">
      <c r="A245" s="28" t="s">
        <v>39</v>
      </c>
      <c r="B245" s="29">
        <v>287722</v>
      </c>
      <c r="C245" s="273">
        <v>505.51</v>
      </c>
      <c r="D245" s="29" t="s">
        <v>8</v>
      </c>
      <c r="E245" s="269" t="s">
        <v>9</v>
      </c>
      <c r="F245" s="30">
        <v>-11054</v>
      </c>
      <c r="G245" s="30">
        <f t="shared" si="125"/>
        <v>-11054</v>
      </c>
      <c r="H245" s="30">
        <f t="shared" si="126"/>
        <v>-11054</v>
      </c>
      <c r="I245" s="30">
        <v>0</v>
      </c>
      <c r="J245" s="30">
        <f t="shared" si="131"/>
        <v>-11054</v>
      </c>
      <c r="K245" s="276" t="s">
        <v>170</v>
      </c>
      <c r="L245" s="270">
        <f>SUMIF('Allocation Factors'!$B$3:$B$89,'Current Income Tax Expense'!K245,'Allocation Factors'!$P$3:$P$89)</f>
        <v>0.22591574269314921</v>
      </c>
      <c r="M245" s="30">
        <f t="shared" si="120"/>
        <v>-2497</v>
      </c>
      <c r="N245" s="30">
        <f t="shared" si="132"/>
        <v>0</v>
      </c>
      <c r="O245" s="30">
        <f t="shared" si="133"/>
        <v>-2497</v>
      </c>
      <c r="P245" s="30">
        <f t="shared" si="143"/>
        <v>-2497</v>
      </c>
    </row>
    <row r="246" spans="1:16">
      <c r="A246" s="90" t="s">
        <v>348</v>
      </c>
      <c r="B246" s="29">
        <v>287225</v>
      </c>
      <c r="C246" s="273">
        <v>605.10299999999995</v>
      </c>
      <c r="D246" s="29" t="s">
        <v>8</v>
      </c>
      <c r="E246" s="276" t="s">
        <v>333</v>
      </c>
      <c r="F246" s="30">
        <v>2547</v>
      </c>
      <c r="G246" s="30">
        <f t="shared" si="125"/>
        <v>2547</v>
      </c>
      <c r="H246" s="30">
        <f t="shared" si="126"/>
        <v>0</v>
      </c>
      <c r="I246" s="30">
        <v>0</v>
      </c>
      <c r="J246" s="30">
        <f t="shared" si="131"/>
        <v>0</v>
      </c>
      <c r="K246" s="276" t="s">
        <v>331</v>
      </c>
      <c r="L246" s="270">
        <f>SUMIF('Allocation Factors'!$B$3:$B$89,'Current Income Tax Expense'!K246,'Allocation Factors'!$P$3:$P$89)</f>
        <v>0</v>
      </c>
      <c r="M246" s="30">
        <f t="shared" si="120"/>
        <v>0</v>
      </c>
      <c r="N246" s="30">
        <f t="shared" si="132"/>
        <v>0</v>
      </c>
      <c r="O246" s="30">
        <f t="shared" si="133"/>
        <v>0</v>
      </c>
      <c r="P246" s="30">
        <f t="shared" si="143"/>
        <v>0</v>
      </c>
    </row>
    <row r="247" spans="1:16">
      <c r="A247" s="28" t="s">
        <v>293</v>
      </c>
      <c r="B247" s="29">
        <v>287720</v>
      </c>
      <c r="C247" s="273">
        <v>610.1</v>
      </c>
      <c r="D247" s="29" t="s">
        <v>8</v>
      </c>
      <c r="E247" s="29" t="s">
        <v>9</v>
      </c>
      <c r="F247" s="30">
        <v>379445</v>
      </c>
      <c r="G247" s="30">
        <f t="shared" ref="G247:G269" si="152">+F247</f>
        <v>379445</v>
      </c>
      <c r="H247" s="30">
        <f t="shared" ref="H247:H269" si="153">IF(E247="U",G247,0)</f>
        <v>379445</v>
      </c>
      <c r="I247" s="30">
        <v>0</v>
      </c>
      <c r="J247" s="30">
        <f t="shared" si="131"/>
        <v>379445</v>
      </c>
      <c r="K247" s="276" t="s">
        <v>170</v>
      </c>
      <c r="L247" s="270">
        <f>SUMIF('Allocation Factors'!$B$3:$B$89,'Current Income Tax Expense'!K247,'Allocation Factors'!$P$3:$P$89)</f>
        <v>0.22591574269314921</v>
      </c>
      <c r="M247" s="30">
        <f t="shared" si="120"/>
        <v>85723</v>
      </c>
      <c r="N247" s="30">
        <f t="shared" si="132"/>
        <v>0</v>
      </c>
      <c r="O247" s="30">
        <f t="shared" si="133"/>
        <v>85723</v>
      </c>
      <c r="P247" s="30">
        <f t="shared" si="143"/>
        <v>85723</v>
      </c>
    </row>
    <row r="248" spans="1:16">
      <c r="A248" s="28" t="s">
        <v>551</v>
      </c>
      <c r="B248" s="29">
        <v>287766</v>
      </c>
      <c r="C248" s="273" t="s">
        <v>63</v>
      </c>
      <c r="D248" s="29" t="s">
        <v>8</v>
      </c>
      <c r="E248" s="29" t="s">
        <v>9</v>
      </c>
      <c r="F248" s="30">
        <v>-38633</v>
      </c>
      <c r="G248" s="30">
        <f t="shared" si="152"/>
        <v>-38633</v>
      </c>
      <c r="H248" s="30">
        <f t="shared" si="153"/>
        <v>-38633</v>
      </c>
      <c r="I248" s="30">
        <v>0</v>
      </c>
      <c r="J248" s="30">
        <f t="shared" si="131"/>
        <v>-38633</v>
      </c>
      <c r="K248" s="276" t="s">
        <v>10</v>
      </c>
      <c r="L248" s="270">
        <f>SUMIF('Allocation Factors'!$B$3:$B$89,'Current Income Tax Expense'!K248,'Allocation Factors'!$P$3:$P$89)</f>
        <v>6.7017620954721469E-2</v>
      </c>
      <c r="M248" s="30">
        <f t="shared" si="120"/>
        <v>-2589</v>
      </c>
      <c r="N248" s="30">
        <f t="shared" si="132"/>
        <v>0</v>
      </c>
      <c r="O248" s="30">
        <f t="shared" si="133"/>
        <v>-2589</v>
      </c>
      <c r="P248" s="30">
        <f t="shared" si="143"/>
        <v>-2589</v>
      </c>
    </row>
    <row r="249" spans="1:16">
      <c r="A249" s="28" t="s">
        <v>64</v>
      </c>
      <c r="B249" s="29">
        <v>287726</v>
      </c>
      <c r="C249" s="273">
        <v>610.11099999999999</v>
      </c>
      <c r="D249" s="29" t="s">
        <v>8</v>
      </c>
      <c r="E249" s="29" t="s">
        <v>9</v>
      </c>
      <c r="F249" s="30">
        <v>-128991</v>
      </c>
      <c r="G249" s="30">
        <f t="shared" si="152"/>
        <v>-128991</v>
      </c>
      <c r="H249" s="30">
        <f t="shared" si="153"/>
        <v>-128991</v>
      </c>
      <c r="I249" s="30">
        <v>0</v>
      </c>
      <c r="J249" s="30">
        <f t="shared" si="131"/>
        <v>-128991</v>
      </c>
      <c r="K249" s="276" t="s">
        <v>170</v>
      </c>
      <c r="L249" s="270">
        <f>SUMIF('Allocation Factors'!$B$3:$B$89,'Current Income Tax Expense'!K249,'Allocation Factors'!$P$3:$P$89)</f>
        <v>0.22591574269314921</v>
      </c>
      <c r="M249" s="30">
        <f t="shared" si="120"/>
        <v>-29141</v>
      </c>
      <c r="N249" s="30">
        <f t="shared" si="132"/>
        <v>0</v>
      </c>
      <c r="O249" s="30">
        <f t="shared" si="133"/>
        <v>-29141</v>
      </c>
      <c r="P249" s="30">
        <f t="shared" si="143"/>
        <v>-29141</v>
      </c>
    </row>
    <row r="250" spans="1:16">
      <c r="A250" s="28" t="s">
        <v>552</v>
      </c>
      <c r="B250" s="29">
        <v>287302</v>
      </c>
      <c r="C250" s="273">
        <v>610.11400000000003</v>
      </c>
      <c r="D250" s="29" t="s">
        <v>8</v>
      </c>
      <c r="E250" s="29" t="s">
        <v>9</v>
      </c>
      <c r="F250" s="30">
        <v>3297805</v>
      </c>
      <c r="G250" s="30">
        <f t="shared" si="152"/>
        <v>3297805</v>
      </c>
      <c r="H250" s="30">
        <f t="shared" si="153"/>
        <v>3297805</v>
      </c>
      <c r="I250" s="30">
        <v>0</v>
      </c>
      <c r="J250" s="30">
        <f t="shared" si="131"/>
        <v>3297805</v>
      </c>
      <c r="K250" s="276" t="s">
        <v>170</v>
      </c>
      <c r="L250" s="270">
        <f>SUMIF('Allocation Factors'!$B$3:$B$89,'Current Income Tax Expense'!K250,'Allocation Factors'!$P$3:$P$89)</f>
        <v>0.22591574269314921</v>
      </c>
      <c r="M250" s="30">
        <f t="shared" si="120"/>
        <v>745026</v>
      </c>
      <c r="N250" s="30">
        <f t="shared" si="132"/>
        <v>0</v>
      </c>
      <c r="O250" s="30">
        <f t="shared" si="133"/>
        <v>745026</v>
      </c>
      <c r="P250" s="30">
        <f t="shared" si="143"/>
        <v>745026</v>
      </c>
    </row>
    <row r="251" spans="1:16">
      <c r="A251" s="28" t="s">
        <v>41</v>
      </c>
      <c r="B251" s="29">
        <v>287445</v>
      </c>
      <c r="C251" s="273">
        <v>610.14200000000005</v>
      </c>
      <c r="D251" s="29" t="s">
        <v>8</v>
      </c>
      <c r="E251" s="29" t="s">
        <v>9</v>
      </c>
      <c r="F251" s="30">
        <v>-88369</v>
      </c>
      <c r="G251" s="30">
        <f t="shared" si="152"/>
        <v>-88369</v>
      </c>
      <c r="H251" s="30">
        <f t="shared" si="153"/>
        <v>-88369</v>
      </c>
      <c r="I251" s="30">
        <v>0</v>
      </c>
      <c r="J251" s="30">
        <f t="shared" si="131"/>
        <v>-88369</v>
      </c>
      <c r="K251" s="29" t="s">
        <v>28</v>
      </c>
      <c r="L251" s="270">
        <f>SUMIF('Allocation Factors'!$B$3:$B$89,'Current Income Tax Expense'!K251,'Allocation Factors'!$P$3:$P$89)</f>
        <v>0</v>
      </c>
      <c r="M251" s="30">
        <f t="shared" si="120"/>
        <v>0</v>
      </c>
      <c r="N251" s="30">
        <f t="shared" si="132"/>
        <v>0</v>
      </c>
      <c r="O251" s="30">
        <f t="shared" si="133"/>
        <v>0</v>
      </c>
      <c r="P251" s="30">
        <f t="shared" si="143"/>
        <v>0</v>
      </c>
    </row>
    <row r="252" spans="1:16">
      <c r="A252" s="28" t="s">
        <v>553</v>
      </c>
      <c r="B252" s="29">
        <v>287304</v>
      </c>
      <c r="C252" s="273">
        <v>610.14599999999996</v>
      </c>
      <c r="D252" s="29" t="s">
        <v>8</v>
      </c>
      <c r="E252" s="276" t="s">
        <v>9</v>
      </c>
      <c r="F252" s="30">
        <v>-298</v>
      </c>
      <c r="G252" s="30">
        <f t="shared" si="152"/>
        <v>-298</v>
      </c>
      <c r="H252" s="30">
        <f t="shared" si="153"/>
        <v>-298</v>
      </c>
      <c r="I252" s="30">
        <v>0</v>
      </c>
      <c r="J252" s="30">
        <f t="shared" si="131"/>
        <v>-298</v>
      </c>
      <c r="K252" s="276" t="s">
        <v>30</v>
      </c>
      <c r="L252" s="270">
        <f>SUMIF('Allocation Factors'!$B$3:$B$89,'Current Income Tax Expense'!K252,'Allocation Factors'!$P$3:$P$89)</f>
        <v>0</v>
      </c>
      <c r="M252" s="30">
        <f t="shared" si="120"/>
        <v>0</v>
      </c>
      <c r="N252" s="30">
        <f t="shared" si="132"/>
        <v>0</v>
      </c>
      <c r="O252" s="30">
        <f t="shared" si="133"/>
        <v>0</v>
      </c>
      <c r="P252" s="30">
        <f t="shared" si="143"/>
        <v>0</v>
      </c>
    </row>
    <row r="253" spans="1:16">
      <c r="A253" s="28" t="s">
        <v>554</v>
      </c>
      <c r="B253" s="29">
        <v>287299</v>
      </c>
      <c r="C253" s="273">
        <v>705.26499999999999</v>
      </c>
      <c r="D253" s="29" t="s">
        <v>8</v>
      </c>
      <c r="E253" s="276" t="s">
        <v>9</v>
      </c>
      <c r="F253" s="30">
        <v>131167</v>
      </c>
      <c r="G253" s="30">
        <f t="shared" si="152"/>
        <v>131167</v>
      </c>
      <c r="H253" s="30">
        <f t="shared" si="153"/>
        <v>131167</v>
      </c>
      <c r="I253" s="30">
        <v>0</v>
      </c>
      <c r="J253" s="30">
        <f t="shared" si="131"/>
        <v>131167</v>
      </c>
      <c r="K253" s="276" t="s">
        <v>15</v>
      </c>
      <c r="L253" s="270">
        <f>SUMIF('Allocation Factors'!$B$3:$B$89,'Current Income Tax Expense'!K253,'Allocation Factors'!$P$3:$P$89)</f>
        <v>0</v>
      </c>
      <c r="M253" s="30">
        <f t="shared" si="120"/>
        <v>0</v>
      </c>
      <c r="N253" s="30">
        <f t="shared" si="132"/>
        <v>0</v>
      </c>
      <c r="O253" s="30">
        <f t="shared" si="133"/>
        <v>0</v>
      </c>
      <c r="P253" s="30">
        <f t="shared" si="143"/>
        <v>0</v>
      </c>
    </row>
    <row r="254" spans="1:16">
      <c r="A254" s="90" t="s">
        <v>555</v>
      </c>
      <c r="B254" s="29">
        <v>287272</v>
      </c>
      <c r="C254" s="273">
        <v>705.33699999999999</v>
      </c>
      <c r="D254" s="29" t="s">
        <v>8</v>
      </c>
      <c r="E254" s="276" t="s">
        <v>9</v>
      </c>
      <c r="F254" s="30">
        <v>86267</v>
      </c>
      <c r="G254" s="30">
        <f t="shared" si="152"/>
        <v>86267</v>
      </c>
      <c r="H254" s="30">
        <f t="shared" si="153"/>
        <v>86267</v>
      </c>
      <c r="I254" s="30">
        <v>0</v>
      </c>
      <c r="J254" s="30">
        <f t="shared" si="131"/>
        <v>86267</v>
      </c>
      <c r="K254" s="276" t="s">
        <v>15</v>
      </c>
      <c r="L254" s="270">
        <f>SUMIF('Allocation Factors'!$B$3:$B$89,'Current Income Tax Expense'!K254,'Allocation Factors'!$P$3:$P$89)</f>
        <v>0</v>
      </c>
      <c r="M254" s="30">
        <f t="shared" ref="M254" si="154">ROUND(H254*L254,0)</f>
        <v>0</v>
      </c>
      <c r="N254" s="30">
        <f t="shared" ref="N254" si="155">ROUND(I254*L254,0)</f>
        <v>0</v>
      </c>
      <c r="O254" s="30">
        <f t="shared" ref="O254" si="156">SUM(M254:N254)</f>
        <v>0</v>
      </c>
      <c r="P254" s="30">
        <f t="shared" ref="P254" si="157">O254</f>
        <v>0</v>
      </c>
    </row>
    <row r="255" spans="1:16">
      <c r="A255" s="28" t="s">
        <v>556</v>
      </c>
      <c r="B255" s="29">
        <v>287258</v>
      </c>
      <c r="C255" s="273">
        <v>705.45399999999995</v>
      </c>
      <c r="D255" s="29" t="s">
        <v>8</v>
      </c>
      <c r="E255" s="29" t="s">
        <v>9</v>
      </c>
      <c r="F255" s="30">
        <v>1206417</v>
      </c>
      <c r="G255" s="30">
        <f t="shared" si="152"/>
        <v>1206417</v>
      </c>
      <c r="H255" s="30">
        <f t="shared" si="153"/>
        <v>1206417</v>
      </c>
      <c r="I255" s="30">
        <v>0</v>
      </c>
      <c r="J255" s="30">
        <f t="shared" si="131"/>
        <v>1206417</v>
      </c>
      <c r="K255" s="276" t="s">
        <v>28</v>
      </c>
      <c r="L255" s="270">
        <f>SUMIF('Allocation Factors'!$B$3:$B$89,'Current Income Tax Expense'!K255,'Allocation Factors'!$P$3:$P$89)</f>
        <v>0</v>
      </c>
      <c r="M255" s="30">
        <f t="shared" si="120"/>
        <v>0</v>
      </c>
      <c r="N255" s="30">
        <f t="shared" si="132"/>
        <v>0</v>
      </c>
      <c r="O255" s="30">
        <f t="shared" si="133"/>
        <v>0</v>
      </c>
      <c r="P255" s="30">
        <f t="shared" si="143"/>
        <v>0</v>
      </c>
    </row>
    <row r="256" spans="1:16">
      <c r="A256" s="76" t="s">
        <v>316</v>
      </c>
      <c r="B256" s="29">
        <v>287237</v>
      </c>
      <c r="C256" s="273">
        <v>705.755</v>
      </c>
      <c r="D256" s="29" t="s">
        <v>8</v>
      </c>
      <c r="E256" s="29" t="s">
        <v>9</v>
      </c>
      <c r="F256" s="30">
        <v>-14974</v>
      </c>
      <c r="G256" s="30">
        <f t="shared" si="152"/>
        <v>-14974</v>
      </c>
      <c r="H256" s="30">
        <f t="shared" si="153"/>
        <v>-14974</v>
      </c>
      <c r="I256" s="30">
        <v>0</v>
      </c>
      <c r="J256" s="30">
        <f t="shared" ref="J256:J269" si="158">SUM(H256:I256)</f>
        <v>-14974</v>
      </c>
      <c r="K256" s="276" t="s">
        <v>15</v>
      </c>
      <c r="L256" s="270">
        <f>SUMIF('Allocation Factors'!$B$3:$B$89,'Current Income Tax Expense'!K256,'Allocation Factors'!$P$3:$P$89)</f>
        <v>0</v>
      </c>
      <c r="M256" s="30">
        <f t="shared" si="120"/>
        <v>0</v>
      </c>
      <c r="N256" s="30">
        <f t="shared" ref="N256:N269" si="159">ROUND(I256*L256,0)</f>
        <v>0</v>
      </c>
      <c r="O256" s="30">
        <f t="shared" ref="O256:O269" si="160">SUM(M256:N256)</f>
        <v>0</v>
      </c>
      <c r="P256" s="30">
        <f t="shared" si="143"/>
        <v>0</v>
      </c>
    </row>
    <row r="257" spans="1:16">
      <c r="A257" s="90" t="s">
        <v>434</v>
      </c>
      <c r="B257" s="29">
        <v>287914</v>
      </c>
      <c r="C257" s="273">
        <v>715.721</v>
      </c>
      <c r="D257" s="29" t="s">
        <v>8</v>
      </c>
      <c r="E257" s="276" t="s">
        <v>333</v>
      </c>
      <c r="F257" s="30">
        <v>-190561</v>
      </c>
      <c r="G257" s="30">
        <f t="shared" si="152"/>
        <v>-190561</v>
      </c>
      <c r="H257" s="30">
        <f t="shared" si="153"/>
        <v>0</v>
      </c>
      <c r="I257" s="30">
        <v>0</v>
      </c>
      <c r="J257" s="30">
        <f t="shared" si="158"/>
        <v>0</v>
      </c>
      <c r="K257" s="276" t="s">
        <v>331</v>
      </c>
      <c r="L257" s="270">
        <f>SUMIF('Allocation Factors'!$B$3:$B$89,'Current Income Tax Expense'!K257,'Allocation Factors'!$P$3:$P$89)</f>
        <v>0</v>
      </c>
      <c r="M257" s="30">
        <f t="shared" ref="M257" si="161">ROUND(H257*L257,0)</f>
        <v>0</v>
      </c>
      <c r="N257" s="30">
        <f t="shared" ref="N257" si="162">ROUND(I257*L257,0)</f>
        <v>0</v>
      </c>
      <c r="O257" s="30">
        <f t="shared" ref="O257" si="163">SUM(M257:N257)</f>
        <v>0</v>
      </c>
      <c r="P257" s="30">
        <f t="shared" si="143"/>
        <v>0</v>
      </c>
    </row>
    <row r="258" spans="1:16">
      <c r="A258" s="28" t="s">
        <v>557</v>
      </c>
      <c r="B258" s="29">
        <v>287324</v>
      </c>
      <c r="C258" s="273">
        <v>720.2</v>
      </c>
      <c r="D258" s="29" t="s">
        <v>8</v>
      </c>
      <c r="E258" s="29" t="s">
        <v>9</v>
      </c>
      <c r="F258" s="30">
        <v>69799</v>
      </c>
      <c r="G258" s="30">
        <f t="shared" si="152"/>
        <v>69799</v>
      </c>
      <c r="H258" s="30">
        <f t="shared" si="153"/>
        <v>69799</v>
      </c>
      <c r="I258" s="30">
        <v>0</v>
      </c>
      <c r="J258" s="30">
        <f t="shared" si="158"/>
        <v>69799</v>
      </c>
      <c r="K258" s="276" t="s">
        <v>10</v>
      </c>
      <c r="L258" s="270">
        <f>SUMIF('Allocation Factors'!$B$3:$B$89,'Current Income Tax Expense'!K258,'Allocation Factors'!$P$3:$P$89)</f>
        <v>6.7017620954721469E-2</v>
      </c>
      <c r="M258" s="30">
        <f t="shared" si="120"/>
        <v>4678</v>
      </c>
      <c r="N258" s="30">
        <f t="shared" si="159"/>
        <v>0</v>
      </c>
      <c r="O258" s="30">
        <f t="shared" si="160"/>
        <v>4678</v>
      </c>
      <c r="P258" s="30">
        <f t="shared" si="143"/>
        <v>4678</v>
      </c>
    </row>
    <row r="259" spans="1:16">
      <c r="A259" s="28" t="s">
        <v>558</v>
      </c>
      <c r="B259" s="29">
        <v>287326</v>
      </c>
      <c r="C259" s="273">
        <v>720.5</v>
      </c>
      <c r="D259" s="29" t="s">
        <v>8</v>
      </c>
      <c r="E259" s="29" t="s">
        <v>9</v>
      </c>
      <c r="F259" s="30">
        <v>-257395</v>
      </c>
      <c r="G259" s="30">
        <f t="shared" si="152"/>
        <v>-257395</v>
      </c>
      <c r="H259" s="30">
        <f t="shared" si="153"/>
        <v>-257395</v>
      </c>
      <c r="I259" s="30">
        <v>0</v>
      </c>
      <c r="J259" s="30">
        <f t="shared" si="158"/>
        <v>-257395</v>
      </c>
      <c r="K259" s="29" t="s">
        <v>10</v>
      </c>
      <c r="L259" s="270">
        <f>SUMIF('Allocation Factors'!$B$3:$B$89,'Current Income Tax Expense'!K259,'Allocation Factors'!$P$3:$P$89)</f>
        <v>6.7017620954721469E-2</v>
      </c>
      <c r="M259" s="30">
        <f t="shared" si="120"/>
        <v>-17250</v>
      </c>
      <c r="N259" s="30">
        <f t="shared" si="159"/>
        <v>0</v>
      </c>
      <c r="O259" s="30">
        <f t="shared" si="160"/>
        <v>-17250</v>
      </c>
      <c r="P259" s="30">
        <f t="shared" ref="P259:P269" si="164">O259</f>
        <v>-17250</v>
      </c>
    </row>
    <row r="260" spans="1:16">
      <c r="A260" s="28" t="s">
        <v>66</v>
      </c>
      <c r="B260" s="29">
        <v>287460</v>
      </c>
      <c r="C260" s="273">
        <v>720.8</v>
      </c>
      <c r="D260" s="29" t="s">
        <v>8</v>
      </c>
      <c r="E260" s="276" t="s">
        <v>333</v>
      </c>
      <c r="F260" s="30">
        <v>-27951791</v>
      </c>
      <c r="G260" s="30">
        <f t="shared" si="152"/>
        <v>-27951791</v>
      </c>
      <c r="H260" s="30">
        <f t="shared" si="153"/>
        <v>0</v>
      </c>
      <c r="I260" s="30">
        <v>0</v>
      </c>
      <c r="J260" s="30">
        <f t="shared" si="158"/>
        <v>0</v>
      </c>
      <c r="K260" s="276" t="s">
        <v>331</v>
      </c>
      <c r="L260" s="270">
        <f>SUMIF('Allocation Factors'!$B$3:$B$89,'Current Income Tax Expense'!K260,'Allocation Factors'!$P$3:$P$89)</f>
        <v>0</v>
      </c>
      <c r="M260" s="30">
        <f t="shared" si="120"/>
        <v>0</v>
      </c>
      <c r="N260" s="30">
        <f t="shared" si="159"/>
        <v>0</v>
      </c>
      <c r="O260" s="30">
        <f t="shared" si="160"/>
        <v>0</v>
      </c>
      <c r="P260" s="30">
        <f t="shared" si="164"/>
        <v>0</v>
      </c>
    </row>
    <row r="261" spans="1:16">
      <c r="A261" s="28" t="s">
        <v>258</v>
      </c>
      <c r="B261" s="29">
        <v>287461</v>
      </c>
      <c r="C261" s="273">
        <v>720.81</v>
      </c>
      <c r="D261" s="29" t="s">
        <v>8</v>
      </c>
      <c r="E261" s="276" t="s">
        <v>333</v>
      </c>
      <c r="F261" s="30">
        <v>-9620795</v>
      </c>
      <c r="G261" s="30">
        <f t="shared" si="152"/>
        <v>-9620795</v>
      </c>
      <c r="H261" s="30">
        <f t="shared" si="153"/>
        <v>0</v>
      </c>
      <c r="I261" s="30">
        <v>0</v>
      </c>
      <c r="J261" s="30">
        <f t="shared" si="158"/>
        <v>0</v>
      </c>
      <c r="K261" s="276" t="s">
        <v>331</v>
      </c>
      <c r="L261" s="270">
        <f>SUMIF('Allocation Factors'!$B$3:$B$89,'Current Income Tax Expense'!K261,'Allocation Factors'!$P$3:$P$89)</f>
        <v>0</v>
      </c>
      <c r="M261" s="30">
        <f t="shared" si="120"/>
        <v>0</v>
      </c>
      <c r="N261" s="30">
        <f t="shared" si="159"/>
        <v>0</v>
      </c>
      <c r="O261" s="30">
        <f t="shared" si="160"/>
        <v>0</v>
      </c>
      <c r="P261" s="30">
        <f t="shared" si="164"/>
        <v>0</v>
      </c>
    </row>
    <row r="262" spans="1:16">
      <c r="A262" s="90" t="s">
        <v>559</v>
      </c>
      <c r="B262" s="29">
        <v>286909</v>
      </c>
      <c r="C262" s="273">
        <v>720.81500000000005</v>
      </c>
      <c r="D262" s="29" t="s">
        <v>8</v>
      </c>
      <c r="E262" s="276" t="s">
        <v>333</v>
      </c>
      <c r="F262" s="30">
        <v>1685732</v>
      </c>
      <c r="G262" s="30">
        <f t="shared" si="152"/>
        <v>1685732</v>
      </c>
      <c r="H262" s="30">
        <f t="shared" si="153"/>
        <v>0</v>
      </c>
      <c r="I262" s="30">
        <v>0</v>
      </c>
      <c r="J262" s="30">
        <f t="shared" si="158"/>
        <v>0</v>
      </c>
      <c r="K262" s="276" t="s">
        <v>331</v>
      </c>
      <c r="L262" s="270">
        <f>SUMIF('Allocation Factors'!$B$3:$B$89,'Current Income Tax Expense'!K262,'Allocation Factors'!$P$3:$P$89)</f>
        <v>0</v>
      </c>
      <c r="M262" s="30">
        <f t="shared" si="120"/>
        <v>0</v>
      </c>
      <c r="N262" s="30">
        <f t="shared" si="159"/>
        <v>0</v>
      </c>
      <c r="O262" s="30">
        <f t="shared" si="160"/>
        <v>0</v>
      </c>
      <c r="P262" s="30">
        <f t="shared" ref="P262" si="165">O262</f>
        <v>0</v>
      </c>
    </row>
    <row r="263" spans="1:16">
      <c r="A263" s="28" t="s">
        <v>67</v>
      </c>
      <c r="B263" s="29">
        <v>287462</v>
      </c>
      <c r="C263" s="273">
        <v>720.82</v>
      </c>
      <c r="D263" s="29" t="s">
        <v>8</v>
      </c>
      <c r="E263" s="29" t="s">
        <v>333</v>
      </c>
      <c r="F263" s="30">
        <v>-1466201</v>
      </c>
      <c r="G263" s="30">
        <f t="shared" si="152"/>
        <v>-1466201</v>
      </c>
      <c r="H263" s="30">
        <f t="shared" si="153"/>
        <v>0</v>
      </c>
      <c r="I263" s="30">
        <v>0</v>
      </c>
      <c r="J263" s="30">
        <f t="shared" si="158"/>
        <v>0</v>
      </c>
      <c r="K263" s="29" t="s">
        <v>331</v>
      </c>
      <c r="L263" s="270">
        <f>SUMIF('Allocation Factors'!$B$3:$B$89,'Current Income Tax Expense'!K263,'Allocation Factors'!$P$3:$P$89)</f>
        <v>0</v>
      </c>
      <c r="M263" s="30">
        <f t="shared" si="120"/>
        <v>0</v>
      </c>
      <c r="N263" s="30">
        <f t="shared" si="159"/>
        <v>0</v>
      </c>
      <c r="O263" s="30">
        <f t="shared" si="160"/>
        <v>0</v>
      </c>
      <c r="P263" s="30">
        <f t="shared" si="164"/>
        <v>0</v>
      </c>
    </row>
    <row r="264" spans="1:16">
      <c r="A264" s="28" t="s">
        <v>560</v>
      </c>
      <c r="B264" s="29">
        <v>287649</v>
      </c>
      <c r="C264" s="273">
        <v>730.17</v>
      </c>
      <c r="D264" s="29" t="s">
        <v>8</v>
      </c>
      <c r="E264" s="29" t="s">
        <v>333</v>
      </c>
      <c r="F264" s="30">
        <v>15227246</v>
      </c>
      <c r="G264" s="30">
        <f t="shared" si="152"/>
        <v>15227246</v>
      </c>
      <c r="H264" s="30">
        <f t="shared" si="153"/>
        <v>0</v>
      </c>
      <c r="I264" s="30">
        <v>0</v>
      </c>
      <c r="J264" s="30">
        <f t="shared" si="158"/>
        <v>0</v>
      </c>
      <c r="K264" s="29" t="s">
        <v>331</v>
      </c>
      <c r="L264" s="270">
        <f>SUMIF('Allocation Factors'!$B$3:$B$89,'Current Income Tax Expense'!K264,'Allocation Factors'!$P$3:$P$89)</f>
        <v>0</v>
      </c>
      <c r="M264" s="30">
        <f t="shared" si="120"/>
        <v>0</v>
      </c>
      <c r="N264" s="30">
        <f t="shared" si="159"/>
        <v>0</v>
      </c>
      <c r="O264" s="30">
        <f t="shared" si="160"/>
        <v>0</v>
      </c>
      <c r="P264" s="30">
        <f t="shared" si="164"/>
        <v>0</v>
      </c>
    </row>
    <row r="265" spans="1:16">
      <c r="A265" s="28" t="s">
        <v>740</v>
      </c>
      <c r="B265" s="29">
        <v>287341</v>
      </c>
      <c r="C265" s="273">
        <v>910.53</v>
      </c>
      <c r="D265" s="29" t="s">
        <v>8</v>
      </c>
      <c r="E265" s="29" t="s">
        <v>9</v>
      </c>
      <c r="F265" s="30">
        <v>10315843</v>
      </c>
      <c r="G265" s="30">
        <f t="shared" si="152"/>
        <v>10315843</v>
      </c>
      <c r="H265" s="30">
        <f t="shared" si="153"/>
        <v>10315843</v>
      </c>
      <c r="I265" s="30">
        <v>0</v>
      </c>
      <c r="J265" s="30">
        <f t="shared" si="158"/>
        <v>10315843</v>
      </c>
      <c r="K265" s="29" t="s">
        <v>10</v>
      </c>
      <c r="L265" s="270">
        <f>SUMIF('Allocation Factors'!$B$3:$B$89,'Current Income Tax Expense'!K265,'Allocation Factors'!$P$3:$P$89)</f>
        <v>6.7017620954721469E-2</v>
      </c>
      <c r="M265" s="30">
        <f t="shared" si="120"/>
        <v>691343</v>
      </c>
      <c r="N265" s="30">
        <f t="shared" si="159"/>
        <v>0</v>
      </c>
      <c r="O265" s="30">
        <f t="shared" si="160"/>
        <v>691343</v>
      </c>
      <c r="P265" s="30">
        <f t="shared" si="164"/>
        <v>691343</v>
      </c>
    </row>
    <row r="266" spans="1:16">
      <c r="A266" s="28" t="s">
        <v>562</v>
      </c>
      <c r="B266" s="29">
        <v>287373</v>
      </c>
      <c r="C266" s="273">
        <v>910.58</v>
      </c>
      <c r="D266" s="29" t="s">
        <v>8</v>
      </c>
      <c r="E266" s="29" t="s">
        <v>333</v>
      </c>
      <c r="F266" s="30">
        <v>-64844</v>
      </c>
      <c r="G266" s="30">
        <f t="shared" si="152"/>
        <v>-64844</v>
      </c>
      <c r="H266" s="30">
        <f t="shared" si="153"/>
        <v>0</v>
      </c>
      <c r="I266" s="30">
        <v>0</v>
      </c>
      <c r="J266" s="30">
        <f t="shared" si="158"/>
        <v>0</v>
      </c>
      <c r="K266" s="29" t="s">
        <v>331</v>
      </c>
      <c r="L266" s="270">
        <f>SUMIF('Allocation Factors'!$B$3:$B$89,'Current Income Tax Expense'!K266,'Allocation Factors'!$P$3:$P$89)</f>
        <v>0</v>
      </c>
      <c r="M266" s="30">
        <f t="shared" si="120"/>
        <v>0</v>
      </c>
      <c r="N266" s="30">
        <f t="shared" si="159"/>
        <v>0</v>
      </c>
      <c r="O266" s="30">
        <f t="shared" si="160"/>
        <v>0</v>
      </c>
      <c r="P266" s="30">
        <f t="shared" si="164"/>
        <v>0</v>
      </c>
    </row>
    <row r="267" spans="1:16">
      <c r="A267" s="28" t="s">
        <v>563</v>
      </c>
      <c r="B267" s="29">
        <v>287915</v>
      </c>
      <c r="C267" s="273">
        <v>910.93600000000004</v>
      </c>
      <c r="D267" s="29" t="s">
        <v>8</v>
      </c>
      <c r="E267" s="29" t="s">
        <v>333</v>
      </c>
      <c r="F267" s="30">
        <v>-1051</v>
      </c>
      <c r="G267" s="30">
        <f t="shared" si="152"/>
        <v>-1051</v>
      </c>
      <c r="H267" s="30">
        <f t="shared" si="153"/>
        <v>0</v>
      </c>
      <c r="I267" s="30">
        <v>0</v>
      </c>
      <c r="J267" s="30">
        <f t="shared" si="158"/>
        <v>0</v>
      </c>
      <c r="K267" s="29" t="s">
        <v>331</v>
      </c>
      <c r="L267" s="270">
        <f>SUMIF('Allocation Factors'!$B$3:$B$89,'Current Income Tax Expense'!K267,'Allocation Factors'!$P$3:$P$89)</f>
        <v>0</v>
      </c>
      <c r="M267" s="30">
        <f t="shared" si="120"/>
        <v>0</v>
      </c>
      <c r="N267" s="30">
        <f t="shared" si="159"/>
        <v>0</v>
      </c>
      <c r="O267" s="30">
        <f t="shared" si="160"/>
        <v>0</v>
      </c>
      <c r="P267" s="30">
        <f t="shared" si="164"/>
        <v>0</v>
      </c>
    </row>
    <row r="268" spans="1:16">
      <c r="A268" s="28" t="s">
        <v>564</v>
      </c>
      <c r="B268" s="29">
        <v>287266</v>
      </c>
      <c r="C268" s="273">
        <v>920.11500000000001</v>
      </c>
      <c r="D268" s="29" t="s">
        <v>8</v>
      </c>
      <c r="E268" s="29" t="s">
        <v>333</v>
      </c>
      <c r="F268" s="30">
        <v>9781881</v>
      </c>
      <c r="G268" s="30">
        <f t="shared" si="152"/>
        <v>9781881</v>
      </c>
      <c r="H268" s="30">
        <f t="shared" si="153"/>
        <v>0</v>
      </c>
      <c r="I268" s="30">
        <v>0</v>
      </c>
      <c r="J268" s="30">
        <f t="shared" si="158"/>
        <v>0</v>
      </c>
      <c r="K268" s="29" t="s">
        <v>331</v>
      </c>
      <c r="L268" s="270">
        <f>SUMIF('Allocation Factors'!$B$3:$B$89,'Current Income Tax Expense'!K268,'Allocation Factors'!$P$3:$P$89)</f>
        <v>0</v>
      </c>
      <c r="M268" s="30">
        <f t="shared" si="120"/>
        <v>0</v>
      </c>
      <c r="N268" s="30">
        <f t="shared" si="159"/>
        <v>0</v>
      </c>
      <c r="O268" s="30">
        <f t="shared" si="160"/>
        <v>0</v>
      </c>
      <c r="P268" s="30">
        <f t="shared" si="164"/>
        <v>0</v>
      </c>
    </row>
    <row r="269" spans="1:16">
      <c r="A269" s="28" t="s">
        <v>424</v>
      </c>
      <c r="B269" s="29" t="s">
        <v>8</v>
      </c>
      <c r="C269" s="273" t="s">
        <v>8</v>
      </c>
      <c r="D269" s="29">
        <v>8.6</v>
      </c>
      <c r="E269" s="29" t="s">
        <v>9</v>
      </c>
      <c r="F269" s="30">
        <v>0</v>
      </c>
      <c r="G269" s="30">
        <f t="shared" si="152"/>
        <v>0</v>
      </c>
      <c r="H269" s="30">
        <f t="shared" si="153"/>
        <v>0</v>
      </c>
      <c r="I269" s="30">
        <v>-208716</v>
      </c>
      <c r="J269" s="30">
        <f t="shared" si="158"/>
        <v>-208716</v>
      </c>
      <c r="K269" s="29" t="s">
        <v>26</v>
      </c>
      <c r="L269" s="270">
        <f>SUMIF('Allocation Factors'!$B$3:$B$89,'Current Income Tax Expense'!K269,'Allocation Factors'!$P$3:$P$89)</f>
        <v>1</v>
      </c>
      <c r="M269" s="30">
        <f t="shared" si="120"/>
        <v>0</v>
      </c>
      <c r="N269" s="30">
        <f t="shared" si="159"/>
        <v>-208716</v>
      </c>
      <c r="O269" s="30">
        <f t="shared" si="160"/>
        <v>-208716</v>
      </c>
      <c r="P269" s="30">
        <f t="shared" si="164"/>
        <v>-208716</v>
      </c>
    </row>
    <row r="270" spans="1:16">
      <c r="A270" s="28" t="s">
        <v>702</v>
      </c>
      <c r="B270" s="29" t="s">
        <v>8</v>
      </c>
      <c r="C270" s="273" t="s">
        <v>8</v>
      </c>
      <c r="D270" s="29" t="s">
        <v>718</v>
      </c>
      <c r="E270" s="29" t="s">
        <v>9</v>
      </c>
      <c r="F270" s="30">
        <v>0</v>
      </c>
      <c r="G270" s="30">
        <f t="shared" ref="G270:G280" si="166">+F270</f>
        <v>0</v>
      </c>
      <c r="H270" s="30">
        <f t="shared" ref="H270:H280" si="167">IF(E270="U",G270,0)</f>
        <v>0</v>
      </c>
      <c r="I270" s="30">
        <f>+SCHMDT!M5</f>
        <v>-1400390</v>
      </c>
      <c r="J270" s="30">
        <f t="shared" ref="J270:J280" si="168">SUM(H270:I270)</f>
        <v>-1400390</v>
      </c>
      <c r="K270" s="29" t="s">
        <v>17</v>
      </c>
      <c r="L270" s="270">
        <f>SUMIF('Allocation Factors'!$B$3:$B$89,'Current Income Tax Expense'!K270,'Allocation Factors'!$P$3:$P$89)</f>
        <v>0</v>
      </c>
      <c r="M270" s="30">
        <f t="shared" ref="M270:M280" si="169">ROUND(H270*L270,0)</f>
        <v>0</v>
      </c>
      <c r="N270" s="30">
        <f t="shared" ref="N270:N280" si="170">ROUND(I270*L270,0)</f>
        <v>0</v>
      </c>
      <c r="O270" s="30">
        <f t="shared" ref="O270:O280" si="171">SUM(M270:N270)</f>
        <v>0</v>
      </c>
      <c r="P270" s="30">
        <f t="shared" ref="P270:P280" si="172">O270</f>
        <v>0</v>
      </c>
    </row>
    <row r="271" spans="1:16">
      <c r="A271" s="28" t="s">
        <v>704</v>
      </c>
      <c r="B271" s="29" t="s">
        <v>8</v>
      </c>
      <c r="C271" s="273" t="s">
        <v>8</v>
      </c>
      <c r="D271" s="29" t="s">
        <v>718</v>
      </c>
      <c r="E271" s="29" t="s">
        <v>9</v>
      </c>
      <c r="F271" s="30">
        <v>0</v>
      </c>
      <c r="G271" s="30">
        <f t="shared" si="166"/>
        <v>0</v>
      </c>
      <c r="H271" s="30">
        <f t="shared" si="167"/>
        <v>0</v>
      </c>
      <c r="I271" s="30">
        <f>+SCHMDT!M7</f>
        <v>-5732699</v>
      </c>
      <c r="J271" s="30">
        <f t="shared" si="168"/>
        <v>-5732699</v>
      </c>
      <c r="K271" s="29" t="s">
        <v>162</v>
      </c>
      <c r="L271" s="270">
        <f>SUMIF('Allocation Factors'!$B$3:$B$89,'Current Income Tax Expense'!K271,'Allocation Factors'!$P$3:$P$89)</f>
        <v>0</v>
      </c>
      <c r="M271" s="30">
        <f t="shared" si="169"/>
        <v>0</v>
      </c>
      <c r="N271" s="30">
        <f t="shared" si="170"/>
        <v>0</v>
      </c>
      <c r="O271" s="30">
        <f t="shared" si="171"/>
        <v>0</v>
      </c>
      <c r="P271" s="30">
        <f t="shared" si="172"/>
        <v>0</v>
      </c>
    </row>
    <row r="272" spans="1:16">
      <c r="A272" s="28" t="s">
        <v>705</v>
      </c>
      <c r="B272" s="29" t="s">
        <v>8</v>
      </c>
      <c r="C272" s="273" t="s">
        <v>8</v>
      </c>
      <c r="D272" s="29" t="s">
        <v>718</v>
      </c>
      <c r="E272" s="29" t="s">
        <v>9</v>
      </c>
      <c r="F272" s="30">
        <v>0</v>
      </c>
      <c r="G272" s="30">
        <f t="shared" si="166"/>
        <v>0</v>
      </c>
      <c r="H272" s="30">
        <f t="shared" si="167"/>
        <v>0</v>
      </c>
      <c r="I272" s="30">
        <f>+SCHMDT!M8</f>
        <v>-2859040</v>
      </c>
      <c r="J272" s="30">
        <f t="shared" si="168"/>
        <v>-2859040</v>
      </c>
      <c r="K272" s="29" t="s">
        <v>160</v>
      </c>
      <c r="L272" s="270">
        <f>SUMIF('Allocation Factors'!$B$3:$B$89,'Current Income Tax Expense'!K272,'Allocation Factors'!$P$3:$P$89)</f>
        <v>0.21577192756641544</v>
      </c>
      <c r="M272" s="30">
        <f t="shared" si="169"/>
        <v>0</v>
      </c>
      <c r="N272" s="30">
        <f t="shared" si="170"/>
        <v>-616901</v>
      </c>
      <c r="O272" s="30">
        <f t="shared" si="171"/>
        <v>-616901</v>
      </c>
      <c r="P272" s="30">
        <f t="shared" si="172"/>
        <v>-616901</v>
      </c>
    </row>
    <row r="273" spans="1:19">
      <c r="A273" s="28" t="s">
        <v>707</v>
      </c>
      <c r="B273" s="29" t="s">
        <v>8</v>
      </c>
      <c r="C273" s="273" t="s">
        <v>8</v>
      </c>
      <c r="D273" s="29" t="s">
        <v>718</v>
      </c>
      <c r="E273" s="29" t="s">
        <v>9</v>
      </c>
      <c r="F273" s="30">
        <v>0</v>
      </c>
      <c r="G273" s="30">
        <f t="shared" si="166"/>
        <v>0</v>
      </c>
      <c r="H273" s="30">
        <f t="shared" si="167"/>
        <v>0</v>
      </c>
      <c r="I273" s="30">
        <f>+SCHMDT!M10</f>
        <v>-1536219</v>
      </c>
      <c r="J273" s="30">
        <f t="shared" si="168"/>
        <v>-1536219</v>
      </c>
      <c r="K273" s="29" t="s">
        <v>29</v>
      </c>
      <c r="L273" s="270">
        <f>SUMIF('Allocation Factors'!$B$3:$B$89,'Current Income Tax Expense'!K273,'Allocation Factors'!$P$3:$P$89)</f>
        <v>0</v>
      </c>
      <c r="M273" s="30">
        <f t="shared" si="169"/>
        <v>0</v>
      </c>
      <c r="N273" s="30">
        <f t="shared" si="170"/>
        <v>0</v>
      </c>
      <c r="O273" s="30">
        <f t="shared" si="171"/>
        <v>0</v>
      </c>
      <c r="P273" s="30">
        <f t="shared" si="172"/>
        <v>0</v>
      </c>
    </row>
    <row r="274" spans="1:19">
      <c r="A274" s="28" t="s">
        <v>661</v>
      </c>
      <c r="B274" s="29" t="s">
        <v>8</v>
      </c>
      <c r="C274" s="273" t="s">
        <v>8</v>
      </c>
      <c r="D274" s="29" t="s">
        <v>718</v>
      </c>
      <c r="E274" s="29" t="s">
        <v>9</v>
      </c>
      <c r="F274" s="30">
        <v>0</v>
      </c>
      <c r="G274" s="30">
        <f t="shared" si="166"/>
        <v>0</v>
      </c>
      <c r="H274" s="30">
        <f t="shared" si="167"/>
        <v>0</v>
      </c>
      <c r="I274" s="30">
        <f>+SCHMDT!M11</f>
        <v>-1308446</v>
      </c>
      <c r="J274" s="30">
        <f t="shared" si="168"/>
        <v>-1308446</v>
      </c>
      <c r="K274" s="29" t="s">
        <v>168</v>
      </c>
      <c r="L274" s="270">
        <f>SUMIF('Allocation Factors'!$B$3:$B$89,'Current Income Tax Expense'!K274,'Allocation Factors'!$P$3:$P$89)</f>
        <v>0.21577192756641544</v>
      </c>
      <c r="M274" s="30">
        <f t="shared" si="169"/>
        <v>0</v>
      </c>
      <c r="N274" s="30">
        <f t="shared" si="170"/>
        <v>-282326</v>
      </c>
      <c r="O274" s="30">
        <f t="shared" si="171"/>
        <v>-282326</v>
      </c>
      <c r="P274" s="30">
        <f t="shared" si="172"/>
        <v>-282326</v>
      </c>
    </row>
    <row r="275" spans="1:19">
      <c r="A275" s="28" t="s">
        <v>708</v>
      </c>
      <c r="B275" s="29" t="s">
        <v>8</v>
      </c>
      <c r="C275" s="273" t="s">
        <v>8</v>
      </c>
      <c r="D275" s="29" t="s">
        <v>718</v>
      </c>
      <c r="E275" s="29" t="s">
        <v>9</v>
      </c>
      <c r="F275" s="30">
        <v>0</v>
      </c>
      <c r="G275" s="30">
        <f t="shared" si="166"/>
        <v>0</v>
      </c>
      <c r="H275" s="30">
        <f t="shared" si="167"/>
        <v>0</v>
      </c>
      <c r="I275" s="30">
        <f>+SCHMDT!M12</f>
        <v>-6249548</v>
      </c>
      <c r="J275" s="30">
        <f t="shared" si="168"/>
        <v>-6249548</v>
      </c>
      <c r="K275" s="29" t="s">
        <v>30</v>
      </c>
      <c r="L275" s="270">
        <f>SUMIF('Allocation Factors'!$B$3:$B$89,'Current Income Tax Expense'!K275,'Allocation Factors'!$P$3:$P$89)</f>
        <v>0</v>
      </c>
      <c r="M275" s="30">
        <f t="shared" si="169"/>
        <v>0</v>
      </c>
      <c r="N275" s="30">
        <f t="shared" si="170"/>
        <v>0</v>
      </c>
      <c r="O275" s="30">
        <f t="shared" si="171"/>
        <v>0</v>
      </c>
      <c r="P275" s="30">
        <f t="shared" si="172"/>
        <v>0</v>
      </c>
    </row>
    <row r="276" spans="1:19">
      <c r="A276" s="28" t="s">
        <v>660</v>
      </c>
      <c r="B276" s="29" t="s">
        <v>8</v>
      </c>
      <c r="C276" s="273" t="s">
        <v>8</v>
      </c>
      <c r="D276" s="29" t="s">
        <v>718</v>
      </c>
      <c r="E276" s="29" t="s">
        <v>9</v>
      </c>
      <c r="F276" s="30">
        <v>0</v>
      </c>
      <c r="G276" s="30">
        <f t="shared" si="166"/>
        <v>0</v>
      </c>
      <c r="H276" s="30">
        <f t="shared" si="167"/>
        <v>0</v>
      </c>
      <c r="I276" s="30">
        <f>+SCHMDT!M13</f>
        <v>-409178395</v>
      </c>
      <c r="J276" s="30">
        <f t="shared" si="168"/>
        <v>-409178395</v>
      </c>
      <c r="K276" s="29" t="s">
        <v>19</v>
      </c>
      <c r="L276" s="270">
        <f>SUMIF('Allocation Factors'!$B$3:$B$89,'Current Income Tax Expense'!K276,'Allocation Factors'!$P$3:$P$89)</f>
        <v>7.8111041399714837E-2</v>
      </c>
      <c r="M276" s="30">
        <f t="shared" si="169"/>
        <v>0</v>
      </c>
      <c r="N276" s="30">
        <f t="shared" si="170"/>
        <v>-31961351</v>
      </c>
      <c r="O276" s="30">
        <f t="shared" si="171"/>
        <v>-31961351</v>
      </c>
      <c r="P276" s="30">
        <f t="shared" si="172"/>
        <v>-31961351</v>
      </c>
    </row>
    <row r="277" spans="1:19">
      <c r="A277" s="28" t="s">
        <v>662</v>
      </c>
      <c r="B277" s="29" t="s">
        <v>8</v>
      </c>
      <c r="C277" s="273" t="s">
        <v>8</v>
      </c>
      <c r="D277" s="29" t="s">
        <v>718</v>
      </c>
      <c r="E277" s="29" t="s">
        <v>9</v>
      </c>
      <c r="F277" s="30">
        <v>0</v>
      </c>
      <c r="G277" s="30">
        <f t="shared" si="166"/>
        <v>0</v>
      </c>
      <c r="H277" s="30">
        <f t="shared" si="167"/>
        <v>0</v>
      </c>
      <c r="I277" s="30">
        <f>+SCHMDT!M14</f>
        <v>-14419070</v>
      </c>
      <c r="J277" s="30">
        <f t="shared" si="168"/>
        <v>-14419070</v>
      </c>
      <c r="K277" s="29" t="s">
        <v>10</v>
      </c>
      <c r="L277" s="270">
        <f>SUMIF('Allocation Factors'!$B$3:$B$89,'Current Income Tax Expense'!K277,'Allocation Factors'!$P$3:$P$89)</f>
        <v>6.7017620954721469E-2</v>
      </c>
      <c r="M277" s="30">
        <f t="shared" si="169"/>
        <v>0</v>
      </c>
      <c r="N277" s="30">
        <f t="shared" si="170"/>
        <v>-966332</v>
      </c>
      <c r="O277" s="30">
        <f t="shared" si="171"/>
        <v>-966332</v>
      </c>
      <c r="P277" s="30">
        <f t="shared" si="172"/>
        <v>-966332</v>
      </c>
    </row>
    <row r="278" spans="1:19">
      <c r="A278" s="28" t="s">
        <v>709</v>
      </c>
      <c r="B278" s="29" t="s">
        <v>8</v>
      </c>
      <c r="C278" s="273" t="s">
        <v>8</v>
      </c>
      <c r="D278" s="29" t="s">
        <v>718</v>
      </c>
      <c r="E278" s="29" t="s">
        <v>9</v>
      </c>
      <c r="F278" s="30">
        <v>0</v>
      </c>
      <c r="G278" s="30">
        <f t="shared" si="166"/>
        <v>0</v>
      </c>
      <c r="H278" s="30">
        <f t="shared" si="167"/>
        <v>0</v>
      </c>
      <c r="I278" s="30">
        <f>+SCHMDT!M15</f>
        <v>-14882398</v>
      </c>
      <c r="J278" s="30">
        <f t="shared" si="168"/>
        <v>-14882398</v>
      </c>
      <c r="K278" s="29" t="s">
        <v>28</v>
      </c>
      <c r="L278" s="270">
        <f>SUMIF('Allocation Factors'!$B$3:$B$89,'Current Income Tax Expense'!K278,'Allocation Factors'!$P$3:$P$89)</f>
        <v>0</v>
      </c>
      <c r="M278" s="30">
        <f t="shared" si="169"/>
        <v>0</v>
      </c>
      <c r="N278" s="30">
        <f t="shared" si="170"/>
        <v>0</v>
      </c>
      <c r="O278" s="30">
        <f t="shared" si="171"/>
        <v>0</v>
      </c>
      <c r="P278" s="30">
        <f t="shared" si="172"/>
        <v>0</v>
      </c>
    </row>
    <row r="279" spans="1:19">
      <c r="A279" s="28" t="s">
        <v>710</v>
      </c>
      <c r="B279" s="29" t="s">
        <v>8</v>
      </c>
      <c r="C279" s="273" t="s">
        <v>8</v>
      </c>
      <c r="D279" s="29" t="s">
        <v>718</v>
      </c>
      <c r="E279" s="29" t="s">
        <v>9</v>
      </c>
      <c r="F279" s="30">
        <v>0</v>
      </c>
      <c r="G279" s="30">
        <f t="shared" si="166"/>
        <v>0</v>
      </c>
      <c r="H279" s="30">
        <f t="shared" si="167"/>
        <v>0</v>
      </c>
      <c r="I279" s="30">
        <f>+SCHMDT!M16</f>
        <v>-1101212</v>
      </c>
      <c r="J279" s="30">
        <f t="shared" si="168"/>
        <v>-1101212</v>
      </c>
      <c r="K279" s="29" t="s">
        <v>26</v>
      </c>
      <c r="L279" s="270">
        <f>SUMIF('Allocation Factors'!$B$3:$B$89,'Current Income Tax Expense'!K279,'Allocation Factors'!$P$3:$P$89)</f>
        <v>1</v>
      </c>
      <c r="M279" s="30">
        <f t="shared" si="169"/>
        <v>0</v>
      </c>
      <c r="N279" s="30">
        <f t="shared" si="170"/>
        <v>-1101212</v>
      </c>
      <c r="O279" s="30">
        <f t="shared" si="171"/>
        <v>-1101212</v>
      </c>
      <c r="P279" s="30">
        <f t="shared" si="172"/>
        <v>-1101212</v>
      </c>
    </row>
    <row r="280" spans="1:19">
      <c r="A280" s="28" t="s">
        <v>711</v>
      </c>
      <c r="B280" s="29" t="s">
        <v>8</v>
      </c>
      <c r="C280" s="273" t="s">
        <v>8</v>
      </c>
      <c r="D280" s="29" t="s">
        <v>718</v>
      </c>
      <c r="E280" s="29" t="s">
        <v>9</v>
      </c>
      <c r="F280" s="30">
        <v>0</v>
      </c>
      <c r="G280" s="30">
        <f t="shared" si="166"/>
        <v>0</v>
      </c>
      <c r="H280" s="30">
        <f t="shared" si="167"/>
        <v>0</v>
      </c>
      <c r="I280" s="30">
        <f>+SCHMDT!M17</f>
        <v>-2321726</v>
      </c>
      <c r="J280" s="30">
        <f t="shared" si="168"/>
        <v>-2321726</v>
      </c>
      <c r="K280" s="29" t="s">
        <v>32</v>
      </c>
      <c r="L280" s="270">
        <f>SUMIF('Allocation Factors'!$B$3:$B$89,'Current Income Tax Expense'!K280,'Allocation Factors'!$P$3:$P$89)</f>
        <v>0</v>
      </c>
      <c r="M280" s="30">
        <f t="shared" si="169"/>
        <v>0</v>
      </c>
      <c r="N280" s="30">
        <f t="shared" si="170"/>
        <v>0</v>
      </c>
      <c r="O280" s="30">
        <f t="shared" si="171"/>
        <v>0</v>
      </c>
      <c r="P280" s="30">
        <f t="shared" si="172"/>
        <v>0</v>
      </c>
    </row>
    <row r="281" spans="1:19" s="2" customFormat="1">
      <c r="A281" s="108" t="s">
        <v>285</v>
      </c>
      <c r="B281" s="322"/>
      <c r="C281" s="323"/>
      <c r="D281" s="324"/>
      <c r="E281" s="321"/>
      <c r="F281" s="27">
        <f>SUBTOTAL(9,F152:F280)</f>
        <v>-921721942</v>
      </c>
      <c r="G281" s="27">
        <f>SUBTOTAL(9,G152:G280)</f>
        <v>-921721942</v>
      </c>
      <c r="H281" s="27">
        <f>SUBTOTAL(9,H152:H280)</f>
        <v>-948392355</v>
      </c>
      <c r="I281" s="27">
        <f>SUBTOTAL(9,I152:I280)</f>
        <v>-737769909</v>
      </c>
      <c r="J281" s="27">
        <f>SUBTOTAL(9,J152:J280)</f>
        <v>-1686162264</v>
      </c>
      <c r="K281" s="183"/>
      <c r="L281" s="161"/>
      <c r="M281" s="27">
        <f>SUBTOTAL(9,M152:M280)</f>
        <v>-58289846</v>
      </c>
      <c r="N281" s="27">
        <f>SUBTOTAL(9,N152:N280)</f>
        <v>-52931267</v>
      </c>
      <c r="O281" s="27">
        <f>SUBTOTAL(9,O152:O280)</f>
        <v>-111221113</v>
      </c>
      <c r="P281" s="27">
        <f>SUBTOTAL(9,P152:P280)</f>
        <v>-111221113</v>
      </c>
    </row>
    <row r="282" spans="1:19" s="2" customFormat="1">
      <c r="A282" s="108" t="s">
        <v>286</v>
      </c>
      <c r="B282" s="322"/>
      <c r="C282" s="323"/>
      <c r="D282" s="324"/>
      <c r="E282" s="321"/>
      <c r="F282" s="27">
        <f>SUBTOTAL(9,F28:F281)</f>
        <v>253611587</v>
      </c>
      <c r="G282" s="27">
        <f>SUBTOTAL(9,G28:G281)</f>
        <v>253611587</v>
      </c>
      <c r="H282" s="27">
        <f>SUBTOTAL(9,H28:H281)</f>
        <v>234170798</v>
      </c>
      <c r="I282" s="27">
        <f>SUBTOTAL(9,I28:I281)</f>
        <v>-309296736</v>
      </c>
      <c r="J282" s="27">
        <f>SUBTOTAL(9,J28:J281)</f>
        <v>-75125938</v>
      </c>
      <c r="K282" s="183"/>
      <c r="L282" s="161"/>
      <c r="M282" s="27">
        <f>SUBTOTAL(9,M28:M281)</f>
        <v>33245596</v>
      </c>
      <c r="N282" s="27">
        <f>SUBTOTAL(9,N28:N281)</f>
        <v>10414843</v>
      </c>
      <c r="O282" s="27">
        <f>SUBTOTAL(9,O28:O281)</f>
        <v>43660439</v>
      </c>
      <c r="P282" s="27">
        <f>SUBTOTAL(9,P28:P281)</f>
        <v>43660439</v>
      </c>
      <c r="Q282" s="433"/>
      <c r="R282" s="433"/>
    </row>
    <row r="283" spans="1:19" s="2" customFormat="1">
      <c r="A283" s="108" t="s">
        <v>70</v>
      </c>
      <c r="B283" s="322"/>
      <c r="C283" s="323"/>
      <c r="D283" s="324"/>
      <c r="E283" s="321"/>
      <c r="F283" s="27">
        <f>SUBTOTAL(9,F4:F282)</f>
        <v>253383302</v>
      </c>
      <c r="G283" s="27">
        <f>SUBTOTAL(9,G4:G282)</f>
        <v>253383302</v>
      </c>
      <c r="H283" s="27">
        <f>SUBTOTAL(9,H4:H282)</f>
        <v>236642179</v>
      </c>
      <c r="I283" s="27">
        <f>SUBTOTAL(9,I4:I282)</f>
        <v>-311464948</v>
      </c>
      <c r="J283" s="27">
        <f>SUBTOTAL(9,J4:J282)</f>
        <v>-74822769</v>
      </c>
      <c r="K283" s="183"/>
      <c r="L283" s="161"/>
      <c r="M283" s="27">
        <f>SUBTOTAL(9,M4:M282)</f>
        <v>33421215</v>
      </c>
      <c r="N283" s="27">
        <f>SUBTOTAL(9,N4:N282)</f>
        <v>9865962</v>
      </c>
      <c r="O283" s="27">
        <f>SUBTOTAL(9,O4:O282)</f>
        <v>43287177</v>
      </c>
      <c r="P283" s="27">
        <f>SUBTOTAL(9,P4:P282)</f>
        <v>43287177</v>
      </c>
      <c r="R283" s="435"/>
    </row>
    <row r="284" spans="1:19">
      <c r="A284" s="118" t="s">
        <v>270</v>
      </c>
      <c r="B284" s="325"/>
      <c r="C284" s="326"/>
      <c r="D284" s="327"/>
      <c r="E284" s="327"/>
      <c r="F284" s="517">
        <f>+F3+F283</f>
        <v>1039512804</v>
      </c>
      <c r="G284" s="519"/>
      <c r="H284" s="521">
        <f>SUBTOTAL(9,H3:H283)</f>
        <v>1022771681</v>
      </c>
      <c r="I284" s="329"/>
      <c r="J284" s="340">
        <f>SUBTOTAL(9,J3:J283)</f>
        <v>711306733</v>
      </c>
      <c r="K284" s="238"/>
      <c r="L284" s="328"/>
      <c r="M284" s="329"/>
      <c r="N284" s="329"/>
      <c r="O284" s="340">
        <f>SUBTOTAL(9,O3:O283)</f>
        <v>87132177</v>
      </c>
      <c r="P284" s="340">
        <f>SUBTOTAL(9,P3:P283)</f>
        <v>90123709</v>
      </c>
      <c r="R284" s="434"/>
      <c r="S284" s="394"/>
    </row>
    <row r="285" spans="1:19">
      <c r="A285" s="25" t="s">
        <v>271</v>
      </c>
      <c r="B285" s="341"/>
      <c r="C285" s="342"/>
      <c r="D285" s="343"/>
      <c r="E285" s="342"/>
      <c r="F285" s="518">
        <f>ROUND(-F284*0.0454,0)</f>
        <v>-47193881</v>
      </c>
      <c r="G285" s="520"/>
      <c r="H285" s="36">
        <f>-ROUND(H284*0.0454,0)</f>
        <v>-46433834</v>
      </c>
      <c r="I285" s="344"/>
      <c r="J285" s="36">
        <f>-ROUND(J284*0.0454,0)</f>
        <v>-32293326</v>
      </c>
      <c r="K285" s="345"/>
      <c r="L285" s="346"/>
      <c r="M285" s="347"/>
      <c r="N285" s="347"/>
      <c r="O285" s="36">
        <v>0</v>
      </c>
      <c r="P285" s="36">
        <v>0</v>
      </c>
      <c r="R285" s="34"/>
    </row>
    <row r="286" spans="1:19">
      <c r="A286" s="383" t="s">
        <v>272</v>
      </c>
      <c r="B286" s="330"/>
      <c r="C286" s="239"/>
      <c r="D286" s="328"/>
      <c r="E286" s="328"/>
      <c r="F286" s="375">
        <f>SUM(F284:F285)</f>
        <v>992318923</v>
      </c>
      <c r="G286" s="331"/>
      <c r="H286" s="340">
        <f>SUM(H284:H285)</f>
        <v>976337847</v>
      </c>
      <c r="I286" s="278"/>
      <c r="J286" s="340">
        <f>SUM(J284:J285)</f>
        <v>679013407</v>
      </c>
      <c r="K286" s="335"/>
      <c r="L286" s="329"/>
      <c r="M286" s="329"/>
      <c r="N286" s="329"/>
      <c r="O286" s="340">
        <f>SUM(O284:O285)</f>
        <v>87132177</v>
      </c>
      <c r="P286" s="340">
        <f>SUM(P284:P285)</f>
        <v>90123709</v>
      </c>
    </row>
    <row r="287" spans="1:19">
      <c r="A287" s="119" t="s">
        <v>273</v>
      </c>
      <c r="B287" s="332"/>
      <c r="C287" s="247"/>
      <c r="D287" s="333"/>
      <c r="E287" s="333"/>
      <c r="F287" s="374">
        <v>0.21</v>
      </c>
      <c r="G287" s="334"/>
      <c r="H287" s="438">
        <v>0.21</v>
      </c>
      <c r="I287" s="282"/>
      <c r="J287" s="374">
        <v>0.21</v>
      </c>
      <c r="K287" s="336"/>
      <c r="L287" s="337"/>
      <c r="M287" s="337"/>
      <c r="N287" s="337"/>
      <c r="O287" s="438">
        <f>21%</f>
        <v>0.21</v>
      </c>
      <c r="P287" s="407">
        <f>21%</f>
        <v>0.21</v>
      </c>
    </row>
    <row r="288" spans="1:19">
      <c r="A288" s="118" t="s">
        <v>274</v>
      </c>
      <c r="B288" s="330"/>
      <c r="C288" s="239"/>
      <c r="D288" s="328"/>
      <c r="E288" s="328"/>
      <c r="F288" s="340">
        <f t="shared" ref="F288" si="173">ROUND(F286*F287,0)</f>
        <v>208386974</v>
      </c>
      <c r="G288" s="331"/>
      <c r="H288" s="340">
        <f t="shared" ref="H288" si="174">ROUND(H286*H287,0)</f>
        <v>205030948</v>
      </c>
      <c r="I288" s="331"/>
      <c r="J288" s="522">
        <f>SUM(H288:H288)</f>
        <v>205030948</v>
      </c>
      <c r="K288" s="238"/>
      <c r="L288" s="328"/>
      <c r="M288" s="329"/>
      <c r="N288" s="329"/>
      <c r="O288" s="340">
        <f>ROUND(O286*O287,0)</f>
        <v>18297757</v>
      </c>
      <c r="P288" s="340">
        <f>ROUND(P286*P287,0)</f>
        <v>18925979</v>
      </c>
      <c r="Q288" s="434"/>
    </row>
    <row r="289" spans="1:16">
      <c r="A289" s="28" t="s">
        <v>419</v>
      </c>
      <c r="B289" s="29" t="s">
        <v>8</v>
      </c>
      <c r="C289" s="273" t="s">
        <v>8</v>
      </c>
      <c r="D289" s="29">
        <v>7.3</v>
      </c>
      <c r="E289" s="29" t="s">
        <v>9</v>
      </c>
      <c r="F289" s="30">
        <v>-40261420</v>
      </c>
      <c r="G289" s="30">
        <f t="shared" ref="G289:G294" si="175">+F289</f>
        <v>-40261420</v>
      </c>
      <c r="H289" s="30">
        <f t="shared" ref="H289:H294" si="176">SUM(G289:G289)</f>
        <v>-40261420</v>
      </c>
      <c r="I289" s="30">
        <f>-H289</f>
        <v>40261420</v>
      </c>
      <c r="J289" s="30">
        <f t="shared" ref="J289:J293" si="177">SUM(H289:I289)</f>
        <v>0</v>
      </c>
      <c r="K289" s="29" t="s">
        <v>162</v>
      </c>
      <c r="L289" s="270">
        <f>SUMIF('Allocation Factors'!$B$3:$B$89,'Current Income Tax Expense'!K289,'Allocation Factors'!$P$3:$P$89)</f>
        <v>0</v>
      </c>
      <c r="M289" s="30">
        <f t="shared" ref="M289:M293" si="178">ROUND(H289*L289,0)</f>
        <v>0</v>
      </c>
      <c r="N289" s="30">
        <f t="shared" ref="N289:N293" si="179">ROUND(I289*L289,0)</f>
        <v>0</v>
      </c>
      <c r="O289" s="30">
        <f t="shared" ref="O289:O293" si="180">SUM(M289:N289)</f>
        <v>0</v>
      </c>
      <c r="P289" s="30">
        <f t="shared" ref="P289:P293" si="181">O289</f>
        <v>0</v>
      </c>
    </row>
    <row r="290" spans="1:16">
      <c r="A290" s="28" t="s">
        <v>420</v>
      </c>
      <c r="B290" s="29" t="s">
        <v>8</v>
      </c>
      <c r="C290" s="273" t="s">
        <v>8</v>
      </c>
      <c r="D290" s="29">
        <v>7.3</v>
      </c>
      <c r="E290" s="29" t="s">
        <v>9</v>
      </c>
      <c r="F290" s="30">
        <v>-5091351</v>
      </c>
      <c r="G290" s="30">
        <f t="shared" si="175"/>
        <v>-5091351</v>
      </c>
      <c r="H290" s="30">
        <f t="shared" si="176"/>
        <v>-5091351</v>
      </c>
      <c r="I290" s="30">
        <f>-H290</f>
        <v>5091351</v>
      </c>
      <c r="J290" s="30">
        <f t="shared" si="177"/>
        <v>0</v>
      </c>
      <c r="K290" s="29" t="s">
        <v>160</v>
      </c>
      <c r="L290" s="270">
        <f>SUMIF('Allocation Factors'!$B$3:$B$89,'Current Income Tax Expense'!K290,'Allocation Factors'!$P$3:$P$89)</f>
        <v>0.21577192756641544</v>
      </c>
      <c r="M290" s="30">
        <f t="shared" ref="M290" si="182">ROUND(H290*L290,0)</f>
        <v>-1098571</v>
      </c>
      <c r="N290" s="30">
        <f t="shared" ref="N290" si="183">ROUND(I290*L290,0)</f>
        <v>1098571</v>
      </c>
      <c r="O290" s="30">
        <f t="shared" ref="O290" si="184">SUM(M290:N290)</f>
        <v>0</v>
      </c>
      <c r="P290" s="30">
        <f t="shared" ref="P290" si="185">O290</f>
        <v>0</v>
      </c>
    </row>
    <row r="291" spans="1:16">
      <c r="A291" s="28" t="s">
        <v>630</v>
      </c>
      <c r="B291" s="29" t="s">
        <v>8</v>
      </c>
      <c r="C291" s="273" t="s">
        <v>8</v>
      </c>
      <c r="D291" s="29">
        <v>7.3</v>
      </c>
      <c r="E291" s="29" t="s">
        <v>9</v>
      </c>
      <c r="F291" s="30">
        <v>0</v>
      </c>
      <c r="G291" s="30">
        <f t="shared" si="175"/>
        <v>0</v>
      </c>
      <c r="H291" s="30">
        <f t="shared" si="176"/>
        <v>0</v>
      </c>
      <c r="I291" s="30">
        <v>-191844034</v>
      </c>
      <c r="J291" s="30">
        <f t="shared" si="177"/>
        <v>-191844034</v>
      </c>
      <c r="K291" s="29" t="s">
        <v>19</v>
      </c>
      <c r="L291" s="270">
        <f>SUMIF('Allocation Factors'!$B$3:$B$89,'Current Income Tax Expense'!K291,'Allocation Factors'!$P$3:$P$89)</f>
        <v>7.8111041399714837E-2</v>
      </c>
      <c r="M291" s="30">
        <f t="shared" ref="M291" si="186">ROUND(H291*L291,0)</f>
        <v>0</v>
      </c>
      <c r="N291" s="30">
        <f t="shared" ref="N291" si="187">ROUND(I291*L291,0)</f>
        <v>-14985137</v>
      </c>
      <c r="O291" s="30">
        <f t="shared" ref="O291" si="188">SUM(M291:N291)</f>
        <v>-14985137</v>
      </c>
      <c r="P291" s="30">
        <f t="shared" ref="P291" si="189">O291</f>
        <v>-14985137</v>
      </c>
    </row>
    <row r="292" spans="1:16">
      <c r="A292" s="28" t="s">
        <v>290</v>
      </c>
      <c r="B292" s="29" t="s">
        <v>8</v>
      </c>
      <c r="C292" s="273" t="s">
        <v>8</v>
      </c>
      <c r="D292" s="29" t="s">
        <v>8</v>
      </c>
      <c r="E292" s="29" t="s">
        <v>9</v>
      </c>
      <c r="F292" s="30">
        <v>-18519</v>
      </c>
      <c r="G292" s="30">
        <f t="shared" si="175"/>
        <v>-18519</v>
      </c>
      <c r="H292" s="30">
        <f t="shared" si="176"/>
        <v>-18519</v>
      </c>
      <c r="I292" s="30">
        <v>0</v>
      </c>
      <c r="J292" s="30">
        <f t="shared" si="177"/>
        <v>-18519</v>
      </c>
      <c r="K292" s="29" t="s">
        <v>170</v>
      </c>
      <c r="L292" s="270">
        <f>SUMIF('Allocation Factors'!$B$3:$B$89,'Current Income Tax Expense'!K292,'Allocation Factors'!$P$3:$P$89)</f>
        <v>0.22591574269314921</v>
      </c>
      <c r="M292" s="30">
        <f t="shared" si="178"/>
        <v>-4184</v>
      </c>
      <c r="N292" s="30">
        <f t="shared" si="179"/>
        <v>0</v>
      </c>
      <c r="O292" s="30">
        <f t="shared" si="180"/>
        <v>-4184</v>
      </c>
      <c r="P292" s="30">
        <f t="shared" si="181"/>
        <v>-4184</v>
      </c>
    </row>
    <row r="293" spans="1:16">
      <c r="A293" s="28" t="s">
        <v>291</v>
      </c>
      <c r="B293" s="29" t="s">
        <v>8</v>
      </c>
      <c r="C293" s="273" t="s">
        <v>8</v>
      </c>
      <c r="D293" s="29" t="s">
        <v>8</v>
      </c>
      <c r="E293" s="29" t="s">
        <v>9</v>
      </c>
      <c r="F293" s="30">
        <v>-9007</v>
      </c>
      <c r="G293" s="30">
        <f t="shared" si="175"/>
        <v>-9007</v>
      </c>
      <c r="H293" s="30">
        <f t="shared" si="176"/>
        <v>-9007</v>
      </c>
      <c r="I293" s="30">
        <v>0</v>
      </c>
      <c r="J293" s="30">
        <f t="shared" si="177"/>
        <v>-9007</v>
      </c>
      <c r="K293" s="29" t="s">
        <v>10</v>
      </c>
      <c r="L293" s="270">
        <f>SUMIF('Allocation Factors'!$B$3:$B$89,'Current Income Tax Expense'!K293,'Allocation Factors'!$P$3:$P$89)</f>
        <v>6.7017620954721469E-2</v>
      </c>
      <c r="M293" s="30">
        <f t="shared" si="178"/>
        <v>-604</v>
      </c>
      <c r="N293" s="30">
        <f t="shared" si="179"/>
        <v>0</v>
      </c>
      <c r="O293" s="30">
        <f t="shared" si="180"/>
        <v>-604</v>
      </c>
      <c r="P293" s="30">
        <f t="shared" si="181"/>
        <v>-604</v>
      </c>
    </row>
    <row r="294" spans="1:16">
      <c r="A294" s="28" t="s">
        <v>416</v>
      </c>
      <c r="B294" s="29" t="s">
        <v>8</v>
      </c>
      <c r="C294" s="273" t="s">
        <v>8</v>
      </c>
      <c r="D294" s="29" t="s">
        <v>8</v>
      </c>
      <c r="E294" s="29" t="s">
        <v>9</v>
      </c>
      <c r="F294" s="30">
        <v>-32500</v>
      </c>
      <c r="G294" s="30">
        <f t="shared" si="175"/>
        <v>-32500</v>
      </c>
      <c r="H294" s="30">
        <f t="shared" si="176"/>
        <v>-32500</v>
      </c>
      <c r="I294" s="30">
        <v>0</v>
      </c>
      <c r="J294" s="30">
        <f t="shared" ref="J294" si="190">SUM(H294:I294)</f>
        <v>-32500</v>
      </c>
      <c r="K294" s="29" t="s">
        <v>10</v>
      </c>
      <c r="L294" s="270">
        <f>SUMIF('Allocation Factors'!$B$3:$B$89,'Current Income Tax Expense'!K294,'Allocation Factors'!$P$3:$P$89)</f>
        <v>6.7017620954721469E-2</v>
      </c>
      <c r="M294" s="30">
        <f t="shared" ref="M294" si="191">ROUND(H294*L294,0)</f>
        <v>-2178</v>
      </c>
      <c r="N294" s="30">
        <f t="shared" ref="N294" si="192">ROUND(I294*L294,0)</f>
        <v>0</v>
      </c>
      <c r="O294" s="30">
        <f t="shared" ref="O294" si="193">SUM(M294:N294)</f>
        <v>-2178</v>
      </c>
      <c r="P294" s="30">
        <f t="shared" ref="P294" si="194">O294</f>
        <v>-2178</v>
      </c>
    </row>
    <row r="295" spans="1:16" ht="12" customHeight="1">
      <c r="A295" s="88" t="s">
        <v>275</v>
      </c>
      <c r="B295" s="288"/>
      <c r="C295" s="291"/>
      <c r="D295" s="291"/>
      <c r="E295" s="290"/>
      <c r="F295" s="376">
        <f>SUM(F288:F294)</f>
        <v>162974177</v>
      </c>
      <c r="G295" s="339"/>
      <c r="H295" s="408">
        <f>SUM(H288:H294)</f>
        <v>159618151</v>
      </c>
      <c r="I295" s="149"/>
      <c r="J295" s="41">
        <f>SUM(J288:J294)</f>
        <v>13126888</v>
      </c>
      <c r="K295" s="338"/>
      <c r="L295" s="290"/>
      <c r="M295" s="305"/>
      <c r="N295" s="305"/>
      <c r="O295" s="41">
        <f>SUM(O288:O294)</f>
        <v>3305654</v>
      </c>
      <c r="P295" s="41">
        <f>SUM(P288:P294)</f>
        <v>3933876</v>
      </c>
    </row>
    <row r="296" spans="1:16" ht="12" customHeight="1">
      <c r="A296" s="88" t="s">
        <v>276</v>
      </c>
      <c r="B296" s="288"/>
      <c r="C296" s="291"/>
      <c r="D296" s="291"/>
      <c r="E296" s="290"/>
      <c r="F296" s="376">
        <f>-F285</f>
        <v>47193881</v>
      </c>
      <c r="G296" s="339"/>
      <c r="H296" s="408">
        <f>-H285</f>
        <v>46433834</v>
      </c>
      <c r="I296" s="149"/>
      <c r="J296" s="41">
        <f>-SUM(J285:J285)</f>
        <v>32293326</v>
      </c>
      <c r="K296" s="338"/>
      <c r="L296" s="290"/>
      <c r="M296" s="305"/>
      <c r="N296" s="305"/>
      <c r="O296" s="41">
        <f>-SUM(O285:O285)</f>
        <v>0</v>
      </c>
      <c r="P296" s="41">
        <f>-SUM(P285:P285)</f>
        <v>0</v>
      </c>
    </row>
    <row r="297" spans="1:16">
      <c r="A297" s="88" t="s">
        <v>277</v>
      </c>
      <c r="B297" s="288"/>
      <c r="C297" s="291"/>
      <c r="D297" s="291"/>
      <c r="E297" s="290"/>
      <c r="F297" s="376">
        <f>SUM(F295:F296)</f>
        <v>210168058</v>
      </c>
      <c r="G297" s="339"/>
      <c r="H297" s="408">
        <f t="shared" ref="H297" si="195">SUM(H295:H296)</f>
        <v>206051985</v>
      </c>
      <c r="I297" s="149"/>
      <c r="J297" s="41">
        <f>SUM(J295:J296)</f>
        <v>45420214</v>
      </c>
      <c r="K297" s="338"/>
      <c r="L297" s="290"/>
      <c r="M297" s="305"/>
      <c r="N297" s="305"/>
      <c r="O297" s="41">
        <f>SUM(O295:O296)</f>
        <v>3305654</v>
      </c>
      <c r="P297" s="41">
        <f>SUM(P295:P296)</f>
        <v>3933876</v>
      </c>
    </row>
    <row r="299" spans="1:16">
      <c r="A299" s="181"/>
      <c r="B299" s="204"/>
      <c r="C299" s="205"/>
      <c r="D299" s="201"/>
      <c r="E299" s="68"/>
      <c r="F299" s="209"/>
      <c r="G299" s="209"/>
    </row>
    <row r="300" spans="1:16">
      <c r="A300" s="181"/>
      <c r="B300" s="204"/>
      <c r="C300" s="205"/>
      <c r="D300" s="201"/>
      <c r="E300" s="68"/>
      <c r="F300" s="195"/>
      <c r="G300" s="209"/>
    </row>
    <row r="301" spans="1:16">
      <c r="A301" s="181"/>
      <c r="B301" s="204"/>
      <c r="C301" s="205"/>
      <c r="D301" s="201"/>
      <c r="E301" s="68"/>
      <c r="F301" s="209"/>
      <c r="G301" s="209"/>
    </row>
    <row r="302" spans="1:16">
      <c r="A302" s="181"/>
      <c r="B302" s="204"/>
      <c r="C302" s="205"/>
      <c r="D302" s="201"/>
      <c r="E302" s="68"/>
      <c r="F302" s="209"/>
      <c r="G302" s="209"/>
      <c r="J302" s="209"/>
      <c r="K302" s="403"/>
      <c r="L302" s="403"/>
      <c r="M302" s="404"/>
      <c r="N302" s="68"/>
      <c r="O302" s="68"/>
    </row>
    <row r="303" spans="1:16">
      <c r="A303" s="68"/>
      <c r="B303" s="204"/>
      <c r="C303" s="205"/>
      <c r="D303" s="201"/>
      <c r="E303" s="68"/>
      <c r="F303" s="209"/>
      <c r="G303" s="414"/>
      <c r="H303" s="414"/>
      <c r="I303" s="415"/>
      <c r="J303" s="209"/>
      <c r="K303" s="209"/>
      <c r="L303" s="68"/>
      <c r="M303" s="68"/>
      <c r="N303" s="68"/>
      <c r="O303" s="68"/>
    </row>
    <row r="304" spans="1:16">
      <c r="A304" s="181"/>
      <c r="B304" s="204"/>
      <c r="C304" s="205"/>
      <c r="D304" s="201"/>
      <c r="E304" s="68"/>
      <c r="F304" s="209"/>
      <c r="G304" s="202"/>
      <c r="H304" s="202"/>
      <c r="I304" s="415"/>
      <c r="J304" s="209"/>
      <c r="K304" s="209"/>
      <c r="L304" s="68"/>
      <c r="M304" s="68"/>
      <c r="N304" s="68"/>
      <c r="O304" s="68"/>
    </row>
    <row r="305" spans="1:15">
      <c r="A305" s="181"/>
      <c r="B305" s="204"/>
      <c r="C305" s="205"/>
      <c r="D305" s="201"/>
      <c r="E305" s="68"/>
      <c r="F305" s="209"/>
      <c r="G305" s="209"/>
      <c r="H305" s="195"/>
      <c r="I305" s="415"/>
      <c r="J305" s="209"/>
      <c r="K305" s="209"/>
      <c r="L305" s="68"/>
      <c r="M305" s="68"/>
      <c r="N305" s="68"/>
      <c r="O305" s="68"/>
    </row>
    <row r="306" spans="1:15">
      <c r="A306" s="181"/>
      <c r="B306" s="204"/>
      <c r="C306" s="205"/>
      <c r="D306" s="201"/>
      <c r="E306" s="68"/>
      <c r="F306" s="209"/>
      <c r="G306" s="209"/>
      <c r="H306" s="209"/>
      <c r="I306" s="415"/>
      <c r="J306" s="209"/>
      <c r="K306" s="209"/>
      <c r="L306" s="68"/>
      <c r="M306" s="68"/>
      <c r="N306" s="68"/>
      <c r="O306" s="68"/>
    </row>
    <row r="307" spans="1:15">
      <c r="A307" s="181"/>
      <c r="B307" s="204"/>
      <c r="C307" s="205"/>
      <c r="D307" s="201"/>
      <c r="E307" s="68"/>
      <c r="F307" s="209"/>
      <c r="G307" s="209"/>
      <c r="H307" s="209"/>
      <c r="I307" s="415"/>
    </row>
    <row r="308" spans="1:15">
      <c r="A308" s="181"/>
      <c r="B308" s="204"/>
      <c r="C308" s="205"/>
      <c r="D308" s="201"/>
      <c r="E308" s="68"/>
      <c r="F308" s="209"/>
      <c r="G308" s="209"/>
      <c r="H308" s="209"/>
      <c r="I308" s="415"/>
    </row>
    <row r="309" spans="1:15">
      <c r="A309" s="181"/>
      <c r="B309" s="204"/>
      <c r="C309" s="205"/>
      <c r="D309" s="201"/>
      <c r="E309" s="68"/>
      <c r="F309" s="209"/>
      <c r="G309" s="209"/>
      <c r="H309" s="209"/>
      <c r="I309" s="415"/>
    </row>
    <row r="310" spans="1:15">
      <c r="A310" s="181"/>
      <c r="B310" s="204"/>
      <c r="C310" s="205"/>
      <c r="D310" s="201"/>
      <c r="E310" s="68"/>
      <c r="F310" s="209"/>
      <c r="G310" s="209"/>
      <c r="H310" s="209"/>
      <c r="I310" s="415"/>
    </row>
    <row r="311" spans="1:15">
      <c r="A311" s="181"/>
      <c r="B311" s="204"/>
      <c r="C311" s="205"/>
      <c r="D311" s="201"/>
      <c r="E311" s="68"/>
      <c r="F311" s="195"/>
      <c r="G311" s="209"/>
      <c r="H311" s="209"/>
      <c r="I311" s="415"/>
    </row>
    <row r="312" spans="1:15">
      <c r="A312" s="181"/>
      <c r="B312" s="204"/>
      <c r="C312" s="205"/>
      <c r="D312" s="201"/>
      <c r="E312" s="68"/>
      <c r="F312" s="195"/>
      <c r="G312" s="209"/>
      <c r="H312" s="209"/>
      <c r="I312" s="415"/>
    </row>
    <row r="313" spans="1:15">
      <c r="A313" s="181"/>
      <c r="B313" s="204"/>
      <c r="C313" s="205"/>
      <c r="D313" s="201"/>
      <c r="E313" s="68"/>
      <c r="F313" s="195"/>
      <c r="G313" s="209"/>
      <c r="H313" s="209"/>
      <c r="I313" s="415"/>
    </row>
    <row r="314" spans="1:15">
      <c r="A314" s="181"/>
      <c r="B314" s="204"/>
      <c r="C314" s="205"/>
      <c r="D314" s="201"/>
      <c r="E314" s="68"/>
      <c r="F314" s="195"/>
      <c r="G314" s="209"/>
      <c r="H314" s="209"/>
      <c r="I314" s="415"/>
    </row>
    <row r="315" spans="1:15">
      <c r="A315" s="181"/>
      <c r="B315" s="204"/>
      <c r="C315" s="205"/>
      <c r="D315" s="201"/>
      <c r="E315" s="68"/>
      <c r="F315" s="209"/>
      <c r="G315" s="209"/>
      <c r="H315" s="209"/>
      <c r="I315" s="415"/>
    </row>
    <row r="316" spans="1:15">
      <c r="A316" s="181"/>
      <c r="B316" s="204"/>
      <c r="C316" s="205"/>
      <c r="D316" s="201"/>
      <c r="E316" s="68"/>
      <c r="F316" s="209"/>
      <c r="G316" s="209"/>
      <c r="H316" s="209"/>
      <c r="I316" s="415"/>
    </row>
    <row r="317" spans="1:15">
      <c r="A317" s="181"/>
      <c r="B317" s="204"/>
      <c r="C317" s="205"/>
      <c r="D317" s="201"/>
      <c r="E317" s="68"/>
      <c r="F317" s="209"/>
      <c r="G317" s="209"/>
      <c r="H317" s="209"/>
      <c r="I317" s="415"/>
    </row>
    <row r="318" spans="1:15">
      <c r="A318" s="181"/>
      <c r="B318" s="204"/>
      <c r="C318" s="205"/>
      <c r="D318" s="201"/>
      <c r="E318" s="68"/>
      <c r="F318" s="195"/>
      <c r="G318" s="209"/>
      <c r="H318" s="209"/>
      <c r="I318" s="415"/>
    </row>
    <row r="319" spans="1:15">
      <c r="A319" s="181"/>
      <c r="B319" s="204"/>
      <c r="C319" s="205"/>
      <c r="D319" s="201"/>
      <c r="E319" s="68"/>
      <c r="F319" s="209"/>
      <c r="G319" s="195"/>
      <c r="H319" s="195"/>
      <c r="I319" s="196"/>
    </row>
    <row r="320" spans="1:15">
      <c r="A320" s="181"/>
      <c r="B320" s="204"/>
      <c r="C320" s="205"/>
      <c r="D320" s="201"/>
      <c r="E320" s="68"/>
      <c r="F320" s="209"/>
      <c r="G320" s="195"/>
      <c r="H320" s="195"/>
      <c r="I320" s="196"/>
    </row>
    <row r="321" spans="1:9">
      <c r="A321" s="181"/>
      <c r="B321" s="204"/>
      <c r="C321" s="205"/>
      <c r="D321" s="201"/>
      <c r="E321" s="68"/>
      <c r="F321" s="209"/>
      <c r="G321" s="195"/>
      <c r="H321" s="195"/>
      <c r="I321" s="196"/>
    </row>
    <row r="322" spans="1:9">
      <c r="A322" s="181"/>
      <c r="B322" s="204"/>
      <c r="C322" s="205"/>
      <c r="D322" s="201"/>
      <c r="E322" s="68"/>
      <c r="F322" s="209"/>
      <c r="G322" s="209"/>
      <c r="H322" s="209"/>
      <c r="I322" s="196"/>
    </row>
    <row r="323" spans="1:9">
      <c r="A323" s="181"/>
      <c r="B323" s="204"/>
      <c r="C323" s="205"/>
      <c r="D323" s="201"/>
      <c r="E323" s="68"/>
      <c r="F323" s="209"/>
      <c r="G323" s="195"/>
      <c r="H323" s="195"/>
      <c r="I323" s="196"/>
    </row>
    <row r="324" spans="1:9">
      <c r="A324" s="181"/>
      <c r="B324" s="204"/>
      <c r="C324" s="205"/>
      <c r="D324" s="201"/>
      <c r="E324" s="403"/>
      <c r="F324" s="209"/>
      <c r="G324" s="195"/>
      <c r="H324" s="195"/>
      <c r="I324" s="196"/>
    </row>
    <row r="325" spans="1:9">
      <c r="A325" s="68"/>
      <c r="B325" s="204"/>
      <c r="C325" s="205"/>
      <c r="D325" s="201"/>
      <c r="E325" s="209"/>
      <c r="F325" s="209"/>
      <c r="G325" s="209"/>
    </row>
    <row r="326" spans="1:9">
      <c r="A326" s="68"/>
      <c r="B326" s="204"/>
      <c r="C326" s="205"/>
      <c r="D326" s="201"/>
      <c r="E326" s="68"/>
      <c r="F326" s="209"/>
      <c r="G326" s="209"/>
    </row>
    <row r="327" spans="1:9">
      <c r="A327" s="68"/>
      <c r="B327" s="204"/>
      <c r="C327" s="205"/>
      <c r="D327" s="201"/>
      <c r="E327" s="68"/>
      <c r="F327" s="209"/>
      <c r="G327" s="209"/>
    </row>
  </sheetData>
  <autoFilter ref="A2:P297"/>
  <sortState ref="A123:U133">
    <sortCondition ref="K123:K133"/>
  </sortState>
  <pageMargins left="0.75" right="0.75" top="1" bottom="0.75" header="0.5" footer="0.5"/>
  <pageSetup paperSize="3" scale="54" fitToHeight="100" orientation="landscape" r:id="rId1"/>
  <headerFooter>
    <oddHeader>&amp;L&amp;"Arial,Bold"&amp;10PacifiCorp 
Washington - General Rate Case
Twelve Months Ending December 31, 2021</oddHeader>
    <oddFooter>&amp;L&amp;"Arial,Bold"&amp;10CURRENT INCOME TAX EXPENSE&amp;R&amp;"Arial,Bold"&amp;10Page &amp;P of &amp;N</oddFooter>
  </headerFooter>
  <ignoredErrors>
    <ignoredError sqref="F1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9"/>
  <sheetViews>
    <sheetView zoomScale="80" zoomScaleNormal="80" zoomScaleSheetLayoutView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ColWidth="9.140625" defaultRowHeight="12.75"/>
  <cols>
    <col min="1" max="1" width="84.28515625" style="192" bestFit="1" customWidth="1"/>
    <col min="2" max="3" width="15.7109375" style="193" customWidth="1"/>
    <col min="4" max="4" width="15.7109375" style="194" customWidth="1"/>
    <col min="5" max="5" width="15.7109375" style="181" customWidth="1"/>
    <col min="6" max="8" width="20.7109375" style="195" customWidth="1"/>
    <col min="9" max="9" width="20.7109375" style="196" customWidth="1"/>
    <col min="10" max="10" width="20.7109375" style="195" customWidth="1"/>
    <col min="11" max="15" width="20.7109375" style="181" customWidth="1"/>
    <col min="16" max="16" width="13.5703125" style="181" bestFit="1" customWidth="1"/>
    <col min="17" max="16384" width="9.140625" style="181"/>
  </cols>
  <sheetData>
    <row r="1" spans="1:15" s="173" customFormat="1">
      <c r="A1" s="163" t="s">
        <v>0</v>
      </c>
      <c r="B1" s="164" t="s">
        <v>85</v>
      </c>
      <c r="C1" s="165"/>
      <c r="D1" s="166" t="s">
        <v>278</v>
      </c>
      <c r="E1" s="167" t="s">
        <v>1</v>
      </c>
      <c r="F1" s="168" t="s">
        <v>2</v>
      </c>
      <c r="G1" s="409"/>
      <c r="H1" s="170"/>
      <c r="I1" s="169"/>
      <c r="J1" s="171"/>
      <c r="K1" s="168" t="s">
        <v>328</v>
      </c>
      <c r="L1" s="172"/>
      <c r="M1" s="169"/>
      <c r="N1" s="169"/>
      <c r="O1" s="171"/>
    </row>
    <row r="2" spans="1:15">
      <c r="A2" s="174" t="s">
        <v>3</v>
      </c>
      <c r="B2" s="175" t="s">
        <v>4</v>
      </c>
      <c r="C2" s="176" t="s">
        <v>86</v>
      </c>
      <c r="D2" s="177" t="s">
        <v>5</v>
      </c>
      <c r="E2" s="178" t="s">
        <v>332</v>
      </c>
      <c r="F2" s="179" t="s">
        <v>280</v>
      </c>
      <c r="G2" s="420" t="s">
        <v>329</v>
      </c>
      <c r="H2" s="179" t="s">
        <v>90</v>
      </c>
      <c r="I2" s="179" t="s">
        <v>278</v>
      </c>
      <c r="J2" s="179" t="s">
        <v>88</v>
      </c>
      <c r="K2" s="179" t="s">
        <v>417</v>
      </c>
      <c r="L2" s="180" t="s">
        <v>89</v>
      </c>
      <c r="M2" s="179" t="s">
        <v>90</v>
      </c>
      <c r="N2" s="179" t="s">
        <v>278</v>
      </c>
      <c r="O2" s="179" t="s">
        <v>88</v>
      </c>
    </row>
    <row r="3" spans="1:15">
      <c r="A3" s="295" t="str">
        <f>'Current Income Tax Expense'!A28</f>
        <v xml:space="preserve">Capitalized labor and benefit costs </v>
      </c>
      <c r="B3" s="296">
        <f>'Current Income Tax Expense'!B28</f>
        <v>287605</v>
      </c>
      <c r="C3" s="312">
        <f>'Current Income Tax Expense'!C28</f>
        <v>105.1</v>
      </c>
      <c r="D3" s="296" t="str">
        <f>'Current Income Tax Expense'!D28</f>
        <v>- - - - -</v>
      </c>
      <c r="E3" s="296" t="str">
        <f>'Current Income Tax Expense'!E28</f>
        <v>U</v>
      </c>
      <c r="F3" s="299">
        <f>ROUND(-'Current Income Tax Expense'!F28*0.245866,0)</f>
        <v>-488547</v>
      </c>
      <c r="G3" s="300">
        <f t="shared" ref="G3:G8" si="0">IF(E3="U",F3,0)</f>
        <v>-488547</v>
      </c>
      <c r="H3" s="300">
        <f t="shared" ref="H3:H34" si="1">IF(E3="U",G3,0)</f>
        <v>-488547</v>
      </c>
      <c r="I3" s="299">
        <f>-ROUND('Current Income Tax Expense'!I28*0.245866,0)</f>
        <v>0</v>
      </c>
      <c r="J3" s="299">
        <f t="shared" ref="J3:J34" si="2">SUM(H3:I3)</f>
        <v>-488547</v>
      </c>
      <c r="K3" s="296" t="str">
        <f>'Current Income Tax Expense'!K28</f>
        <v>SO</v>
      </c>
      <c r="L3" s="313">
        <f>SUMIF('Allocation Factors'!$B$3:$B$89,'Deferred Income Tax Expense'!K3,'Allocation Factors'!$P$3:$P$89)</f>
        <v>6.7017620954721469E-2</v>
      </c>
      <c r="M3" s="299">
        <f t="shared" ref="M3:M34" si="3">ROUND(H3*L3,0)</f>
        <v>-32741</v>
      </c>
      <c r="N3" s="300">
        <f t="shared" ref="N3:N33" si="4">ROUND(SUM(I3:I3)*L3,0)</f>
        <v>0</v>
      </c>
      <c r="O3" s="299">
        <f>SUM(M3:N3)</f>
        <v>-32741</v>
      </c>
    </row>
    <row r="4" spans="1:15">
      <c r="A4" s="90" t="str">
        <f>'Current Income Tax Expense'!A29</f>
        <v>Book Depreciation</v>
      </c>
      <c r="B4" s="276">
        <f>'Current Income Tax Expense'!B29</f>
        <v>287605</v>
      </c>
      <c r="C4" s="314">
        <f>'Current Income Tax Expense'!C29</f>
        <v>105.12</v>
      </c>
      <c r="D4" s="276" t="s">
        <v>720</v>
      </c>
      <c r="E4" s="276" t="str">
        <f>'Current Income Tax Expense'!E29</f>
        <v>U</v>
      </c>
      <c r="F4" s="300">
        <f>ROUND(-'Current Income Tax Expense'!F29*0.245866,0)</f>
        <v>-241934107</v>
      </c>
      <c r="G4" s="300">
        <f t="shared" si="0"/>
        <v>-241934107</v>
      </c>
      <c r="H4" s="300">
        <f t="shared" si="1"/>
        <v>-241934107</v>
      </c>
      <c r="I4" s="300">
        <f>+'41110'!N20</f>
        <v>44447316</v>
      </c>
      <c r="J4" s="300">
        <f t="shared" si="2"/>
        <v>-197486791</v>
      </c>
      <c r="K4" s="276" t="str">
        <f>'Current Income Tax Expense'!K29</f>
        <v>SCHMDEXP</v>
      </c>
      <c r="L4" s="315">
        <f>SUMIF('Allocation Factors'!$B$3:$B$89,'Deferred Income Tax Expense'!K4,'Allocation Factors'!$P$3:$P$89)</f>
        <v>6.7702726582684086E-2</v>
      </c>
      <c r="M4" s="300">
        <f t="shared" si="3"/>
        <v>-16379599</v>
      </c>
      <c r="N4" s="300">
        <f t="shared" si="4"/>
        <v>3009204</v>
      </c>
      <c r="O4" s="300">
        <f t="shared" ref="O4:O52" si="5">SUM(M4:N4)</f>
        <v>-13370395</v>
      </c>
    </row>
    <row r="5" spans="1:15">
      <c r="A5" s="90" t="str">
        <f>'Current Income Tax Expense'!A30</f>
        <v>Book Depreciation - PMI</v>
      </c>
      <c r="B5" s="276">
        <f>'Current Income Tax Expense'!B30</f>
        <v>287726</v>
      </c>
      <c r="C5" s="314">
        <f>'Current Income Tax Expense'!C30</f>
        <v>105.121</v>
      </c>
      <c r="D5" s="276" t="str">
        <f>'Current Income Tax Expense'!D30</f>
        <v>- - - - -</v>
      </c>
      <c r="E5" s="276" t="str">
        <f>'Current Income Tax Expense'!E30</f>
        <v>U</v>
      </c>
      <c r="F5" s="300">
        <f>ROUND(-'Current Income Tax Expense'!F30*0.245866,0)</f>
        <v>-4086502</v>
      </c>
      <c r="G5" s="300">
        <f t="shared" si="0"/>
        <v>-4086502</v>
      </c>
      <c r="H5" s="300">
        <f t="shared" si="1"/>
        <v>-4086502</v>
      </c>
      <c r="I5" s="300">
        <f>-ROUND('Current Income Tax Expense'!I30*0.245866,0)</f>
        <v>0</v>
      </c>
      <c r="J5" s="300">
        <f t="shared" si="2"/>
        <v>-4086502</v>
      </c>
      <c r="K5" s="276" t="str">
        <f>'Current Income Tax Expense'!K30</f>
        <v>JBE</v>
      </c>
      <c r="L5" s="315">
        <f>SUMIF('Allocation Factors'!$B$3:$B$89,'Deferred Income Tax Expense'!K5,'Allocation Factors'!$P$3:$P$89)</f>
        <v>0.22591574269314921</v>
      </c>
      <c r="M5" s="300">
        <f t="shared" si="3"/>
        <v>-923205</v>
      </c>
      <c r="N5" s="300">
        <f t="shared" si="4"/>
        <v>0</v>
      </c>
      <c r="O5" s="300">
        <f t="shared" si="5"/>
        <v>-923205</v>
      </c>
    </row>
    <row r="6" spans="1:15">
      <c r="A6" s="90" t="str">
        <f>'Current Income Tax Expense'!A31</f>
        <v xml:space="preserve">CIAC </v>
      </c>
      <c r="B6" s="276">
        <f>'Current Income Tax Expense'!B31</f>
        <v>287605</v>
      </c>
      <c r="C6" s="314">
        <f>'Current Income Tax Expense'!C31</f>
        <v>105.13</v>
      </c>
      <c r="D6" s="276" t="str">
        <f>'Current Income Tax Expense'!D31</f>
        <v>- - - - -</v>
      </c>
      <c r="E6" s="276" t="str">
        <f>'Current Income Tax Expense'!E31</f>
        <v>U</v>
      </c>
      <c r="F6" s="300">
        <f>ROUND(-'Current Income Tax Expense'!F31*0.245866,0)</f>
        <v>-25324501</v>
      </c>
      <c r="G6" s="300">
        <f t="shared" si="0"/>
        <v>-25324501</v>
      </c>
      <c r="H6" s="300">
        <f t="shared" si="1"/>
        <v>-25324501</v>
      </c>
      <c r="I6" s="300">
        <f>-ROUND('Current Income Tax Expense'!I31*0.245866,0)</f>
        <v>0</v>
      </c>
      <c r="J6" s="300">
        <f t="shared" si="2"/>
        <v>-25324501</v>
      </c>
      <c r="K6" s="276" t="str">
        <f>'Current Income Tax Expense'!K31</f>
        <v>CIAC</v>
      </c>
      <c r="L6" s="315">
        <f>SUMIF('Allocation Factors'!$B$3:$B$89,'Deferred Income Tax Expense'!K6,'Allocation Factors'!$P$3:$P$89)</f>
        <v>6.4409240866138473E-2</v>
      </c>
      <c r="M6" s="300">
        <f t="shared" si="3"/>
        <v>-1631132</v>
      </c>
      <c r="N6" s="300">
        <f t="shared" si="4"/>
        <v>0</v>
      </c>
      <c r="O6" s="300">
        <f t="shared" si="5"/>
        <v>-1631132</v>
      </c>
    </row>
    <row r="7" spans="1:15">
      <c r="A7" s="90" t="str">
        <f>'Current Income Tax Expense'!A32</f>
        <v>Reimbursements</v>
      </c>
      <c r="B7" s="276">
        <f>'Current Income Tax Expense'!B32</f>
        <v>287605</v>
      </c>
      <c r="C7" s="314">
        <f>'Current Income Tax Expense'!C32</f>
        <v>105.14</v>
      </c>
      <c r="D7" s="276" t="str">
        <f>'Current Income Tax Expense'!D32</f>
        <v>- - - - -</v>
      </c>
      <c r="E7" s="276" t="str">
        <f>'Current Income Tax Expense'!E32</f>
        <v>U</v>
      </c>
      <c r="F7" s="300">
        <f>ROUND(-'Current Income Tax Expense'!F32*0.245866,0)</f>
        <v>-516039</v>
      </c>
      <c r="G7" s="300">
        <f t="shared" si="0"/>
        <v>-516039</v>
      </c>
      <c r="H7" s="300">
        <f t="shared" si="1"/>
        <v>-516039</v>
      </c>
      <c r="I7" s="300">
        <f>-ROUND('Current Income Tax Expense'!I32*0.245866,0)</f>
        <v>0</v>
      </c>
      <c r="J7" s="300">
        <f t="shared" si="2"/>
        <v>-516039</v>
      </c>
      <c r="K7" s="276" t="str">
        <f>'Current Income Tax Expense'!K32</f>
        <v>SNPD</v>
      </c>
      <c r="L7" s="315">
        <f>SUMIF('Allocation Factors'!$B$3:$B$89,'Deferred Income Tax Expense'!K7,'Allocation Factors'!$P$3:$P$89)</f>
        <v>6.4409240866138473E-2</v>
      </c>
      <c r="M7" s="300">
        <f t="shared" si="3"/>
        <v>-33238</v>
      </c>
      <c r="N7" s="300">
        <f t="shared" si="4"/>
        <v>0</v>
      </c>
      <c r="O7" s="300">
        <f t="shared" si="5"/>
        <v>-33238</v>
      </c>
    </row>
    <row r="8" spans="1:15">
      <c r="A8" s="90" t="str">
        <f>'Current Income Tax Expense'!A33</f>
        <v xml:space="preserve">Avoided Costs </v>
      </c>
      <c r="B8" s="276">
        <f>'Current Income Tax Expense'!B33</f>
        <v>287605</v>
      </c>
      <c r="C8" s="314">
        <f>'Current Income Tax Expense'!C33</f>
        <v>105.142</v>
      </c>
      <c r="D8" s="276" t="str">
        <f>'Current Income Tax Expense'!D33</f>
        <v>- - - - -</v>
      </c>
      <c r="E8" s="276" t="str">
        <f>'Current Income Tax Expense'!E33</f>
        <v>U</v>
      </c>
      <c r="F8" s="300">
        <f>ROUND(-'Current Income Tax Expense'!F33*0.245866,0)</f>
        <v>-10144862</v>
      </c>
      <c r="G8" s="300">
        <f t="shared" si="0"/>
        <v>-10144862</v>
      </c>
      <c r="H8" s="300">
        <f t="shared" si="1"/>
        <v>-10144862</v>
      </c>
      <c r="I8" s="300">
        <f>-ROUND('Current Income Tax Expense'!I33*0.245866,0)</f>
        <v>0</v>
      </c>
      <c r="J8" s="300">
        <f t="shared" si="2"/>
        <v>-10144862</v>
      </c>
      <c r="K8" s="276" t="str">
        <f>'Current Income Tax Expense'!K33</f>
        <v>SNP</v>
      </c>
      <c r="L8" s="315">
        <f>SUMIF('Allocation Factors'!$B$3:$B$89,'Deferred Income Tax Expense'!K8,'Allocation Factors'!$P$3:$P$89)</f>
        <v>6.0894111271351227E-2</v>
      </c>
      <c r="M8" s="300">
        <f t="shared" si="3"/>
        <v>-617762</v>
      </c>
      <c r="N8" s="300">
        <f t="shared" si="4"/>
        <v>0</v>
      </c>
      <c r="O8" s="300">
        <f t="shared" si="5"/>
        <v>-617762</v>
      </c>
    </row>
    <row r="9" spans="1:15">
      <c r="A9" s="90" t="str">
        <f>'Current Income Tax Expense'!A34</f>
        <v>FAS 143 ARO Liability</v>
      </c>
      <c r="B9" s="276">
        <f>'Current Income Tax Expense'!B34</f>
        <v>287339</v>
      </c>
      <c r="C9" s="314" t="str">
        <f>'Current Income Tax Expense'!C34</f>
        <v>105.400a</v>
      </c>
      <c r="D9" s="276" t="str">
        <f>'Current Income Tax Expense'!D34</f>
        <v>- - - - -</v>
      </c>
      <c r="E9" s="276" t="str">
        <f>'Current Income Tax Expense'!E34</f>
        <v>NR</v>
      </c>
      <c r="F9" s="300">
        <f>ROUND(-'Current Income Tax Expense'!F34*0.245866,0)</f>
        <v>-2180427</v>
      </c>
      <c r="G9" s="300">
        <f t="shared" ref="G9:G72" si="6">IF(E9="U",F9,0)</f>
        <v>0</v>
      </c>
      <c r="H9" s="300">
        <f t="shared" si="1"/>
        <v>0</v>
      </c>
      <c r="I9" s="300">
        <f>-ROUND('Current Income Tax Expense'!I34*0.245866,0)</f>
        <v>0</v>
      </c>
      <c r="J9" s="300">
        <f t="shared" si="2"/>
        <v>0</v>
      </c>
      <c r="K9" s="276" t="str">
        <f>'Current Income Tax Expense'!K34</f>
        <v>NREG</v>
      </c>
      <c r="L9" s="315">
        <f>SUMIF('Allocation Factors'!$B$3:$B$89,'Deferred Income Tax Expense'!K9,'Allocation Factors'!$P$3:$P$89)</f>
        <v>0</v>
      </c>
      <c r="M9" s="300">
        <f t="shared" si="3"/>
        <v>0</v>
      </c>
      <c r="N9" s="300">
        <f t="shared" si="4"/>
        <v>0</v>
      </c>
      <c r="O9" s="300">
        <f t="shared" si="5"/>
        <v>0</v>
      </c>
    </row>
    <row r="10" spans="1:15">
      <c r="A10" s="90" t="str">
        <f>'Current Income Tax Expense'!A35</f>
        <v>Non ARO - reclass to regulatory assets/liabilities</v>
      </c>
      <c r="B10" s="276">
        <f>'Current Income Tax Expense'!B35</f>
        <v>287313</v>
      </c>
      <c r="C10" s="314">
        <f>'Current Income Tax Expense'!C35</f>
        <v>105.46</v>
      </c>
      <c r="D10" s="276" t="str">
        <f>'Current Income Tax Expense'!D35</f>
        <v>- - - - -</v>
      </c>
      <c r="E10" s="276" t="str">
        <f>'Current Income Tax Expense'!E35</f>
        <v>NR</v>
      </c>
      <c r="F10" s="300">
        <f>ROUND(-'Current Income Tax Expense'!F35*0.245866,0)</f>
        <v>8670711</v>
      </c>
      <c r="G10" s="300">
        <f t="shared" si="6"/>
        <v>0</v>
      </c>
      <c r="H10" s="300">
        <f t="shared" si="1"/>
        <v>0</v>
      </c>
      <c r="I10" s="300">
        <f>-ROUND('Current Income Tax Expense'!I35*0.245866,0)</f>
        <v>0</v>
      </c>
      <c r="J10" s="300">
        <f t="shared" si="2"/>
        <v>0</v>
      </c>
      <c r="K10" s="276" t="str">
        <f>'Current Income Tax Expense'!K35</f>
        <v>NREG</v>
      </c>
      <c r="L10" s="315">
        <f>SUMIF('Allocation Factors'!$B$3:$B$89,'Deferred Income Tax Expense'!K10,'Allocation Factors'!$P$3:$P$89)</f>
        <v>0</v>
      </c>
      <c r="M10" s="300">
        <f t="shared" si="3"/>
        <v>0</v>
      </c>
      <c r="N10" s="300">
        <f t="shared" si="4"/>
        <v>0</v>
      </c>
      <c r="O10" s="300">
        <f t="shared" si="5"/>
        <v>0</v>
      </c>
    </row>
    <row r="11" spans="1:15">
      <c r="A11" s="90" t="str">
        <f>'Current Income Tax Expense'!A36</f>
        <v>Coal Pile Inventory Adjustment</v>
      </c>
      <c r="B11" s="276">
        <f>'Current Income Tax Expense'!B36</f>
        <v>287650</v>
      </c>
      <c r="C11" s="314">
        <f>'Current Income Tax Expense'!C36</f>
        <v>205.1</v>
      </c>
      <c r="D11" s="276" t="str">
        <f>'Current Income Tax Expense'!D36</f>
        <v>- - - - -</v>
      </c>
      <c r="E11" s="276" t="str">
        <f>'Current Income Tax Expense'!E36</f>
        <v>U</v>
      </c>
      <c r="F11" s="300">
        <f>ROUND(-'Current Income Tax Expense'!F36*0.245866,0)</f>
        <v>-61042</v>
      </c>
      <c r="G11" s="300">
        <f t="shared" si="6"/>
        <v>-61042</v>
      </c>
      <c r="H11" s="300">
        <f t="shared" si="1"/>
        <v>-61042</v>
      </c>
      <c r="I11" s="300">
        <f>-ROUND('Current Income Tax Expense'!I36*0.245866,0)</f>
        <v>0</v>
      </c>
      <c r="J11" s="300">
        <f t="shared" si="2"/>
        <v>-61042</v>
      </c>
      <c r="K11" s="276" t="str">
        <f>'Current Income Tax Expense'!K36</f>
        <v>CAEE</v>
      </c>
      <c r="L11" s="315">
        <f>SUMIF('Allocation Factors'!$B$3:$B$89,'Deferred Income Tax Expense'!K11,'Allocation Factors'!$P$3:$P$89)</f>
        <v>0</v>
      </c>
      <c r="M11" s="300">
        <f t="shared" si="3"/>
        <v>0</v>
      </c>
      <c r="N11" s="300">
        <f t="shared" si="4"/>
        <v>0</v>
      </c>
      <c r="O11" s="300">
        <f t="shared" si="5"/>
        <v>0</v>
      </c>
    </row>
    <row r="12" spans="1:15">
      <c r="A12" s="90" t="str">
        <f>'Current Income Tax Expense'!A37</f>
        <v>Property Taxes - Lien Date</v>
      </c>
      <c r="B12" s="276">
        <f>'Current Income Tax Expense'!B37</f>
        <v>287708</v>
      </c>
      <c r="C12" s="314">
        <f>'Current Income Tax Expense'!C37</f>
        <v>210.2</v>
      </c>
      <c r="D12" s="276" t="str">
        <f>'Current Income Tax Expense'!D37</f>
        <v>- - - - -</v>
      </c>
      <c r="E12" s="276" t="str">
        <f>'Current Income Tax Expense'!E37</f>
        <v>U</v>
      </c>
      <c r="F12" s="300">
        <f>ROUND(-'Current Income Tax Expense'!F37*0.245866,0)</f>
        <v>145317</v>
      </c>
      <c r="G12" s="300">
        <f t="shared" si="6"/>
        <v>145317</v>
      </c>
      <c r="H12" s="300">
        <f t="shared" si="1"/>
        <v>145317</v>
      </c>
      <c r="I12" s="300">
        <f>-ROUND('Current Income Tax Expense'!I37*0.245866,0)</f>
        <v>0</v>
      </c>
      <c r="J12" s="300">
        <f t="shared" si="2"/>
        <v>145317</v>
      </c>
      <c r="K12" s="276" t="str">
        <f>'Current Income Tax Expense'!K37</f>
        <v>GPS</v>
      </c>
      <c r="L12" s="315">
        <f>SUMIF('Allocation Factors'!$B$3:$B$89,'Deferred Income Tax Expense'!K12,'Allocation Factors'!$P$3:$P$89)</f>
        <v>6.7017620954721469E-2</v>
      </c>
      <c r="M12" s="300">
        <f t="shared" si="3"/>
        <v>9739</v>
      </c>
      <c r="N12" s="300">
        <f t="shared" si="4"/>
        <v>0</v>
      </c>
      <c r="O12" s="300">
        <f t="shared" si="5"/>
        <v>9739</v>
      </c>
    </row>
    <row r="13" spans="1:15">
      <c r="A13" s="90" t="str">
        <f>'Current Income Tax Expense'!A38</f>
        <v>Bad Debt Allowances</v>
      </c>
      <c r="B13" s="276">
        <f>'Current Income Tax Expense'!B38</f>
        <v>287340</v>
      </c>
      <c r="C13" s="314">
        <f>'Current Income Tax Expense'!C38</f>
        <v>220.1</v>
      </c>
      <c r="D13" s="276" t="str">
        <f>'Current Income Tax Expense'!D38</f>
        <v>- - - - -</v>
      </c>
      <c r="E13" s="276" t="str">
        <f>'Current Income Tax Expense'!E38</f>
        <v>U</v>
      </c>
      <c r="F13" s="300">
        <f>ROUND(-'Current Income Tax Expense'!F38*0.245866,0)</f>
        <v>-97689</v>
      </c>
      <c r="G13" s="300">
        <f t="shared" si="6"/>
        <v>-97689</v>
      </c>
      <c r="H13" s="300">
        <f t="shared" si="1"/>
        <v>-97689</v>
      </c>
      <c r="I13" s="300">
        <f>-ROUND('Current Income Tax Expense'!I38*0.245866,0)</f>
        <v>0</v>
      </c>
      <c r="J13" s="300">
        <f t="shared" si="2"/>
        <v>-97689</v>
      </c>
      <c r="K13" s="276" t="str">
        <f>'Current Income Tax Expense'!K38</f>
        <v>BADDEBT</v>
      </c>
      <c r="L13" s="315">
        <f>SUMIF('Allocation Factors'!$B$3:$B$89,'Deferred Income Tax Expense'!K13,'Allocation Factors'!$P$3:$P$89)</f>
        <v>0.12556621707988092</v>
      </c>
      <c r="M13" s="300">
        <f t="shared" si="3"/>
        <v>-12266</v>
      </c>
      <c r="N13" s="300">
        <f t="shared" si="4"/>
        <v>0</v>
      </c>
      <c r="O13" s="300">
        <f t="shared" si="5"/>
        <v>-12266</v>
      </c>
    </row>
    <row r="14" spans="1:15">
      <c r="A14" s="90" t="str">
        <f>'Current Income Tax Expense'!A39</f>
        <v>Reg Asset - FAS 158 Pension Liab Adj.</v>
      </c>
      <c r="B14" s="276">
        <f>'Current Income Tax Expense'!B39</f>
        <v>287738</v>
      </c>
      <c r="C14" s="314">
        <f>'Current Income Tax Expense'!C39</f>
        <v>320.27</v>
      </c>
      <c r="D14" s="276" t="str">
        <f>'Current Income Tax Expense'!D39</f>
        <v>- - - - -</v>
      </c>
      <c r="E14" s="269" t="str">
        <f>'Current Income Tax Expense'!E39</f>
        <v>NR</v>
      </c>
      <c r="F14" s="300">
        <f>ROUND(-'Current Income Tax Expense'!F39*0.245866,0)</f>
        <v>-8942576</v>
      </c>
      <c r="G14" s="300">
        <f t="shared" si="6"/>
        <v>0</v>
      </c>
      <c r="H14" s="300">
        <f t="shared" si="1"/>
        <v>0</v>
      </c>
      <c r="I14" s="300">
        <f>-ROUND('Current Income Tax Expense'!I39*0.245866,0)</f>
        <v>0</v>
      </c>
      <c r="J14" s="300">
        <f t="shared" si="2"/>
        <v>0</v>
      </c>
      <c r="K14" s="276" t="str">
        <f>'Current Income Tax Expense'!K39</f>
        <v>NREG</v>
      </c>
      <c r="L14" s="315">
        <f>SUMIF('Allocation Factors'!$B$3:$B$89,'Deferred Income Tax Expense'!K14,'Allocation Factors'!$P$3:$P$89)</f>
        <v>0</v>
      </c>
      <c r="M14" s="300">
        <f t="shared" si="3"/>
        <v>0</v>
      </c>
      <c r="N14" s="300">
        <f t="shared" si="4"/>
        <v>0</v>
      </c>
      <c r="O14" s="300">
        <f t="shared" si="5"/>
        <v>0</v>
      </c>
    </row>
    <row r="15" spans="1:15">
      <c r="A15" s="90" t="str">
        <f>'Current Income Tax Expense'!A40</f>
        <v>Reg Asset - FAS 158 Post Ret. Liab.</v>
      </c>
      <c r="B15" s="276">
        <f>'Current Income Tax Expense'!B40</f>
        <v>287739</v>
      </c>
      <c r="C15" s="314">
        <f>'Current Income Tax Expense'!C40</f>
        <v>320.27999999999997</v>
      </c>
      <c r="D15" s="276" t="str">
        <f>'Current Income Tax Expense'!D40</f>
        <v>- - - - -</v>
      </c>
      <c r="E15" s="276" t="str">
        <f>'Current Income Tax Expense'!E40</f>
        <v>NR</v>
      </c>
      <c r="F15" s="300">
        <f>ROUND(-'Current Income Tax Expense'!F40*0.245866,0)</f>
        <v>3453060</v>
      </c>
      <c r="G15" s="300">
        <f t="shared" si="6"/>
        <v>0</v>
      </c>
      <c r="H15" s="300">
        <f t="shared" si="1"/>
        <v>0</v>
      </c>
      <c r="I15" s="300">
        <f>-ROUND('Current Income Tax Expense'!I40*0.245866,0)</f>
        <v>0</v>
      </c>
      <c r="J15" s="300">
        <f t="shared" si="2"/>
        <v>0</v>
      </c>
      <c r="K15" s="276" t="str">
        <f>'Current Income Tax Expense'!K40</f>
        <v>NREG</v>
      </c>
      <c r="L15" s="315">
        <f>SUMIF('Allocation Factors'!$B$3:$B$89,'Deferred Income Tax Expense'!K15,'Allocation Factors'!$P$3:$P$89)</f>
        <v>0</v>
      </c>
      <c r="M15" s="300">
        <f t="shared" si="3"/>
        <v>0</v>
      </c>
      <c r="N15" s="300">
        <f t="shared" si="4"/>
        <v>0</v>
      </c>
      <c r="O15" s="300">
        <f t="shared" si="5"/>
        <v>0</v>
      </c>
    </row>
    <row r="16" spans="1:15">
      <c r="A16" s="90" t="str">
        <f>'Current Income Tax Expense'!A41</f>
        <v>Reg Asset - Post Retirement Settlement Loss</v>
      </c>
      <c r="B16" s="276">
        <f>'Current Income Tax Expense'!B41</f>
        <v>287848</v>
      </c>
      <c r="C16" s="314">
        <f>'Current Income Tax Expense'!C41</f>
        <v>320.28100000000001</v>
      </c>
      <c r="D16" s="276" t="str">
        <f>'Current Income Tax Expense'!D41</f>
        <v>- - - - -</v>
      </c>
      <c r="E16" s="276" t="str">
        <f>'Current Income Tax Expense'!E41</f>
        <v>NR</v>
      </c>
      <c r="F16" s="300">
        <f>ROUND(-'Current Income Tax Expense'!F41*0.245866,0)</f>
        <v>-86810</v>
      </c>
      <c r="G16" s="300">
        <f t="shared" si="6"/>
        <v>0</v>
      </c>
      <c r="H16" s="300">
        <f t="shared" si="1"/>
        <v>0</v>
      </c>
      <c r="I16" s="300">
        <f>-ROUND('Current Income Tax Expense'!I41*0.245866,0)</f>
        <v>0</v>
      </c>
      <c r="J16" s="300">
        <f t="shared" si="2"/>
        <v>0</v>
      </c>
      <c r="K16" s="276" t="str">
        <f>'Current Income Tax Expense'!K41</f>
        <v>NREG</v>
      </c>
      <c r="L16" s="315">
        <f>SUMIF('Allocation Factors'!$B$3:$B$89,'Deferred Income Tax Expense'!K16,'Allocation Factors'!$P$3:$P$89)</f>
        <v>0</v>
      </c>
      <c r="M16" s="300">
        <f t="shared" si="3"/>
        <v>0</v>
      </c>
      <c r="N16" s="300">
        <f t="shared" si="4"/>
        <v>0</v>
      </c>
      <c r="O16" s="300">
        <f t="shared" ref="O16" si="7">SUM(M16:N16)</f>
        <v>0</v>
      </c>
    </row>
    <row r="17" spans="1:15">
      <c r="A17" s="90" t="str">
        <f>'Current Income Tax Expense'!A42</f>
        <v xml:space="preserve">Reg Asset - Post Retirement Settlement Loss - CC - UT </v>
      </c>
      <c r="B17" s="276">
        <f>'Current Income Tax Expense'!B42</f>
        <v>287933</v>
      </c>
      <c r="C17" s="314">
        <f>'Current Income Tax Expense'!C42</f>
        <v>320.28199999999998</v>
      </c>
      <c r="D17" s="276" t="str">
        <f>'Current Income Tax Expense'!D42</f>
        <v>- - - - -</v>
      </c>
      <c r="E17" s="276" t="str">
        <f>'Current Income Tax Expense'!E42</f>
        <v>U</v>
      </c>
      <c r="F17" s="300">
        <f>ROUND(-'Current Income Tax Expense'!F42*0.245866,0)</f>
        <v>71621</v>
      </c>
      <c r="G17" s="300">
        <f t="shared" si="6"/>
        <v>71621</v>
      </c>
      <c r="H17" s="300">
        <f t="shared" si="1"/>
        <v>71621</v>
      </c>
      <c r="I17" s="300">
        <f>-ROUND('Current Income Tax Expense'!I42*0.245866,0)</f>
        <v>0</v>
      </c>
      <c r="J17" s="300">
        <f t="shared" si="2"/>
        <v>71621</v>
      </c>
      <c r="K17" s="276" t="str">
        <f>'Current Income Tax Expense'!K42</f>
        <v>UT</v>
      </c>
      <c r="L17" s="315">
        <f>SUMIF('Allocation Factors'!$B$3:$B$89,'Deferred Income Tax Expense'!K17,'Allocation Factors'!$P$3:$P$89)</f>
        <v>0</v>
      </c>
      <c r="M17" s="300">
        <f t="shared" si="3"/>
        <v>0</v>
      </c>
      <c r="N17" s="300">
        <f t="shared" si="4"/>
        <v>0</v>
      </c>
      <c r="O17" s="300">
        <f t="shared" ref="O17:O18" si="8">SUM(M17:N17)</f>
        <v>0</v>
      </c>
    </row>
    <row r="18" spans="1:15">
      <c r="A18" s="90" t="str">
        <f>'Current Income Tax Expense'!A43</f>
        <v>Reg Asset - Post Retirement Settlement Loss - CC - WY</v>
      </c>
      <c r="B18" s="276">
        <f>'Current Income Tax Expense'!B43</f>
        <v>287934</v>
      </c>
      <c r="C18" s="314">
        <f>'Current Income Tax Expense'!C43</f>
        <v>320.28300000000002</v>
      </c>
      <c r="D18" s="276" t="str">
        <f>'Current Income Tax Expense'!D43</f>
        <v>- - - - -</v>
      </c>
      <c r="E18" s="276" t="str">
        <f>'Current Income Tax Expense'!E43</f>
        <v>U</v>
      </c>
      <c r="F18" s="300">
        <f>ROUND(-'Current Income Tax Expense'!F43*0.245866,0)</f>
        <v>-5469</v>
      </c>
      <c r="G18" s="300">
        <f t="shared" si="6"/>
        <v>-5469</v>
      </c>
      <c r="H18" s="300">
        <f t="shared" si="1"/>
        <v>-5469</v>
      </c>
      <c r="I18" s="300">
        <f>-ROUND('Current Income Tax Expense'!I43*0.245866,0)</f>
        <v>0</v>
      </c>
      <c r="J18" s="300">
        <f t="shared" si="2"/>
        <v>-5469</v>
      </c>
      <c r="K18" s="276" t="str">
        <f>'Current Income Tax Expense'!K43</f>
        <v>WYP</v>
      </c>
      <c r="L18" s="315">
        <f>SUMIF('Allocation Factors'!$B$3:$B$89,'Deferred Income Tax Expense'!K18,'Allocation Factors'!$P$3:$P$89)</f>
        <v>0</v>
      </c>
      <c r="M18" s="300">
        <f t="shared" si="3"/>
        <v>0</v>
      </c>
      <c r="N18" s="300">
        <f t="shared" si="4"/>
        <v>0</v>
      </c>
      <c r="O18" s="300">
        <f t="shared" si="8"/>
        <v>0</v>
      </c>
    </row>
    <row r="19" spans="1:15">
      <c r="A19" s="90" t="str">
        <f>'Current Income Tax Expense'!A44</f>
        <v>Reg Asset - Utah STEP Pilot Program Balance Account</v>
      </c>
      <c r="B19" s="276">
        <f>'Current Income Tax Expense'!B44</f>
        <v>287939</v>
      </c>
      <c r="C19" s="314">
        <f>'Current Income Tax Expense'!C44</f>
        <v>415.11500000000001</v>
      </c>
      <c r="D19" s="276" t="str">
        <f>'Current Income Tax Expense'!D44</f>
        <v>- - - - -</v>
      </c>
      <c r="E19" s="276" t="str">
        <f>'Current Income Tax Expense'!E44</f>
        <v>U</v>
      </c>
      <c r="F19" s="300">
        <f>ROUND(-'Current Income Tax Expense'!F44*0.245866,0)</f>
        <v>-2180955</v>
      </c>
      <c r="G19" s="300">
        <f t="shared" si="6"/>
        <v>-2180955</v>
      </c>
      <c r="H19" s="300">
        <f t="shared" si="1"/>
        <v>-2180955</v>
      </c>
      <c r="I19" s="300">
        <f>-ROUND('Current Income Tax Expense'!I44*0.245866,0)</f>
        <v>0</v>
      </c>
      <c r="J19" s="300">
        <f t="shared" si="2"/>
        <v>-2180955</v>
      </c>
      <c r="K19" s="276" t="str">
        <f>'Current Income Tax Expense'!K44</f>
        <v>OTHER</v>
      </c>
      <c r="L19" s="315">
        <f>SUMIF('Allocation Factors'!$B$3:$B$89,'Deferred Income Tax Expense'!K19,'Allocation Factors'!$P$3:$P$89)</f>
        <v>0</v>
      </c>
      <c r="M19" s="300">
        <f t="shared" si="3"/>
        <v>0</v>
      </c>
      <c r="N19" s="300">
        <f t="shared" si="4"/>
        <v>0</v>
      </c>
      <c r="O19" s="300">
        <f t="shared" ref="O19" si="9">SUM(M19:N19)</f>
        <v>0</v>
      </c>
    </row>
    <row r="20" spans="1:15">
      <c r="A20" s="90" t="str">
        <f>'Current Income Tax Expense'!A45</f>
        <v>Reg Asset - Environmental Costs - WA</v>
      </c>
      <c r="B20" s="276">
        <f>'Current Income Tax Expense'!B45</f>
        <v>287591</v>
      </c>
      <c r="C20" s="314">
        <f>'Current Income Tax Expense'!C45</f>
        <v>415.30099999999999</v>
      </c>
      <c r="D20" s="276">
        <f>'Current Income Tax Expense'!D45</f>
        <v>4.1100000000000003</v>
      </c>
      <c r="E20" s="276" t="str">
        <f>'Current Income Tax Expense'!E45</f>
        <v>U</v>
      </c>
      <c r="F20" s="300">
        <f>ROUND(-'Current Income Tax Expense'!F45*0.245866,0)</f>
        <v>-25512</v>
      </c>
      <c r="G20" s="300">
        <f t="shared" si="6"/>
        <v>-25512</v>
      </c>
      <c r="H20" s="300">
        <f t="shared" si="1"/>
        <v>-25512</v>
      </c>
      <c r="I20" s="300">
        <f>-ROUND('Current Income Tax Expense'!I45*0.245866,0)</f>
        <v>25512</v>
      </c>
      <c r="J20" s="300">
        <f t="shared" si="2"/>
        <v>0</v>
      </c>
      <c r="K20" s="276" t="str">
        <f>'Current Income Tax Expense'!K45</f>
        <v>WA</v>
      </c>
      <c r="L20" s="315">
        <f>SUMIF('Allocation Factors'!$B$3:$B$89,'Deferred Income Tax Expense'!K20,'Allocation Factors'!$P$3:$P$89)</f>
        <v>1</v>
      </c>
      <c r="M20" s="300">
        <f t="shared" si="3"/>
        <v>-25512</v>
      </c>
      <c r="N20" s="300">
        <f t="shared" si="4"/>
        <v>25512</v>
      </c>
      <c r="O20" s="300">
        <f t="shared" si="5"/>
        <v>0</v>
      </c>
    </row>
    <row r="21" spans="1:15">
      <c r="A21" s="90" t="str">
        <f>'Current Income Tax Expense'!A46</f>
        <v>Contra Reg Asset - Deer Creek Abandonment</v>
      </c>
      <c r="B21" s="276">
        <f>'Current Income Tax Expense'!B46</f>
        <v>287849</v>
      </c>
      <c r="C21" s="314">
        <f>'Current Income Tax Expense'!C46</f>
        <v>415.42399999999998</v>
      </c>
      <c r="D21" s="276" t="str">
        <f>'Current Income Tax Expense'!D46</f>
        <v>- - - - -</v>
      </c>
      <c r="E21" s="276" t="str">
        <f>'Current Income Tax Expense'!E46</f>
        <v>U</v>
      </c>
      <c r="F21" s="300">
        <f>ROUND(-'Current Income Tax Expense'!F46*0.245866,0)</f>
        <v>-3878210</v>
      </c>
      <c r="G21" s="300">
        <f t="shared" si="6"/>
        <v>-3878210</v>
      </c>
      <c r="H21" s="300">
        <f t="shared" si="1"/>
        <v>-3878210</v>
      </c>
      <c r="I21" s="300">
        <f>-ROUND('Current Income Tax Expense'!I46*0.245866,0)</f>
        <v>0</v>
      </c>
      <c r="J21" s="300">
        <f t="shared" si="2"/>
        <v>-3878210</v>
      </c>
      <c r="K21" s="276" t="str">
        <f>'Current Income Tax Expense'!K46</f>
        <v>CAEE</v>
      </c>
      <c r="L21" s="315">
        <f>SUMIF('Allocation Factors'!$B$3:$B$89,'Deferred Income Tax Expense'!K21,'Allocation Factors'!$P$3:$P$89)</f>
        <v>0</v>
      </c>
      <c r="M21" s="300">
        <f t="shared" si="3"/>
        <v>0</v>
      </c>
      <c r="N21" s="300">
        <f t="shared" si="4"/>
        <v>0</v>
      </c>
      <c r="O21" s="300">
        <f t="shared" ref="O21" si="10">SUM(M21:N21)</f>
        <v>0</v>
      </c>
    </row>
    <row r="22" spans="1:15">
      <c r="A22" s="90" t="str">
        <f>'Current Income Tax Expense'!A47</f>
        <v>Contra Reg Asset - UMWA Pension</v>
      </c>
      <c r="B22" s="276">
        <f>'Current Income Tax Expense'!B47</f>
        <v>287850</v>
      </c>
      <c r="C22" s="314">
        <f>'Current Income Tax Expense'!C47</f>
        <v>415.42500000000001</v>
      </c>
      <c r="D22" s="276" t="str">
        <f>'Current Income Tax Expense'!D47</f>
        <v>- - - - -</v>
      </c>
      <c r="E22" s="276" t="str">
        <f>'Current Income Tax Expense'!E47</f>
        <v>U</v>
      </c>
      <c r="F22" s="300">
        <f>ROUND(-'Current Income Tax Expense'!F47*0.245866,0)</f>
        <v>-111520</v>
      </c>
      <c r="G22" s="300">
        <f t="shared" si="6"/>
        <v>-111520</v>
      </c>
      <c r="H22" s="300">
        <f t="shared" si="1"/>
        <v>-111520</v>
      </c>
      <c r="I22" s="300">
        <f>-ROUND('Current Income Tax Expense'!I47*0.245866,0)</f>
        <v>0</v>
      </c>
      <c r="J22" s="300">
        <f t="shared" si="2"/>
        <v>-111520</v>
      </c>
      <c r="K22" s="276" t="str">
        <f>'Current Income Tax Expense'!K47</f>
        <v>OTHER</v>
      </c>
      <c r="L22" s="315">
        <f>SUMIF('Allocation Factors'!$B$3:$B$89,'Deferred Income Tax Expense'!K22,'Allocation Factors'!$P$3:$P$89)</f>
        <v>0</v>
      </c>
      <c r="M22" s="300">
        <f t="shared" si="3"/>
        <v>0</v>
      </c>
      <c r="N22" s="300">
        <f t="shared" ref="N22:N23" si="11">ROUND(SUM(I22:I22)*L22,0)</f>
        <v>0</v>
      </c>
      <c r="O22" s="300">
        <f t="shared" ref="O22:O23" si="12">SUM(M22:N22)</f>
        <v>0</v>
      </c>
    </row>
    <row r="23" spans="1:15">
      <c r="A23" s="90" t="str">
        <f>'Current Income Tax Expense'!A48</f>
        <v>Reg Asset - CA Transportation Electrification Pilot</v>
      </c>
      <c r="B23" s="276">
        <f>'Current Income Tax Expense'!B48</f>
        <v>286911</v>
      </c>
      <c r="C23" s="314">
        <f>'Current Income Tax Expense'!C48</f>
        <v>415.43</v>
      </c>
      <c r="D23" s="276" t="str">
        <f>'Current Income Tax Expense'!D48</f>
        <v>- - - - -</v>
      </c>
      <c r="E23" s="276" t="str">
        <f>'Current Income Tax Expense'!E48</f>
        <v>U</v>
      </c>
      <c r="F23" s="300">
        <f>ROUND(-'Current Income Tax Expense'!F48*0.245866,0)</f>
        <v>-109384</v>
      </c>
      <c r="G23" s="300">
        <f t="shared" si="6"/>
        <v>-109384</v>
      </c>
      <c r="H23" s="300">
        <f t="shared" si="1"/>
        <v>-109384</v>
      </c>
      <c r="I23" s="300">
        <f>-ROUND('Current Income Tax Expense'!I48*0.245866,0)</f>
        <v>0</v>
      </c>
      <c r="J23" s="300">
        <f t="shared" si="2"/>
        <v>-109384</v>
      </c>
      <c r="K23" s="276" t="str">
        <f>'Current Income Tax Expense'!K48</f>
        <v>OTHER</v>
      </c>
      <c r="L23" s="315">
        <f>SUMIF('Allocation Factors'!$B$3:$B$89,'Deferred Income Tax Expense'!K23,'Allocation Factors'!$P$3:$P$89)</f>
        <v>0</v>
      </c>
      <c r="M23" s="300">
        <f t="shared" si="3"/>
        <v>0</v>
      </c>
      <c r="N23" s="300">
        <f t="shared" si="11"/>
        <v>0</v>
      </c>
      <c r="O23" s="300">
        <f t="shared" si="12"/>
        <v>0</v>
      </c>
    </row>
    <row r="24" spans="1:15">
      <c r="A24" s="90" t="str">
        <f>'Current Income Tax Expense'!A49</f>
        <v>Reg Asset - Washington Colstrip #3</v>
      </c>
      <c r="B24" s="276">
        <f>'Current Income Tax Expense'!B49</f>
        <v>287639</v>
      </c>
      <c r="C24" s="314">
        <f>'Current Income Tax Expense'!C49</f>
        <v>415.51</v>
      </c>
      <c r="D24" s="318">
        <f>+'Current Income Tax Expense'!D49</f>
        <v>5.3</v>
      </c>
      <c r="E24" s="276" t="str">
        <f>'Current Income Tax Expense'!E49</f>
        <v>U</v>
      </c>
      <c r="F24" s="300">
        <f>ROUND(-'Current Income Tax Expense'!F49*0.245866,0)</f>
        <v>-12831</v>
      </c>
      <c r="G24" s="300">
        <f t="shared" si="6"/>
        <v>-12831</v>
      </c>
      <c r="H24" s="300">
        <f t="shared" si="1"/>
        <v>-12831</v>
      </c>
      <c r="I24" s="300">
        <f>ROUND(-'Current Income Tax Expense'!I49*0.245866,0)</f>
        <v>12831</v>
      </c>
      <c r="J24" s="300">
        <f t="shared" si="2"/>
        <v>0</v>
      </c>
      <c r="K24" s="276" t="str">
        <f>'Current Income Tax Expense'!K49</f>
        <v>WA</v>
      </c>
      <c r="L24" s="315">
        <f>SUMIF('Allocation Factors'!$B$3:$B$89,'Deferred Income Tax Expense'!K24,'Allocation Factors'!$P$3:$P$89)</f>
        <v>1</v>
      </c>
      <c r="M24" s="300">
        <f t="shared" si="3"/>
        <v>-12831</v>
      </c>
      <c r="N24" s="300">
        <f t="shared" si="4"/>
        <v>12831</v>
      </c>
      <c r="O24" s="300">
        <f t="shared" si="5"/>
        <v>0</v>
      </c>
    </row>
    <row r="25" spans="1:15">
      <c r="A25" s="90" t="str">
        <f>'Current Income Tax Expense'!A50</f>
        <v>Reg Asset - Lake Side Settlement - WY</v>
      </c>
      <c r="B25" s="276">
        <f>'Current Income Tax Expense'!B50</f>
        <v>287571</v>
      </c>
      <c r="C25" s="314">
        <f>'Current Income Tax Expense'!C50</f>
        <v>415.702</v>
      </c>
      <c r="D25" s="276" t="str">
        <f>'Current Income Tax Expense'!D50</f>
        <v>- - - - -</v>
      </c>
      <c r="E25" s="276" t="str">
        <f>'Current Income Tax Expense'!E50</f>
        <v>U</v>
      </c>
      <c r="F25" s="300">
        <f>ROUND(-'Current Income Tax Expense'!F50*0.245866,0)</f>
        <v>-6720</v>
      </c>
      <c r="G25" s="300">
        <f t="shared" si="6"/>
        <v>-6720</v>
      </c>
      <c r="H25" s="300">
        <f t="shared" si="1"/>
        <v>-6720</v>
      </c>
      <c r="I25" s="300">
        <f>-ROUND('Current Income Tax Expense'!I50*0.245866,0)</f>
        <v>0</v>
      </c>
      <c r="J25" s="300">
        <f t="shared" si="2"/>
        <v>-6720</v>
      </c>
      <c r="K25" s="276" t="str">
        <f>'Current Income Tax Expense'!K50</f>
        <v>WYP</v>
      </c>
      <c r="L25" s="315">
        <f>SUMIF('Allocation Factors'!$B$3:$B$89,'Deferred Income Tax Expense'!K25,'Allocation Factors'!$P$3:$P$89)</f>
        <v>0</v>
      </c>
      <c r="M25" s="300">
        <f t="shared" si="3"/>
        <v>0</v>
      </c>
      <c r="N25" s="300">
        <f t="shared" si="4"/>
        <v>0</v>
      </c>
      <c r="O25" s="300">
        <f t="shared" si="5"/>
        <v>0</v>
      </c>
    </row>
    <row r="26" spans="1:15">
      <c r="A26" s="90" t="str">
        <f>'Current Income Tax Expense'!A51</f>
        <v>Reg Asset - Goodnoe Hills Settlement - WY</v>
      </c>
      <c r="B26" s="276">
        <f>'Current Income Tax Expense'!B51</f>
        <v>287597</v>
      </c>
      <c r="C26" s="314">
        <f>'Current Income Tax Expense'!C51</f>
        <v>415.70299999999997</v>
      </c>
      <c r="D26" s="276" t="str">
        <f>'Current Income Tax Expense'!D51</f>
        <v>- - - - -</v>
      </c>
      <c r="E26" s="276" t="str">
        <f>'Current Income Tax Expense'!E51</f>
        <v>U</v>
      </c>
      <c r="F26" s="300">
        <f>ROUND(-'Current Income Tax Expense'!F51*0.245866,0)</f>
        <v>-5225</v>
      </c>
      <c r="G26" s="300">
        <f t="shared" si="6"/>
        <v>-5225</v>
      </c>
      <c r="H26" s="300">
        <f t="shared" si="1"/>
        <v>-5225</v>
      </c>
      <c r="I26" s="300">
        <f>-ROUND('Current Income Tax Expense'!I51*0.245866,0)</f>
        <v>0</v>
      </c>
      <c r="J26" s="300">
        <f t="shared" si="2"/>
        <v>-5225</v>
      </c>
      <c r="K26" s="276" t="str">
        <f>'Current Income Tax Expense'!K51</f>
        <v>WYP</v>
      </c>
      <c r="L26" s="315">
        <f>SUMIF('Allocation Factors'!$B$3:$B$89,'Deferred Income Tax Expense'!K26,'Allocation Factors'!$P$3:$P$89)</f>
        <v>0</v>
      </c>
      <c r="M26" s="300">
        <f t="shared" si="3"/>
        <v>0</v>
      </c>
      <c r="N26" s="300">
        <f t="shared" si="4"/>
        <v>0</v>
      </c>
      <c r="O26" s="300">
        <f t="shared" si="5"/>
        <v>0</v>
      </c>
    </row>
    <row r="27" spans="1:15">
      <c r="A27" s="90" t="str">
        <f>'Current Income Tax Expense'!A52</f>
        <v>Reg Liability - 50% Bonus Tax Depreciation - WY</v>
      </c>
      <c r="B27" s="276">
        <f>'Current Income Tax Expense'!B52</f>
        <v>287268</v>
      </c>
      <c r="C27" s="314">
        <f>'Current Income Tax Expense'!C52</f>
        <v>415.70600000000002</v>
      </c>
      <c r="D27" s="276" t="str">
        <f>'Current Income Tax Expense'!D52</f>
        <v>- - - - -</v>
      </c>
      <c r="E27" s="276" t="str">
        <f>'Current Income Tax Expense'!E52</f>
        <v>NR</v>
      </c>
      <c r="F27" s="300">
        <f>ROUND(-'Current Income Tax Expense'!F52*0.245866,0)</f>
        <v>-113833</v>
      </c>
      <c r="G27" s="300">
        <f t="shared" si="6"/>
        <v>0</v>
      </c>
      <c r="H27" s="300">
        <f t="shared" si="1"/>
        <v>0</v>
      </c>
      <c r="I27" s="300">
        <f>-ROUND('Current Income Tax Expense'!I52*0.245866,0)</f>
        <v>0</v>
      </c>
      <c r="J27" s="300">
        <f t="shared" si="2"/>
        <v>0</v>
      </c>
      <c r="K27" s="276" t="str">
        <f>'Current Income Tax Expense'!K52</f>
        <v>NREG</v>
      </c>
      <c r="L27" s="315">
        <f>SUMIF('Allocation Factors'!$B$3:$B$89,'Deferred Income Tax Expense'!K27,'Allocation Factors'!$P$3:$P$89)</f>
        <v>0</v>
      </c>
      <c r="M27" s="300">
        <f t="shared" si="3"/>
        <v>0</v>
      </c>
      <c r="N27" s="300">
        <f t="shared" si="4"/>
        <v>0</v>
      </c>
      <c r="O27" s="300">
        <f>SUM(M27:N27)</f>
        <v>0</v>
      </c>
    </row>
    <row r="28" spans="1:15">
      <c r="A28" s="90" t="str">
        <f>'Current Income Tax Expense'!A53</f>
        <v>Reg Liability - WA - Accelerated Depreciation</v>
      </c>
      <c r="B28" s="276">
        <f>'Current Income Tax Expense'!B53</f>
        <v>287206</v>
      </c>
      <c r="C28" s="314">
        <f>'Current Income Tax Expense'!C53</f>
        <v>415.71</v>
      </c>
      <c r="D28" s="276">
        <f>'Current Income Tax Expense'!D53</f>
        <v>8.1999999999999993</v>
      </c>
      <c r="E28" s="276" t="str">
        <f>'Current Income Tax Expense'!E53</f>
        <v>U</v>
      </c>
      <c r="F28" s="300">
        <f>ROUND(-'Current Income Tax Expense'!F53*0.245866,0)</f>
        <v>-3100759</v>
      </c>
      <c r="G28" s="300">
        <f t="shared" si="6"/>
        <v>-3100759</v>
      </c>
      <c r="H28" s="300">
        <f t="shared" si="1"/>
        <v>-3100759</v>
      </c>
      <c r="I28" s="300">
        <f>-ROUND('Current Income Tax Expense'!I53*0.245866,0)</f>
        <v>-1181762</v>
      </c>
      <c r="J28" s="300">
        <f t="shared" si="2"/>
        <v>-4282521</v>
      </c>
      <c r="K28" s="276" t="str">
        <f>'Current Income Tax Expense'!K53</f>
        <v>WA</v>
      </c>
      <c r="L28" s="315">
        <f>SUMIF('Allocation Factors'!$B$3:$B$89,'Deferred Income Tax Expense'!K28,'Allocation Factors'!$P$3:$P$89)</f>
        <v>1</v>
      </c>
      <c r="M28" s="300">
        <f t="shared" si="3"/>
        <v>-3100759</v>
      </c>
      <c r="N28" s="300">
        <f t="shared" si="4"/>
        <v>-1181762</v>
      </c>
      <c r="O28" s="300">
        <f>SUM(M28:N28)</f>
        <v>-4282521</v>
      </c>
    </row>
    <row r="29" spans="1:15">
      <c r="A29" s="90" t="str">
        <f>'Current Income Tax Expense'!A54</f>
        <v>Reg Asset - Post - Ret MMT - OR</v>
      </c>
      <c r="B29" s="276">
        <f>'Current Income Tax Expense'!B54</f>
        <v>287584</v>
      </c>
      <c r="C29" s="314">
        <f>'Current Income Tax Expense'!C54</f>
        <v>415.827</v>
      </c>
      <c r="D29" s="276" t="str">
        <f>'Current Income Tax Expense'!D54</f>
        <v>- - - - -</v>
      </c>
      <c r="E29" s="276" t="str">
        <f>'Current Income Tax Expense'!E54</f>
        <v>NR</v>
      </c>
      <c r="F29" s="300">
        <f>ROUND(-'Current Income Tax Expense'!F54*0.245866,0)</f>
        <v>-23730</v>
      </c>
      <c r="G29" s="300">
        <f t="shared" si="6"/>
        <v>0</v>
      </c>
      <c r="H29" s="300">
        <f t="shared" si="1"/>
        <v>0</v>
      </c>
      <c r="I29" s="300">
        <f>-ROUND('Current Income Tax Expense'!I54*0.245866,0)</f>
        <v>0</v>
      </c>
      <c r="J29" s="300">
        <f t="shared" si="2"/>
        <v>0</v>
      </c>
      <c r="K29" s="276" t="str">
        <f>'Current Income Tax Expense'!K54</f>
        <v>NREG</v>
      </c>
      <c r="L29" s="315">
        <f>SUMIF('Allocation Factors'!$B$3:$B$89,'Deferred Income Tax Expense'!K29,'Allocation Factors'!$P$3:$P$89)</f>
        <v>0</v>
      </c>
      <c r="M29" s="300">
        <f t="shared" si="3"/>
        <v>0</v>
      </c>
      <c r="N29" s="300">
        <f t="shared" si="4"/>
        <v>0</v>
      </c>
      <c r="O29" s="300">
        <f t="shared" si="5"/>
        <v>0</v>
      </c>
    </row>
    <row r="30" spans="1:15">
      <c r="A30" s="90" t="str">
        <f>'Current Income Tax Expense'!A55</f>
        <v>Reg Asset - Post - Ret MMT - CA</v>
      </c>
      <c r="B30" s="276">
        <f>'Current Income Tax Expense'!B55</f>
        <v>287588</v>
      </c>
      <c r="C30" s="314">
        <f>'Current Income Tax Expense'!C55</f>
        <v>415.83100000000002</v>
      </c>
      <c r="D30" s="74" t="str">
        <f>'Current Income Tax Expense'!D55</f>
        <v>- - - - -</v>
      </c>
      <c r="E30" s="276" t="str">
        <f>'Current Income Tax Expense'!E55</f>
        <v>NR</v>
      </c>
      <c r="F30" s="300">
        <f>ROUND(-'Current Income Tax Expense'!F55*0.245866,0)</f>
        <v>-2150</v>
      </c>
      <c r="G30" s="300">
        <f t="shared" si="6"/>
        <v>0</v>
      </c>
      <c r="H30" s="300">
        <f t="shared" si="1"/>
        <v>0</v>
      </c>
      <c r="I30" s="300">
        <f>-ROUND('Current Income Tax Expense'!I55*0.245866,0)</f>
        <v>0</v>
      </c>
      <c r="J30" s="300">
        <f t="shared" si="2"/>
        <v>0</v>
      </c>
      <c r="K30" s="276" t="str">
        <f>'Current Income Tax Expense'!K55</f>
        <v>NREG</v>
      </c>
      <c r="L30" s="315">
        <f>SUMIF('Allocation Factors'!$B$3:$B$89,'Deferred Income Tax Expense'!K30,'Allocation Factors'!$P$3:$P$89)</f>
        <v>0</v>
      </c>
      <c r="M30" s="300">
        <f t="shared" si="3"/>
        <v>0</v>
      </c>
      <c r="N30" s="300">
        <f t="shared" si="4"/>
        <v>0</v>
      </c>
      <c r="O30" s="300">
        <f t="shared" si="5"/>
        <v>0</v>
      </c>
    </row>
    <row r="31" spans="1:15">
      <c r="A31" s="90" t="str">
        <f>'Current Income Tax Expense'!A56</f>
        <v>NonCurr Liab - Frozen MTM</v>
      </c>
      <c r="B31" s="276">
        <f>'Current Income Tax Expense'!B56</f>
        <v>287249</v>
      </c>
      <c r="C31" s="314">
        <f>'Current Income Tax Expense'!C56</f>
        <v>415.839</v>
      </c>
      <c r="D31" s="74" t="str">
        <f>'Current Income Tax Expense'!D56</f>
        <v>- - - - -</v>
      </c>
      <c r="E31" s="276" t="str">
        <f>'Current Income Tax Expense'!E56</f>
        <v>NR</v>
      </c>
      <c r="F31" s="300">
        <f>ROUND(-'Current Income Tax Expense'!F56*0.245866,0)</f>
        <v>2656019</v>
      </c>
      <c r="G31" s="300">
        <f t="shared" si="6"/>
        <v>0</v>
      </c>
      <c r="H31" s="300">
        <f t="shared" si="1"/>
        <v>0</v>
      </c>
      <c r="I31" s="300">
        <f>-ROUND('Current Income Tax Expense'!I56*0.245866,0)</f>
        <v>0</v>
      </c>
      <c r="J31" s="300">
        <f t="shared" si="2"/>
        <v>0</v>
      </c>
      <c r="K31" s="276" t="str">
        <f>'Current Income Tax Expense'!K56</f>
        <v>NREG</v>
      </c>
      <c r="L31" s="315">
        <f>SUMIF('Allocation Factors'!$B$3:$B$89,'Deferred Income Tax Expense'!K31,'Allocation Factors'!$P$3:$P$89)</f>
        <v>0</v>
      </c>
      <c r="M31" s="300">
        <f t="shared" si="3"/>
        <v>0</v>
      </c>
      <c r="N31" s="300">
        <f t="shared" si="4"/>
        <v>0</v>
      </c>
      <c r="O31" s="300">
        <f t="shared" ref="O31" si="13">SUM(M31:N31)</f>
        <v>0</v>
      </c>
    </row>
    <row r="32" spans="1:15">
      <c r="A32" s="90" t="str">
        <f>'Current Income Tax Expense'!A57</f>
        <v>Reg Asset - Powerdale Decommissioning - ID</v>
      </c>
      <c r="B32" s="276">
        <f>'Current Income Tax Expense'!B57</f>
        <v>287864</v>
      </c>
      <c r="C32" s="314">
        <f>'Current Income Tax Expense'!C57</f>
        <v>415.85199999999998</v>
      </c>
      <c r="D32" s="276" t="str">
        <f>'Current Income Tax Expense'!D57</f>
        <v>- - - - -</v>
      </c>
      <c r="E32" s="276" t="str">
        <f>'Current Income Tax Expense'!E57</f>
        <v>U</v>
      </c>
      <c r="F32" s="300">
        <f>ROUND(-'Current Income Tax Expense'!F57*0.245866,0)</f>
        <v>-6120</v>
      </c>
      <c r="G32" s="300">
        <f t="shared" si="6"/>
        <v>-6120</v>
      </c>
      <c r="H32" s="300">
        <f t="shared" si="1"/>
        <v>-6120</v>
      </c>
      <c r="I32" s="300">
        <f>-ROUND('Current Income Tax Expense'!I57*0.245866,0)</f>
        <v>0</v>
      </c>
      <c r="J32" s="300">
        <f t="shared" si="2"/>
        <v>-6120</v>
      </c>
      <c r="K32" s="276" t="str">
        <f>'Current Income Tax Expense'!K57</f>
        <v>IDU</v>
      </c>
      <c r="L32" s="315">
        <f>SUMIF('Allocation Factors'!$B$3:$B$89,'Deferred Income Tax Expense'!K32,'Allocation Factors'!$P$3:$P$89)</f>
        <v>0</v>
      </c>
      <c r="M32" s="300">
        <f t="shared" si="3"/>
        <v>0</v>
      </c>
      <c r="N32" s="300">
        <f t="shared" si="4"/>
        <v>0</v>
      </c>
      <c r="O32" s="300">
        <f t="shared" si="5"/>
        <v>0</v>
      </c>
    </row>
    <row r="33" spans="1:15">
      <c r="A33" s="90" t="str">
        <f>'Current Income Tax Expense'!A58</f>
        <v xml:space="preserve">Reg Asset - Storm Damage Deferral - CA </v>
      </c>
      <c r="B33" s="276">
        <f>'Current Income Tax Expense'!B58</f>
        <v>287860</v>
      </c>
      <c r="C33" s="314">
        <f>'Current Income Tax Expense'!C58</f>
        <v>415.85500000000002</v>
      </c>
      <c r="D33" s="276" t="str">
        <f>'Current Income Tax Expense'!D58</f>
        <v>- - - - -</v>
      </c>
      <c r="E33" s="276" t="str">
        <f>'Current Income Tax Expense'!E58</f>
        <v>U</v>
      </c>
      <c r="F33" s="300">
        <f>ROUND(-'Current Income Tax Expense'!F58*0.245866,0)</f>
        <v>-361017</v>
      </c>
      <c r="G33" s="300">
        <f t="shared" si="6"/>
        <v>-361017</v>
      </c>
      <c r="H33" s="300">
        <f t="shared" si="1"/>
        <v>-361017</v>
      </c>
      <c r="I33" s="300">
        <f>-ROUND('Current Income Tax Expense'!I58*0.245866,0)</f>
        <v>0</v>
      </c>
      <c r="J33" s="300">
        <f t="shared" si="2"/>
        <v>-361017</v>
      </c>
      <c r="K33" s="276" t="str">
        <f>'Current Income Tax Expense'!K58</f>
        <v>OTHER</v>
      </c>
      <c r="L33" s="315">
        <f>SUMIF('Allocation Factors'!$B$3:$B$89,'Deferred Income Tax Expense'!K33,'Allocation Factors'!$P$3:$P$89)</f>
        <v>0</v>
      </c>
      <c r="M33" s="300">
        <f t="shared" si="3"/>
        <v>0</v>
      </c>
      <c r="N33" s="300">
        <f t="shared" si="4"/>
        <v>0</v>
      </c>
      <c r="O33" s="300">
        <f t="shared" ref="O33:O35" si="14">SUM(M33:N33)</f>
        <v>0</v>
      </c>
    </row>
    <row r="34" spans="1:15">
      <c r="A34" s="90" t="str">
        <f>'Current Income Tax Expense'!A59</f>
        <v>Reg Asset - Deferred Overburden Costs - ID</v>
      </c>
      <c r="B34" s="276">
        <f>'Current Income Tax Expense'!B59</f>
        <v>287861</v>
      </c>
      <c r="C34" s="314">
        <f>'Current Income Tax Expense'!C59</f>
        <v>415.85700000000003</v>
      </c>
      <c r="D34" s="276" t="str">
        <f>'Current Income Tax Expense'!D59</f>
        <v>- - - - -</v>
      </c>
      <c r="E34" s="276" t="str">
        <f>'Current Income Tax Expense'!E59</f>
        <v>U</v>
      </c>
      <c r="F34" s="300">
        <f>ROUND(-'Current Income Tax Expense'!F59*0.245866,0)</f>
        <v>-25665</v>
      </c>
      <c r="G34" s="300">
        <f t="shared" si="6"/>
        <v>-25665</v>
      </c>
      <c r="H34" s="300">
        <f t="shared" si="1"/>
        <v>-25665</v>
      </c>
      <c r="I34" s="300">
        <f>-ROUND('Current Income Tax Expense'!I59*0.245866,0)</f>
        <v>0</v>
      </c>
      <c r="J34" s="300">
        <f t="shared" si="2"/>
        <v>-25665</v>
      </c>
      <c r="K34" s="276" t="str">
        <f>'Current Income Tax Expense'!K59</f>
        <v>OTHER</v>
      </c>
      <c r="L34" s="315">
        <f>SUMIF('Allocation Factors'!$B$3:$B$89,'Deferred Income Tax Expense'!K34,'Allocation Factors'!$P$3:$P$89)</f>
        <v>0</v>
      </c>
      <c r="M34" s="300">
        <f t="shared" si="3"/>
        <v>0</v>
      </c>
      <c r="N34" s="300">
        <f t="shared" ref="N34:N66" si="15">ROUND(SUM(I34:I34)*L34,0)</f>
        <v>0</v>
      </c>
      <c r="O34" s="300">
        <f t="shared" si="14"/>
        <v>0</v>
      </c>
    </row>
    <row r="35" spans="1:15">
      <c r="A35" s="90" t="str">
        <f>'Current Income Tax Expense'!A60</f>
        <v>Reg Asset - Deferred Overburden Costs - WY</v>
      </c>
      <c r="B35" s="276">
        <f>'Current Income Tax Expense'!B60</f>
        <v>287868</v>
      </c>
      <c r="C35" s="314">
        <f>'Current Income Tax Expense'!C60</f>
        <v>415.858</v>
      </c>
      <c r="D35" s="276" t="str">
        <f>'Current Income Tax Expense'!D60</f>
        <v>- - - - -</v>
      </c>
      <c r="E35" s="276" t="str">
        <f>'Current Income Tax Expense'!E60</f>
        <v>U</v>
      </c>
      <c r="F35" s="300">
        <f>ROUND(-'Current Income Tax Expense'!F60*0.245866,0)</f>
        <v>-72216</v>
      </c>
      <c r="G35" s="300">
        <f t="shared" si="6"/>
        <v>-72216</v>
      </c>
      <c r="H35" s="300">
        <f t="shared" ref="H35:H66" si="16">IF(E35="U",G35,0)</f>
        <v>-72216</v>
      </c>
      <c r="I35" s="300">
        <f>-ROUND('Current Income Tax Expense'!I60*0.245866,0)</f>
        <v>0</v>
      </c>
      <c r="J35" s="300">
        <f t="shared" ref="J35:J66" si="17">SUM(H35:I35)</f>
        <v>-72216</v>
      </c>
      <c r="K35" s="276" t="str">
        <f>'Current Income Tax Expense'!K60</f>
        <v>WYP</v>
      </c>
      <c r="L35" s="315">
        <f>SUMIF('Allocation Factors'!$B$3:$B$89,'Deferred Income Tax Expense'!K35,'Allocation Factors'!$P$3:$P$89)</f>
        <v>0</v>
      </c>
      <c r="M35" s="300">
        <f t="shared" ref="M35:M66" si="18">ROUND(H35*L35,0)</f>
        <v>0</v>
      </c>
      <c r="N35" s="300">
        <f t="shared" si="15"/>
        <v>0</v>
      </c>
      <c r="O35" s="300">
        <f t="shared" si="14"/>
        <v>0</v>
      </c>
    </row>
    <row r="36" spans="1:15">
      <c r="A36" s="90" t="str">
        <f>'Current Income Tax Expense'!A61</f>
        <v>Reg Asset - Solar Incentive Program - UT - Noncurrent</v>
      </c>
      <c r="B36" s="276">
        <f>'Current Income Tax Expense'!B61</f>
        <v>287971</v>
      </c>
      <c r="C36" s="314">
        <f>'Current Income Tax Expense'!C61</f>
        <v>415.86799999999999</v>
      </c>
      <c r="D36" s="276" t="str">
        <f>'Current Income Tax Expense'!D61</f>
        <v>- - - - -</v>
      </c>
      <c r="E36" s="276" t="str">
        <f>'Current Income Tax Expense'!E61</f>
        <v>U</v>
      </c>
      <c r="F36" s="300">
        <f>ROUND(-'Current Income Tax Expense'!F61*0.245866,0)</f>
        <v>2180955</v>
      </c>
      <c r="G36" s="300">
        <f t="shared" si="6"/>
        <v>2180955</v>
      </c>
      <c r="H36" s="300">
        <f t="shared" si="16"/>
        <v>2180955</v>
      </c>
      <c r="I36" s="300">
        <f>-ROUND('Current Income Tax Expense'!I61*0.245866,0)</f>
        <v>0</v>
      </c>
      <c r="J36" s="300">
        <f t="shared" si="17"/>
        <v>2180955</v>
      </c>
      <c r="K36" s="276" t="str">
        <f>'Current Income Tax Expense'!K61</f>
        <v>OTHER</v>
      </c>
      <c r="L36" s="315">
        <f>SUMIF('Allocation Factors'!$B$3:$B$89,'Deferred Income Tax Expense'!K36,'Allocation Factors'!$P$3:$P$89)</f>
        <v>0</v>
      </c>
      <c r="M36" s="300">
        <f t="shared" si="18"/>
        <v>0</v>
      </c>
      <c r="N36" s="300">
        <f t="shared" si="15"/>
        <v>0</v>
      </c>
      <c r="O36" s="300">
        <f t="shared" ref="O36" si="19">SUM(M36:N36)</f>
        <v>0</v>
      </c>
    </row>
    <row r="37" spans="1:15">
      <c r="A37" s="90" t="str">
        <f>'Current Income Tax Expense'!A62</f>
        <v>Reg Asset - Deferred Excess NPC - OR - Noncurrent</v>
      </c>
      <c r="B37" s="276">
        <f>'Current Income Tax Expense'!B62</f>
        <v>287882</v>
      </c>
      <c r="C37" s="314">
        <f>'Current Income Tax Expense'!C62</f>
        <v>415.87599999999998</v>
      </c>
      <c r="D37" s="276" t="str">
        <f>'Current Income Tax Expense'!D62</f>
        <v>- - - - -</v>
      </c>
      <c r="E37" s="276" t="str">
        <f>'Current Income Tax Expense'!E62</f>
        <v>U</v>
      </c>
      <c r="F37" s="300">
        <f>ROUND(-'Current Income Tax Expense'!F62*0.245866,0)</f>
        <v>714792</v>
      </c>
      <c r="G37" s="300">
        <f t="shared" si="6"/>
        <v>714792</v>
      </c>
      <c r="H37" s="300">
        <f t="shared" si="16"/>
        <v>714792</v>
      </c>
      <c r="I37" s="300">
        <f>-ROUND('Current Income Tax Expense'!I62*0.245866,0)</f>
        <v>0</v>
      </c>
      <c r="J37" s="300">
        <f t="shared" si="17"/>
        <v>714792</v>
      </c>
      <c r="K37" s="276" t="str">
        <f>'Current Income Tax Expense'!K62</f>
        <v>OTHER</v>
      </c>
      <c r="L37" s="315">
        <f>SUMIF('Allocation Factors'!$B$3:$B$89,'Deferred Income Tax Expense'!K37,'Allocation Factors'!$P$3:$P$89)</f>
        <v>0</v>
      </c>
      <c r="M37" s="300">
        <f t="shared" si="18"/>
        <v>0</v>
      </c>
      <c r="N37" s="300">
        <f t="shared" ref="N37" si="20">ROUND(SUM(I37:I37)*L37,0)</f>
        <v>0</v>
      </c>
      <c r="O37" s="300">
        <f t="shared" ref="O37" si="21">SUM(M37:N37)</f>
        <v>0</v>
      </c>
    </row>
    <row r="38" spans="1:15">
      <c r="A38" s="90" t="str">
        <f>'Current Income Tax Expense'!A63</f>
        <v>Reg Asset - REC Sales Deferral - UT - Noncurrent</v>
      </c>
      <c r="B38" s="276">
        <f>'Current Income Tax Expense'!B63</f>
        <v>287887</v>
      </c>
      <c r="C38" s="314">
        <f>'Current Income Tax Expense'!C63</f>
        <v>415.88099999999997</v>
      </c>
      <c r="D38" s="276" t="str">
        <f>'Current Income Tax Expense'!D63</f>
        <v>- - - - -</v>
      </c>
      <c r="E38" s="269" t="str">
        <f>'Current Income Tax Expense'!E63</f>
        <v>U</v>
      </c>
      <c r="F38" s="300">
        <f>ROUND(-'Current Income Tax Expense'!F63*0.245866,0)</f>
        <v>-50011</v>
      </c>
      <c r="G38" s="300">
        <f t="shared" si="6"/>
        <v>-50011</v>
      </c>
      <c r="H38" s="300">
        <f t="shared" si="16"/>
        <v>-50011</v>
      </c>
      <c r="I38" s="300">
        <f>-ROUND('Current Income Tax Expense'!I63*0.245866,0)</f>
        <v>0</v>
      </c>
      <c r="J38" s="300">
        <f t="shared" si="17"/>
        <v>-50011</v>
      </c>
      <c r="K38" s="276" t="str">
        <f>'Current Income Tax Expense'!K63</f>
        <v>OTHER</v>
      </c>
      <c r="L38" s="315">
        <f>SUMIF('Allocation Factors'!$B$3:$B$89,'Deferred Income Tax Expense'!K38,'Allocation Factors'!$P$3:$P$89)</f>
        <v>0</v>
      </c>
      <c r="M38" s="300">
        <f t="shared" si="18"/>
        <v>0</v>
      </c>
      <c r="N38" s="300">
        <f t="shared" si="15"/>
        <v>0</v>
      </c>
      <c r="O38" s="300">
        <f t="shared" si="5"/>
        <v>0</v>
      </c>
    </row>
    <row r="39" spans="1:15">
      <c r="A39" s="90" t="str">
        <f>'Current Income Tax Expense'!A64</f>
        <v>Reg Asset - REC Sales Deferral - WY - Noncurrent</v>
      </c>
      <c r="B39" s="276">
        <f>'Current Income Tax Expense'!B64</f>
        <v>287889</v>
      </c>
      <c r="C39" s="314">
        <f>'Current Income Tax Expense'!C64</f>
        <v>415.88299999999998</v>
      </c>
      <c r="D39" s="276" t="str">
        <f>'Current Income Tax Expense'!D64</f>
        <v>- - - - -</v>
      </c>
      <c r="E39" s="276" t="str">
        <f>'Current Income Tax Expense'!E64</f>
        <v>U</v>
      </c>
      <c r="F39" s="300">
        <f>ROUND(-'Current Income Tax Expense'!F64*0.245866,0)</f>
        <v>-83494</v>
      </c>
      <c r="G39" s="300">
        <f t="shared" si="6"/>
        <v>-83494</v>
      </c>
      <c r="H39" s="300">
        <f t="shared" si="16"/>
        <v>-83494</v>
      </c>
      <c r="I39" s="300">
        <f>-ROUND('Current Income Tax Expense'!I64*0.245866,0)</f>
        <v>0</v>
      </c>
      <c r="J39" s="300">
        <f t="shared" si="17"/>
        <v>-83494</v>
      </c>
      <c r="K39" s="276" t="str">
        <f>'Current Income Tax Expense'!K64</f>
        <v>OTHER</v>
      </c>
      <c r="L39" s="315">
        <f>SUMIF('Allocation Factors'!$B$3:$B$89,'Deferred Income Tax Expense'!K39,'Allocation Factors'!$P$3:$P$89)</f>
        <v>0</v>
      </c>
      <c r="M39" s="300">
        <f t="shared" si="18"/>
        <v>0</v>
      </c>
      <c r="N39" s="300">
        <f t="shared" si="15"/>
        <v>0</v>
      </c>
      <c r="O39" s="300">
        <f t="shared" si="5"/>
        <v>0</v>
      </c>
    </row>
    <row r="40" spans="1:15">
      <c r="A40" s="90" t="str">
        <f>'Current Income Tax Expense'!A65</f>
        <v>Reg Liability - Depreciation Decrease - OR</v>
      </c>
      <c r="B40" s="276">
        <f>'Current Income Tax Expense'!B65</f>
        <v>287486</v>
      </c>
      <c r="C40" s="314">
        <f>'Current Income Tax Expense'!C65</f>
        <v>415.92599999999999</v>
      </c>
      <c r="D40" s="276" t="str">
        <f>'Current Income Tax Expense'!D65</f>
        <v>- - - - -</v>
      </c>
      <c r="E40" s="276" t="str">
        <f>'Current Income Tax Expense'!E65</f>
        <v>U</v>
      </c>
      <c r="F40" s="300">
        <f>ROUND(-'Current Income Tax Expense'!F65*0.245866,0)</f>
        <v>-308785</v>
      </c>
      <c r="G40" s="300">
        <f t="shared" si="6"/>
        <v>-308785</v>
      </c>
      <c r="H40" s="300">
        <f t="shared" si="16"/>
        <v>-308785</v>
      </c>
      <c r="I40" s="300">
        <f>-ROUND('Current Income Tax Expense'!I65*0.245866,0)</f>
        <v>0</v>
      </c>
      <c r="J40" s="300">
        <f t="shared" si="17"/>
        <v>-308785</v>
      </c>
      <c r="K40" s="276" t="str">
        <f>'Current Income Tax Expense'!K65</f>
        <v>OTHER</v>
      </c>
      <c r="L40" s="315">
        <f>SUMIF('Allocation Factors'!$B$3:$B$89,'Deferred Income Tax Expense'!K40,'Allocation Factors'!$P$3:$P$89)</f>
        <v>0</v>
      </c>
      <c r="M40" s="300">
        <f t="shared" si="18"/>
        <v>0</v>
      </c>
      <c r="N40" s="300">
        <f t="shared" si="15"/>
        <v>0</v>
      </c>
      <c r="O40" s="300">
        <f t="shared" ref="O40" si="22">SUM(M40:N40)</f>
        <v>0</v>
      </c>
    </row>
    <row r="41" spans="1:15">
      <c r="A41" s="90" t="str">
        <f>'Current Income Tax Expense'!A66</f>
        <v>Reg Asset - OR Asset Sale Gain Giveback - Noncurrent</v>
      </c>
      <c r="B41" s="276">
        <f>'Current Income Tax Expense'!B66</f>
        <v>287919</v>
      </c>
      <c r="C41" s="314">
        <f>'Current Income Tax Expense'!C66</f>
        <v>425.10500000000002</v>
      </c>
      <c r="D41" s="276" t="str">
        <f>'Current Income Tax Expense'!D66</f>
        <v>- - - - -</v>
      </c>
      <c r="E41" s="276" t="str">
        <f>'Current Income Tax Expense'!E66</f>
        <v>U</v>
      </c>
      <c r="F41" s="300">
        <f>ROUND(-'Current Income Tax Expense'!F66*0.245866,0)</f>
        <v>-34854</v>
      </c>
      <c r="G41" s="300">
        <f t="shared" si="6"/>
        <v>-34854</v>
      </c>
      <c r="H41" s="300">
        <f t="shared" si="16"/>
        <v>-34854</v>
      </c>
      <c r="I41" s="300">
        <f>-ROUND('Current Income Tax Expense'!I66*0.245866,0)</f>
        <v>0</v>
      </c>
      <c r="J41" s="300">
        <f t="shared" si="17"/>
        <v>-34854</v>
      </c>
      <c r="K41" s="276" t="str">
        <f>'Current Income Tax Expense'!K66</f>
        <v>OTHER</v>
      </c>
      <c r="L41" s="315">
        <f>SUMIF('Allocation Factors'!$B$3:$B$89,'Deferred Income Tax Expense'!K41,'Allocation Factors'!$P$3:$P$89)</f>
        <v>0</v>
      </c>
      <c r="M41" s="300">
        <f t="shared" si="18"/>
        <v>0</v>
      </c>
      <c r="N41" s="300">
        <f t="shared" si="15"/>
        <v>0</v>
      </c>
      <c r="O41" s="300">
        <f t="shared" ref="O41" si="23">SUM(M41:N41)</f>
        <v>0</v>
      </c>
    </row>
    <row r="42" spans="1:15">
      <c r="A42" s="90" t="str">
        <f>'Current Income Tax Expense'!A67</f>
        <v>Bear River Settlement Agreement</v>
      </c>
      <c r="B42" s="276">
        <f>'Current Income Tax Expense'!B67</f>
        <v>287392</v>
      </c>
      <c r="C42" s="314">
        <f>'Current Income Tax Expense'!C67</f>
        <v>425.12</v>
      </c>
      <c r="D42" s="276" t="str">
        <f>'Current Income Tax Expense'!D67</f>
        <v>- - - - -</v>
      </c>
      <c r="E42" s="276" t="str">
        <f>'Current Income Tax Expense'!E67</f>
        <v>NR</v>
      </c>
      <c r="F42" s="300">
        <f>ROUND(-'Current Income Tax Expense'!F67*0.245866,0)</f>
        <v>3172</v>
      </c>
      <c r="G42" s="300">
        <f t="shared" si="6"/>
        <v>0</v>
      </c>
      <c r="H42" s="300">
        <f t="shared" si="16"/>
        <v>0</v>
      </c>
      <c r="I42" s="300">
        <f>-ROUND('Current Income Tax Expense'!I67*0.245866,0)</f>
        <v>0</v>
      </c>
      <c r="J42" s="300">
        <f t="shared" si="17"/>
        <v>0</v>
      </c>
      <c r="K42" s="276" t="str">
        <f>'Current Income Tax Expense'!K67</f>
        <v>NREG</v>
      </c>
      <c r="L42" s="315">
        <f>SUMIF('Allocation Factors'!$B$3:$B$89,'Deferred Income Tax Expense'!K42,'Allocation Factors'!$P$3:$P$89)</f>
        <v>0</v>
      </c>
      <c r="M42" s="300">
        <f t="shared" si="18"/>
        <v>0</v>
      </c>
      <c r="N42" s="300">
        <f t="shared" si="15"/>
        <v>0</v>
      </c>
      <c r="O42" s="300">
        <f t="shared" si="5"/>
        <v>0</v>
      </c>
    </row>
    <row r="43" spans="1:15">
      <c r="A43" s="90" t="str">
        <f>'Current Income Tax Expense'!A68</f>
        <v>Rogue River - Habitat Enhancement Liability</v>
      </c>
      <c r="B43" s="276">
        <f>'Current Income Tax Expense'!B68</f>
        <v>287564</v>
      </c>
      <c r="C43" s="314">
        <f>'Current Income Tax Expense'!C68</f>
        <v>425.13</v>
      </c>
      <c r="D43" s="276" t="str">
        <f>'Current Income Tax Expense'!D68</f>
        <v>- - - - -</v>
      </c>
      <c r="E43" s="276" t="str">
        <f>'Current Income Tax Expense'!E68</f>
        <v>NR</v>
      </c>
      <c r="F43" s="300">
        <f>ROUND(-'Current Income Tax Expense'!F68*0.245866,0)</f>
        <v>18106</v>
      </c>
      <c r="G43" s="300">
        <f t="shared" si="6"/>
        <v>0</v>
      </c>
      <c r="H43" s="300">
        <f t="shared" si="16"/>
        <v>0</v>
      </c>
      <c r="I43" s="300">
        <f>-ROUND('Current Income Tax Expense'!I68*0.245866,0)</f>
        <v>0</v>
      </c>
      <c r="J43" s="300">
        <f t="shared" si="17"/>
        <v>0</v>
      </c>
      <c r="K43" s="276" t="str">
        <f>'Current Income Tax Expense'!K68</f>
        <v>NREG</v>
      </c>
      <c r="L43" s="315">
        <f>SUMIF('Allocation Factors'!$B$3:$B$89,'Deferred Income Tax Expense'!K43,'Allocation Factors'!$P$3:$P$89)</f>
        <v>0</v>
      </c>
      <c r="M43" s="300">
        <f t="shared" si="18"/>
        <v>0</v>
      </c>
      <c r="N43" s="300">
        <f t="shared" si="15"/>
        <v>0</v>
      </c>
      <c r="O43" s="300">
        <f t="shared" si="5"/>
        <v>0</v>
      </c>
    </row>
    <row r="44" spans="1:15">
      <c r="A44" s="44" t="str">
        <f>'Current Income Tax Expense'!A69</f>
        <v>Lewis River Settlement Agreement</v>
      </c>
      <c r="B44" s="269">
        <f>'Current Income Tax Expense'!B69</f>
        <v>287290</v>
      </c>
      <c r="C44" s="314">
        <f>'Current Income Tax Expense'!C69</f>
        <v>425.15</v>
      </c>
      <c r="D44" s="276" t="str">
        <f>'Current Income Tax Expense'!D69</f>
        <v>- - - - -</v>
      </c>
      <c r="E44" s="276" t="str">
        <f>'Current Income Tax Expense'!E69</f>
        <v>NR</v>
      </c>
      <c r="F44" s="300">
        <f>ROUND(-'Current Income Tax Expense'!F69*0.245866,0)</f>
        <v>-3828</v>
      </c>
      <c r="G44" s="300">
        <f t="shared" si="6"/>
        <v>0</v>
      </c>
      <c r="H44" s="300">
        <f t="shared" si="16"/>
        <v>0</v>
      </c>
      <c r="I44" s="300">
        <f>-ROUND('Current Income Tax Expense'!I69*0.245866,0)</f>
        <v>0</v>
      </c>
      <c r="J44" s="300">
        <f t="shared" si="17"/>
        <v>0</v>
      </c>
      <c r="K44" s="269" t="str">
        <f>'Current Income Tax Expense'!K69</f>
        <v>NREG</v>
      </c>
      <c r="L44" s="315">
        <f>SUMIF('Allocation Factors'!$B$3:$B$89,'Deferred Income Tax Expense'!K44,'Allocation Factors'!$P$3:$P$89)</f>
        <v>0</v>
      </c>
      <c r="M44" s="300">
        <f t="shared" si="18"/>
        <v>0</v>
      </c>
      <c r="N44" s="300">
        <f t="shared" si="15"/>
        <v>0</v>
      </c>
      <c r="O44" s="300">
        <f t="shared" si="5"/>
        <v>0</v>
      </c>
    </row>
    <row r="45" spans="1:15">
      <c r="A45" s="44" t="str">
        <f>'Current Income Tax Expense'!A70</f>
        <v>Lease Liability (Operating Lease)</v>
      </c>
      <c r="B45" s="269">
        <f>'Current Income Tax Expense'!B70</f>
        <v>287183</v>
      </c>
      <c r="C45" s="314">
        <f>'Current Income Tax Expense'!C70</f>
        <v>425.16</v>
      </c>
      <c r="D45" s="276" t="str">
        <f>'Current Income Tax Expense'!D70</f>
        <v>- - - - -</v>
      </c>
      <c r="E45" s="276" t="str">
        <f>'Current Income Tax Expense'!E70</f>
        <v>NR</v>
      </c>
      <c r="F45" s="300">
        <f>ROUND(-'Current Income Tax Expense'!F70*0.245866,0)</f>
        <v>-3398398</v>
      </c>
      <c r="G45" s="300">
        <f t="shared" si="6"/>
        <v>0</v>
      </c>
      <c r="H45" s="300">
        <f t="shared" si="16"/>
        <v>0</v>
      </c>
      <c r="I45" s="300">
        <f>-ROUND('Current Income Tax Expense'!I70*0.245866,0)</f>
        <v>0</v>
      </c>
      <c r="J45" s="300">
        <f t="shared" si="17"/>
        <v>0</v>
      </c>
      <c r="K45" s="269" t="str">
        <f>'Current Income Tax Expense'!K70</f>
        <v>NREG</v>
      </c>
      <c r="L45" s="315">
        <f>SUMIF('Allocation Factors'!$B$3:$B$89,'Deferred Income Tax Expense'!K45,'Allocation Factors'!$P$3:$P$89)</f>
        <v>0</v>
      </c>
      <c r="M45" s="300">
        <f t="shared" si="18"/>
        <v>0</v>
      </c>
      <c r="N45" s="300">
        <f t="shared" ref="N45" si="24">ROUND(SUM(I45:I45)*L45,0)</f>
        <v>0</v>
      </c>
      <c r="O45" s="300">
        <f t="shared" ref="O45" si="25">SUM(M45:N45)</f>
        <v>0</v>
      </c>
    </row>
    <row r="46" spans="1:15">
      <c r="A46" s="90" t="str">
        <f>'Current Income Tax Expense'!A71</f>
        <v>Deferred Revenue - Other</v>
      </c>
      <c r="B46" s="276">
        <f>'Current Income Tax Expense'!B71</f>
        <v>287211</v>
      </c>
      <c r="C46" s="314">
        <f>'Current Income Tax Expense'!C71</f>
        <v>425.226</v>
      </c>
      <c r="D46" s="276" t="str">
        <f>'Current Income Tax Expense'!D71</f>
        <v>- - - - -</v>
      </c>
      <c r="E46" s="276" t="str">
        <f>'Current Income Tax Expense'!E71</f>
        <v>NR</v>
      </c>
      <c r="F46" s="300">
        <f>ROUND(-'Current Income Tax Expense'!F71*0.245866,0)</f>
        <v>-218878</v>
      </c>
      <c r="G46" s="300">
        <f t="shared" si="6"/>
        <v>0</v>
      </c>
      <c r="H46" s="300">
        <f t="shared" si="16"/>
        <v>0</v>
      </c>
      <c r="I46" s="300">
        <f>-ROUND('Current Income Tax Expense'!I71*0.245866,0)</f>
        <v>0</v>
      </c>
      <c r="J46" s="300">
        <f t="shared" si="17"/>
        <v>0</v>
      </c>
      <c r="K46" s="276" t="str">
        <f>'Current Income Tax Expense'!K71</f>
        <v>NREG</v>
      </c>
      <c r="L46" s="315">
        <f>SUMIF('Allocation Factors'!$B$3:$B$89,'Deferred Income Tax Expense'!K46,'Allocation Factors'!$P$3:$P$89)</f>
        <v>0</v>
      </c>
      <c r="M46" s="300">
        <f t="shared" si="18"/>
        <v>0</v>
      </c>
      <c r="N46" s="300">
        <f t="shared" si="15"/>
        <v>0</v>
      </c>
      <c r="O46" s="300">
        <f t="shared" ref="O46" si="26">SUM(M46:N46)</f>
        <v>0</v>
      </c>
    </row>
    <row r="47" spans="1:15">
      <c r="A47" s="90" t="str">
        <f>'Current Income Tax Expense'!A72</f>
        <v>TGS Buyout</v>
      </c>
      <c r="B47" s="276">
        <f>'Current Income Tax Expense'!B72</f>
        <v>287653</v>
      </c>
      <c r="C47" s="314">
        <f>'Current Income Tax Expense'!C72</f>
        <v>425.25</v>
      </c>
      <c r="D47" s="276" t="str">
        <f>'Current Income Tax Expense'!D72</f>
        <v>- - - - -</v>
      </c>
      <c r="E47" s="276" t="str">
        <f>'Current Income Tax Expense'!E72</f>
        <v>U</v>
      </c>
      <c r="F47" s="300">
        <f>ROUND(-'Current Income Tax Expense'!F72*0.245866,0)</f>
        <v>-3805</v>
      </c>
      <c r="G47" s="300">
        <f t="shared" si="6"/>
        <v>-3805</v>
      </c>
      <c r="H47" s="300">
        <f t="shared" si="16"/>
        <v>-3805</v>
      </c>
      <c r="I47" s="300">
        <f>-ROUND('Current Income Tax Expense'!I72*0.245866,0)</f>
        <v>0</v>
      </c>
      <c r="J47" s="300">
        <f t="shared" si="17"/>
        <v>-3805</v>
      </c>
      <c r="K47" s="269" t="str">
        <f>'Current Income Tax Expense'!K72</f>
        <v>CAGE</v>
      </c>
      <c r="L47" s="315">
        <f>SUMIF('Allocation Factors'!$B$3:$B$89,'Deferred Income Tax Expense'!K47,'Allocation Factors'!$P$3:$P$89)</f>
        <v>0</v>
      </c>
      <c r="M47" s="300">
        <f t="shared" si="18"/>
        <v>0</v>
      </c>
      <c r="N47" s="300">
        <f t="shared" si="15"/>
        <v>0</v>
      </c>
      <c r="O47" s="300">
        <f t="shared" si="5"/>
        <v>0</v>
      </c>
    </row>
    <row r="48" spans="1:15">
      <c r="A48" s="90" t="str">
        <f>'Current Income Tax Expense'!A73</f>
        <v>Hydro Relicensing Obligation</v>
      </c>
      <c r="B48" s="276">
        <f>'Current Income Tax Expense'!B73</f>
        <v>287928</v>
      </c>
      <c r="C48" s="314">
        <f>'Current Income Tax Expense'!C73</f>
        <v>425.31</v>
      </c>
      <c r="D48" s="276" t="str">
        <f>'Current Income Tax Expense'!D73</f>
        <v>- - - - -</v>
      </c>
      <c r="E48" s="269" t="str">
        <f>'Current Income Tax Expense'!E73</f>
        <v>NR</v>
      </c>
      <c r="F48" s="300">
        <f>ROUND(-'Current Income Tax Expense'!F73*0.245866,0)</f>
        <v>-326937</v>
      </c>
      <c r="G48" s="300">
        <f t="shared" si="6"/>
        <v>0</v>
      </c>
      <c r="H48" s="300">
        <f t="shared" si="16"/>
        <v>0</v>
      </c>
      <c r="I48" s="300">
        <f>-ROUND('Current Income Tax Expense'!I73*0.245866,0)</f>
        <v>0</v>
      </c>
      <c r="J48" s="300">
        <f t="shared" si="17"/>
        <v>0</v>
      </c>
      <c r="K48" s="276" t="str">
        <f>'Current Income Tax Expense'!K73</f>
        <v>NREG</v>
      </c>
      <c r="L48" s="315">
        <f>SUMIF('Allocation Factors'!$B$3:$B$89,'Deferred Income Tax Expense'!K48,'Allocation Factors'!$P$3:$P$89)</f>
        <v>0</v>
      </c>
      <c r="M48" s="300">
        <f t="shared" si="18"/>
        <v>0</v>
      </c>
      <c r="N48" s="300">
        <f t="shared" si="15"/>
        <v>0</v>
      </c>
      <c r="O48" s="300">
        <f t="shared" si="5"/>
        <v>0</v>
      </c>
    </row>
    <row r="49" spans="1:15">
      <c r="A49" s="90" t="str">
        <f>'Current Income Tax Expense'!A74</f>
        <v>N. Umpqua Settlement Agreement</v>
      </c>
      <c r="B49" s="276">
        <f>'Current Income Tax Expense'!B74</f>
        <v>287391</v>
      </c>
      <c r="C49" s="314">
        <f>'Current Income Tax Expense'!C74</f>
        <v>425.32</v>
      </c>
      <c r="D49" s="276" t="str">
        <f>'Current Income Tax Expense'!D74</f>
        <v>- - - - -</v>
      </c>
      <c r="E49" s="269" t="str">
        <f>'Current Income Tax Expense'!E74</f>
        <v>NR</v>
      </c>
      <c r="F49" s="300">
        <f>ROUND(-'Current Income Tax Expense'!F74*0.245866,0)</f>
        <v>151884</v>
      </c>
      <c r="G49" s="300">
        <f t="shared" si="6"/>
        <v>0</v>
      </c>
      <c r="H49" s="300">
        <f t="shared" si="16"/>
        <v>0</v>
      </c>
      <c r="I49" s="300">
        <f>-ROUND('Current Income Tax Expense'!I74*0.245866,0)</f>
        <v>0</v>
      </c>
      <c r="J49" s="300">
        <f t="shared" si="17"/>
        <v>0</v>
      </c>
      <c r="K49" s="276" t="str">
        <f>'Current Income Tax Expense'!K74</f>
        <v>NREG</v>
      </c>
      <c r="L49" s="315">
        <f>SUMIF('Allocation Factors'!$B$3:$B$89,'Deferred Income Tax Expense'!K49,'Allocation Factors'!$P$3:$P$89)</f>
        <v>0</v>
      </c>
      <c r="M49" s="300">
        <f t="shared" si="18"/>
        <v>0</v>
      </c>
      <c r="N49" s="300">
        <f t="shared" si="15"/>
        <v>0</v>
      </c>
      <c r="O49" s="300">
        <f t="shared" si="5"/>
        <v>0</v>
      </c>
    </row>
    <row r="50" spans="1:15">
      <c r="A50" s="90" t="str">
        <f>'Current Income Tax Expense'!A75</f>
        <v>Hermiston Swap</v>
      </c>
      <c r="B50" s="276">
        <f>'Current Income Tax Expense'!B75</f>
        <v>287661</v>
      </c>
      <c r="C50" s="314">
        <f>'Current Income Tax Expense'!C75</f>
        <v>425.36</v>
      </c>
      <c r="D50" s="276" t="str">
        <f>'Current Income Tax Expense'!D75</f>
        <v>- - - - -</v>
      </c>
      <c r="E50" s="269" t="str">
        <f>'Current Income Tax Expense'!E75</f>
        <v>U</v>
      </c>
      <c r="F50" s="300">
        <f>ROUND(-'Current Income Tax Expense'!F75*0.245866,0)</f>
        <v>-42213</v>
      </c>
      <c r="G50" s="300">
        <f t="shared" si="6"/>
        <v>-42213</v>
      </c>
      <c r="H50" s="300">
        <f t="shared" si="16"/>
        <v>-42213</v>
      </c>
      <c r="I50" s="300">
        <f>-ROUND('Current Income Tax Expense'!I75*0.245866,0)</f>
        <v>0</v>
      </c>
      <c r="J50" s="300">
        <f t="shared" si="17"/>
        <v>-42213</v>
      </c>
      <c r="K50" s="276" t="str">
        <f>'Current Income Tax Expense'!K75</f>
        <v>CAGW</v>
      </c>
      <c r="L50" s="315">
        <f>SUMIF('Allocation Factors'!$B$3:$B$89,'Deferred Income Tax Expense'!K50,'Allocation Factors'!$P$3:$P$89)</f>
        <v>0.21577192756641544</v>
      </c>
      <c r="M50" s="300">
        <f t="shared" si="18"/>
        <v>-9108</v>
      </c>
      <c r="N50" s="300">
        <f t="shared" si="15"/>
        <v>0</v>
      </c>
      <c r="O50" s="300">
        <f t="shared" si="5"/>
        <v>-9108</v>
      </c>
    </row>
    <row r="51" spans="1:15">
      <c r="A51" s="90" t="str">
        <f>'Current Income Tax Expense'!A76</f>
        <v>Reg Liability - BPA Balancing Account - ID</v>
      </c>
      <c r="B51" s="276">
        <f>'Current Income Tax Expense'!B76</f>
        <v>287213</v>
      </c>
      <c r="C51" s="314">
        <f>'Current Income Tax Expense'!C76</f>
        <v>425.38099999999997</v>
      </c>
      <c r="D51" s="276" t="str">
        <f>'Current Income Tax Expense'!D76</f>
        <v>- - - - -</v>
      </c>
      <c r="E51" s="269" t="s">
        <v>333</v>
      </c>
      <c r="F51" s="300">
        <f>ROUND(-'Current Income Tax Expense'!F76*0.245866,0)</f>
        <v>80634</v>
      </c>
      <c r="G51" s="300">
        <f t="shared" si="6"/>
        <v>0</v>
      </c>
      <c r="H51" s="300">
        <f t="shared" si="16"/>
        <v>0</v>
      </c>
      <c r="I51" s="300">
        <f>-ROUND('Current Income Tax Expense'!I76*0.245866,0)</f>
        <v>0</v>
      </c>
      <c r="J51" s="300">
        <f t="shared" si="17"/>
        <v>0</v>
      </c>
      <c r="K51" s="276" t="str">
        <f>'Current Income Tax Expense'!K76</f>
        <v>NREG</v>
      </c>
      <c r="L51" s="315">
        <f>SUMIF('Allocation Factors'!$B$3:$B$89,'Deferred Income Tax Expense'!K51,'Allocation Factors'!$P$3:$P$89)</f>
        <v>0</v>
      </c>
      <c r="M51" s="300">
        <f t="shared" si="18"/>
        <v>0</v>
      </c>
      <c r="N51" s="300">
        <f t="shared" si="15"/>
        <v>0</v>
      </c>
      <c r="O51" s="300">
        <f t="shared" ref="O51" si="27">SUM(M51:N51)</f>
        <v>0</v>
      </c>
    </row>
    <row r="52" spans="1:15">
      <c r="A52" s="90" t="str">
        <f>'Current Income Tax Expense'!A77</f>
        <v>Reg Asset - Demand Side Management - Noncurrent</v>
      </c>
      <c r="B52" s="276">
        <f>'Current Income Tax Expense'!B77</f>
        <v>287614</v>
      </c>
      <c r="C52" s="314">
        <f>'Current Income Tax Expense'!C77</f>
        <v>430.1</v>
      </c>
      <c r="D52" s="316" t="str">
        <f>'Current Income Tax Expense'!D77</f>
        <v>- - - - -</v>
      </c>
      <c r="E52" s="269" t="str">
        <f>'Current Income Tax Expense'!E77</f>
        <v>U</v>
      </c>
      <c r="F52" s="300">
        <f>ROUND(-'Current Income Tax Expense'!F77*0.245866,0)</f>
        <v>-2384797</v>
      </c>
      <c r="G52" s="300">
        <f t="shared" si="6"/>
        <v>-2384797</v>
      </c>
      <c r="H52" s="300">
        <f t="shared" si="16"/>
        <v>-2384797</v>
      </c>
      <c r="I52" s="300">
        <f>-ROUND('Current Income Tax Expense'!I77*0.245866,0)</f>
        <v>0</v>
      </c>
      <c r="J52" s="300">
        <f t="shared" si="17"/>
        <v>-2384797</v>
      </c>
      <c r="K52" s="276" t="str">
        <f>'Current Income Tax Expense'!K77</f>
        <v>OTHER</v>
      </c>
      <c r="L52" s="315">
        <f>SUMIF('Allocation Factors'!$B$3:$B$89,'Deferred Income Tax Expense'!K52,'Allocation Factors'!$P$3:$P$89)</f>
        <v>0</v>
      </c>
      <c r="M52" s="300">
        <f t="shared" si="18"/>
        <v>0</v>
      </c>
      <c r="N52" s="300">
        <f t="shared" si="15"/>
        <v>0</v>
      </c>
      <c r="O52" s="300">
        <f t="shared" si="5"/>
        <v>0</v>
      </c>
    </row>
    <row r="53" spans="1:15">
      <c r="A53" s="90" t="str">
        <f>'Current Income Tax Expense'!A78</f>
        <v>Accrued Royalties</v>
      </c>
      <c r="B53" s="276">
        <f>'Current Income Tax Expense'!B78</f>
        <v>287430</v>
      </c>
      <c r="C53" s="314">
        <f>'Current Income Tax Expense'!C78</f>
        <v>505.125</v>
      </c>
      <c r="D53" s="276" t="str">
        <f>'Current Income Tax Expense'!D78</f>
        <v>- - - - -</v>
      </c>
      <c r="E53" s="276" t="str">
        <f>'Current Income Tax Expense'!E78</f>
        <v>U</v>
      </c>
      <c r="F53" s="300">
        <f>ROUND(-'Current Income Tax Expense'!F78*0.245866,0)</f>
        <v>-282897</v>
      </c>
      <c r="G53" s="300">
        <f t="shared" si="6"/>
        <v>-282897</v>
      </c>
      <c r="H53" s="300">
        <f t="shared" si="16"/>
        <v>-282897</v>
      </c>
      <c r="I53" s="300">
        <f>-ROUND('Current Income Tax Expense'!I78*0.245866,0)</f>
        <v>0</v>
      </c>
      <c r="J53" s="300">
        <f t="shared" si="17"/>
        <v>-282897</v>
      </c>
      <c r="K53" s="276" t="str">
        <f>'Current Income Tax Expense'!K78</f>
        <v>CAEE</v>
      </c>
      <c r="L53" s="315">
        <f>SUMIF('Allocation Factors'!$B$3:$B$89,'Deferred Income Tax Expense'!K53,'Allocation Factors'!$P$3:$P$89)</f>
        <v>0</v>
      </c>
      <c r="M53" s="300">
        <f t="shared" si="18"/>
        <v>0</v>
      </c>
      <c r="N53" s="300">
        <f t="shared" si="15"/>
        <v>0</v>
      </c>
      <c r="O53" s="300">
        <f t="shared" ref="O53:O108" si="28">SUM(M53:N53)</f>
        <v>0</v>
      </c>
    </row>
    <row r="54" spans="1:15">
      <c r="A54" s="90" t="str">
        <f>'Current Income Tax Expense'!A79</f>
        <v>Accrued Bonus</v>
      </c>
      <c r="B54" s="276">
        <f>'Current Income Tax Expense'!B79</f>
        <v>287323</v>
      </c>
      <c r="C54" s="314">
        <f>'Current Income Tax Expense'!C79</f>
        <v>505.4</v>
      </c>
      <c r="D54" s="276" t="str">
        <f>'Current Income Tax Expense'!D79</f>
        <v>- - - - -</v>
      </c>
      <c r="E54" s="276" t="str">
        <f>'Current Income Tax Expense'!E79</f>
        <v>U</v>
      </c>
      <c r="F54" s="300">
        <f>ROUND(-'Current Income Tax Expense'!F79*0.245866,0)</f>
        <v>51221</v>
      </c>
      <c r="G54" s="300">
        <f t="shared" si="6"/>
        <v>51221</v>
      </c>
      <c r="H54" s="300">
        <f t="shared" si="16"/>
        <v>51221</v>
      </c>
      <c r="I54" s="300">
        <f>-ROUND('Current Income Tax Expense'!I79*0.245866,0)</f>
        <v>0</v>
      </c>
      <c r="J54" s="300">
        <f t="shared" si="17"/>
        <v>51221</v>
      </c>
      <c r="K54" s="276" t="str">
        <f>'Current Income Tax Expense'!K79</f>
        <v>SO</v>
      </c>
      <c r="L54" s="315">
        <f>SUMIF('Allocation Factors'!$B$3:$B$89,'Deferred Income Tax Expense'!K54,'Allocation Factors'!$P$3:$P$89)</f>
        <v>6.7017620954721469E-2</v>
      </c>
      <c r="M54" s="300">
        <f t="shared" si="18"/>
        <v>3433</v>
      </c>
      <c r="N54" s="300">
        <f t="shared" si="15"/>
        <v>0</v>
      </c>
      <c r="O54" s="300">
        <f t="shared" si="28"/>
        <v>3433</v>
      </c>
    </row>
    <row r="55" spans="1:15">
      <c r="A55" s="90" t="str">
        <f>'Current Income Tax Expense'!A80</f>
        <v>Accrued Vacation</v>
      </c>
      <c r="B55" s="276">
        <f>'Current Income Tax Expense'!B80</f>
        <v>287332</v>
      </c>
      <c r="C55" s="314">
        <f>'Current Income Tax Expense'!C80</f>
        <v>505.6</v>
      </c>
      <c r="D55" s="276" t="str">
        <f>'Current Income Tax Expense'!D80</f>
        <v>- - - - -</v>
      </c>
      <c r="E55" s="276" t="str">
        <f>'Current Income Tax Expense'!E80</f>
        <v>U</v>
      </c>
      <c r="F55" s="300">
        <f>ROUND(-'Current Income Tax Expense'!F80*0.245866,0)</f>
        <v>-115286</v>
      </c>
      <c r="G55" s="300">
        <f t="shared" si="6"/>
        <v>-115286</v>
      </c>
      <c r="H55" s="300">
        <f t="shared" si="16"/>
        <v>-115286</v>
      </c>
      <c r="I55" s="300">
        <f>-ROUND('Current Income Tax Expense'!I80*0.245866,0)</f>
        <v>0</v>
      </c>
      <c r="J55" s="300">
        <f t="shared" si="17"/>
        <v>-115286</v>
      </c>
      <c r="K55" s="276" t="str">
        <f>'Current Income Tax Expense'!K80</f>
        <v>SO</v>
      </c>
      <c r="L55" s="315">
        <f>SUMIF('Allocation Factors'!$B$3:$B$89,'Deferred Income Tax Expense'!K55,'Allocation Factors'!$P$3:$P$89)</f>
        <v>6.7017620954721469E-2</v>
      </c>
      <c r="M55" s="300">
        <f t="shared" si="18"/>
        <v>-7726</v>
      </c>
      <c r="N55" s="300">
        <f t="shared" si="15"/>
        <v>0</v>
      </c>
      <c r="O55" s="300">
        <f t="shared" si="28"/>
        <v>-7726</v>
      </c>
    </row>
    <row r="56" spans="1:15">
      <c r="A56" s="90" t="str">
        <f>'Current Income Tax Expense'!A81</f>
        <v>Sick Leave Accrual-PMI</v>
      </c>
      <c r="B56" s="276">
        <f>'Current Income Tax Expense'!B81</f>
        <v>287937</v>
      </c>
      <c r="C56" s="314">
        <f>'Current Income Tax Expense'!C81</f>
        <v>505.601</v>
      </c>
      <c r="D56" s="276" t="str">
        <f>'Current Income Tax Expense'!D81</f>
        <v>- - - - -</v>
      </c>
      <c r="E56" s="276" t="str">
        <f>'Current Income Tax Expense'!E81</f>
        <v>U</v>
      </c>
      <c r="F56" s="300">
        <f>ROUND(-'Current Income Tax Expense'!F81*0.245866,0)</f>
        <v>-187</v>
      </c>
      <c r="G56" s="300">
        <f t="shared" si="6"/>
        <v>-187</v>
      </c>
      <c r="H56" s="300">
        <f t="shared" si="16"/>
        <v>-187</v>
      </c>
      <c r="I56" s="300">
        <f>-ROUND('Current Income Tax Expense'!I81*0.245866,0)</f>
        <v>0</v>
      </c>
      <c r="J56" s="300">
        <f t="shared" si="17"/>
        <v>-187</v>
      </c>
      <c r="K56" s="276" t="str">
        <f>'Current Income Tax Expense'!K81</f>
        <v>JBE</v>
      </c>
      <c r="L56" s="315">
        <f>SUMIF('Allocation Factors'!$B$3:$B$89,'Deferred Income Tax Expense'!K56,'Allocation Factors'!$P$3:$P$89)</f>
        <v>0.22591574269314921</v>
      </c>
      <c r="M56" s="300">
        <f t="shared" si="18"/>
        <v>-42</v>
      </c>
      <c r="N56" s="300">
        <f t="shared" si="15"/>
        <v>0</v>
      </c>
      <c r="O56" s="300">
        <f t="shared" ref="O56" si="29">SUM(M56:N56)</f>
        <v>-42</v>
      </c>
    </row>
    <row r="57" spans="1:15">
      <c r="A57" s="90" t="str">
        <f>'Current Income Tax Expense'!A82</f>
        <v xml:space="preserve">Accrued Retention Bonus </v>
      </c>
      <c r="B57" s="276">
        <f>'Current Income Tax Expense'!B82</f>
        <v>287414</v>
      </c>
      <c r="C57" s="314">
        <f>'Current Income Tax Expense'!C82</f>
        <v>505.7</v>
      </c>
      <c r="D57" s="276" t="str">
        <f>'Current Income Tax Expense'!D82</f>
        <v>- - - - -</v>
      </c>
      <c r="E57" s="276" t="str">
        <f>'Current Income Tax Expense'!E82</f>
        <v>U</v>
      </c>
      <c r="F57" s="300">
        <f>ROUND(-'Current Income Tax Expense'!F82*0.245866,0)</f>
        <v>146336</v>
      </c>
      <c r="G57" s="300">
        <f t="shared" si="6"/>
        <v>146336</v>
      </c>
      <c r="H57" s="300">
        <f t="shared" si="16"/>
        <v>146336</v>
      </c>
      <c r="I57" s="300">
        <f>-ROUND('Current Income Tax Expense'!I82*0.245866,0)</f>
        <v>0</v>
      </c>
      <c r="J57" s="300">
        <f t="shared" si="17"/>
        <v>146336</v>
      </c>
      <c r="K57" s="276" t="str">
        <f>'Current Income Tax Expense'!K82</f>
        <v>SO</v>
      </c>
      <c r="L57" s="315">
        <f>SUMIF('Allocation Factors'!$B$3:$B$89,'Deferred Income Tax Expense'!K57,'Allocation Factors'!$P$3:$P$89)</f>
        <v>6.7017620954721469E-2</v>
      </c>
      <c r="M57" s="300">
        <f t="shared" si="18"/>
        <v>9807</v>
      </c>
      <c r="N57" s="300">
        <f t="shared" si="15"/>
        <v>0</v>
      </c>
      <c r="O57" s="300">
        <f t="shared" ref="O57" si="30">SUM(M57:N57)</f>
        <v>9807</v>
      </c>
    </row>
    <row r="58" spans="1:15">
      <c r="A58" s="90" t="str">
        <f>'Current Income Tax Expense'!A83</f>
        <v>Trojan Decommissioning Costs</v>
      </c>
      <c r="B58" s="276">
        <f>'Current Income Tax Expense'!B83</f>
        <v>287441</v>
      </c>
      <c r="C58" s="314">
        <f>'Current Income Tax Expense'!C83</f>
        <v>605.1</v>
      </c>
      <c r="D58" s="276" t="str">
        <f>'Current Income Tax Expense'!D83</f>
        <v>- - - - -</v>
      </c>
      <c r="E58" s="276" t="str">
        <f>+'Current Income Tax Expense'!E83</f>
        <v>NR</v>
      </c>
      <c r="F58" s="300">
        <f>ROUND(-'Current Income Tax Expense'!F83*0.245866,0)</f>
        <v>12533</v>
      </c>
      <c r="G58" s="300">
        <f t="shared" si="6"/>
        <v>0</v>
      </c>
      <c r="H58" s="300">
        <f t="shared" si="16"/>
        <v>0</v>
      </c>
      <c r="I58" s="300">
        <f>-ROUND('Current Income Tax Expense'!I83*0.245866,0)</f>
        <v>0</v>
      </c>
      <c r="J58" s="300">
        <f t="shared" si="17"/>
        <v>0</v>
      </c>
      <c r="K58" s="276" t="str">
        <f>'Current Income Tax Expense'!K83</f>
        <v>NREG</v>
      </c>
      <c r="L58" s="315">
        <f>SUMIF('Allocation Factors'!$B$3:$B$89,'Deferred Income Tax Expense'!K58,'Allocation Factors'!$P$3:$P$89)</f>
        <v>0</v>
      </c>
      <c r="M58" s="300">
        <f t="shared" si="18"/>
        <v>0</v>
      </c>
      <c r="N58" s="300">
        <f t="shared" si="15"/>
        <v>0</v>
      </c>
      <c r="O58" s="300">
        <f t="shared" si="28"/>
        <v>0</v>
      </c>
    </row>
    <row r="59" spans="1:15">
      <c r="A59" s="90" t="str">
        <f>'Current Income Tax Expense'!A84</f>
        <v>Environmental Liability - Regulated</v>
      </c>
      <c r="B59" s="276">
        <f>'Current Income Tax Expense'!B84</f>
        <v>287240</v>
      </c>
      <c r="C59" s="314">
        <f>'Current Income Tax Expense'!C84</f>
        <v>605.30100000000004</v>
      </c>
      <c r="D59" s="318">
        <f>+'Current Income Tax Expense'!D84</f>
        <v>4.1100000000000003</v>
      </c>
      <c r="E59" s="276" t="str">
        <f>'Current Income Tax Expense'!E84</f>
        <v>U</v>
      </c>
      <c r="F59" s="300">
        <f>ROUND(-'Current Income Tax Expense'!F84*0.245866,0)</f>
        <v>-109926</v>
      </c>
      <c r="G59" s="300">
        <f t="shared" si="6"/>
        <v>-109926</v>
      </c>
      <c r="H59" s="300">
        <f t="shared" si="16"/>
        <v>-109926</v>
      </c>
      <c r="I59" s="300">
        <f>ROUND(-'Current Income Tax Expense'!I84*0.245866,0)</f>
        <v>109926</v>
      </c>
      <c r="J59" s="300">
        <f t="shared" si="17"/>
        <v>0</v>
      </c>
      <c r="K59" s="276" t="str">
        <f>'Current Income Tax Expense'!K84</f>
        <v>SO</v>
      </c>
      <c r="L59" s="315">
        <f>SUMIF('Allocation Factors'!$B$3:$B$89,'Deferred Income Tax Expense'!K59,'Allocation Factors'!$P$3:$P$89)</f>
        <v>6.7017620954721469E-2</v>
      </c>
      <c r="M59" s="300">
        <f t="shared" si="18"/>
        <v>-7367</v>
      </c>
      <c r="N59" s="300">
        <f t="shared" si="15"/>
        <v>7367</v>
      </c>
      <c r="O59" s="300">
        <f t="shared" ref="O59:O60" si="31">SUM(M59:N59)</f>
        <v>0</v>
      </c>
    </row>
    <row r="60" spans="1:15">
      <c r="A60" s="90" t="str">
        <f>'Current Income Tax Expense'!A85</f>
        <v>Environmental Liability - Non-Regulated</v>
      </c>
      <c r="B60" s="276">
        <f>'Current Income Tax Expense'!B85</f>
        <v>287241</v>
      </c>
      <c r="C60" s="314">
        <f>'Current Income Tax Expense'!C85</f>
        <v>605.30200000000002</v>
      </c>
      <c r="D60" s="276" t="str">
        <f>'Current Income Tax Expense'!D85</f>
        <v>- - - - -</v>
      </c>
      <c r="E60" s="276" t="str">
        <f>'Current Income Tax Expense'!E85</f>
        <v>NR</v>
      </c>
      <c r="F60" s="300">
        <f>ROUND(-'Current Income Tax Expense'!F85*0.245866,0)</f>
        <v>-8339</v>
      </c>
      <c r="G60" s="300">
        <f t="shared" si="6"/>
        <v>0</v>
      </c>
      <c r="H60" s="300">
        <f t="shared" si="16"/>
        <v>0</v>
      </c>
      <c r="I60" s="300">
        <f>-ROUND('Current Income Tax Expense'!I85*0.245866,0)</f>
        <v>0</v>
      </c>
      <c r="J60" s="300">
        <f t="shared" si="17"/>
        <v>0</v>
      </c>
      <c r="K60" s="276" t="str">
        <f>'Current Income Tax Expense'!K85</f>
        <v>NREG</v>
      </c>
      <c r="L60" s="315">
        <f>SUMIF('Allocation Factors'!$B$3:$B$89,'Deferred Income Tax Expense'!K60,'Allocation Factors'!$P$3:$P$89)</f>
        <v>0</v>
      </c>
      <c r="M60" s="300">
        <f t="shared" si="18"/>
        <v>0</v>
      </c>
      <c r="N60" s="300">
        <f t="shared" si="15"/>
        <v>0</v>
      </c>
      <c r="O60" s="300">
        <f t="shared" si="31"/>
        <v>0</v>
      </c>
    </row>
    <row r="61" spans="1:15">
      <c r="A61" s="90" t="str">
        <f>'Current Income Tax Expense'!A86</f>
        <v xml:space="preserve">Accrued Final Reclamation </v>
      </c>
      <c r="B61" s="276">
        <f>'Current Income Tax Expense'!B86</f>
        <v>287417</v>
      </c>
      <c r="C61" s="314">
        <f>'Current Income Tax Expense'!C86</f>
        <v>605.71</v>
      </c>
      <c r="D61" s="276" t="str">
        <f>'Current Income Tax Expense'!D86</f>
        <v>- - - - -</v>
      </c>
      <c r="E61" s="276" t="str">
        <f>'Current Income Tax Expense'!E86</f>
        <v>U</v>
      </c>
      <c r="F61" s="300">
        <f>ROUND(-'Current Income Tax Expense'!F86*0.245866,0)</f>
        <v>1128322</v>
      </c>
      <c r="G61" s="300">
        <f t="shared" si="6"/>
        <v>1128322</v>
      </c>
      <c r="H61" s="300">
        <f t="shared" si="16"/>
        <v>1128322</v>
      </c>
      <c r="I61" s="300">
        <f>-ROUND('Current Income Tax Expense'!I86*0.245866,0)</f>
        <v>0</v>
      </c>
      <c r="J61" s="300">
        <f t="shared" si="17"/>
        <v>1128322</v>
      </c>
      <c r="K61" s="276" t="str">
        <f>'Current Income Tax Expense'!K86</f>
        <v>OTHER</v>
      </c>
      <c r="L61" s="315">
        <f>SUMIF('Allocation Factors'!$B$3:$B$89,'Deferred Income Tax Expense'!K61,'Allocation Factors'!$P$3:$P$89)</f>
        <v>0</v>
      </c>
      <c r="M61" s="300">
        <f t="shared" si="18"/>
        <v>0</v>
      </c>
      <c r="N61" s="300">
        <f t="shared" si="15"/>
        <v>0</v>
      </c>
      <c r="O61" s="300">
        <f t="shared" si="28"/>
        <v>0</v>
      </c>
    </row>
    <row r="62" spans="1:15">
      <c r="A62" s="90" t="str">
        <f>'Current Income Tax Expense'!A87</f>
        <v>Trapper Mine Contract Obligation</v>
      </c>
      <c r="B62" s="276">
        <f>'Current Income Tax Expense'!B87</f>
        <v>287216</v>
      </c>
      <c r="C62" s="314">
        <f>'Current Income Tax Expense'!C87</f>
        <v>605.71500000000003</v>
      </c>
      <c r="D62" s="276" t="str">
        <f>'Current Income Tax Expense'!D87</f>
        <v>- - - - -</v>
      </c>
      <c r="E62" s="276" t="str">
        <f>'Current Income Tax Expense'!E87</f>
        <v>U</v>
      </c>
      <c r="F62" s="300">
        <f>ROUND(-'Current Income Tax Expense'!F87*0.245866,0)</f>
        <v>-69017</v>
      </c>
      <c r="G62" s="300">
        <f t="shared" si="6"/>
        <v>-69017</v>
      </c>
      <c r="H62" s="300">
        <f t="shared" si="16"/>
        <v>-69017</v>
      </c>
      <c r="I62" s="300">
        <f>-ROUND('Current Income Tax Expense'!I87*0.245866,0)</f>
        <v>0</v>
      </c>
      <c r="J62" s="300">
        <f t="shared" si="17"/>
        <v>-69017</v>
      </c>
      <c r="K62" s="276" t="str">
        <f>'Current Income Tax Expense'!K87</f>
        <v>CAEE</v>
      </c>
      <c r="L62" s="315">
        <f>SUMIF('Allocation Factors'!$B$3:$B$89,'Deferred Income Tax Expense'!K62,'Allocation Factors'!$P$3:$P$89)</f>
        <v>0</v>
      </c>
      <c r="M62" s="300">
        <f t="shared" si="18"/>
        <v>0</v>
      </c>
      <c r="N62" s="300">
        <f t="shared" si="15"/>
        <v>0</v>
      </c>
      <c r="O62" s="300">
        <f t="shared" ref="O62" si="32">SUM(M62:N62)</f>
        <v>0</v>
      </c>
    </row>
    <row r="63" spans="1:15">
      <c r="A63" s="90" t="str">
        <f>'Current Income Tax Expense'!A88</f>
        <v>Coal Mine Development Expense - PMI</v>
      </c>
      <c r="B63" s="276">
        <f>'Current Income Tax Expense'!B88</f>
        <v>287706</v>
      </c>
      <c r="C63" s="314">
        <f>'Current Income Tax Expense'!C88</f>
        <v>610</v>
      </c>
      <c r="D63" s="276" t="str">
        <f>'Current Income Tax Expense'!D88</f>
        <v>- - - - -</v>
      </c>
      <c r="E63" s="276" t="str">
        <f>'Current Income Tax Expense'!E88</f>
        <v>U</v>
      </c>
      <c r="F63" s="300">
        <f>ROUND(-'Current Income Tax Expense'!F88*0.245866,0)</f>
        <v>20929</v>
      </c>
      <c r="G63" s="300">
        <f t="shared" si="6"/>
        <v>20929</v>
      </c>
      <c r="H63" s="300">
        <f t="shared" si="16"/>
        <v>20929</v>
      </c>
      <c r="I63" s="300">
        <f>-ROUND('Current Income Tax Expense'!I88*0.245866,0)</f>
        <v>0</v>
      </c>
      <c r="J63" s="300">
        <f t="shared" si="17"/>
        <v>20929</v>
      </c>
      <c r="K63" s="276" t="str">
        <f>'Current Income Tax Expense'!K88</f>
        <v>JBE</v>
      </c>
      <c r="L63" s="315">
        <f>SUMIF('Allocation Factors'!$B$3:$B$89,'Deferred Income Tax Expense'!K63,'Allocation Factors'!$P$3:$P$89)</f>
        <v>0.22591574269314921</v>
      </c>
      <c r="M63" s="300">
        <f t="shared" si="18"/>
        <v>4728</v>
      </c>
      <c r="N63" s="300">
        <f t="shared" si="15"/>
        <v>0</v>
      </c>
      <c r="O63" s="300">
        <f t="shared" si="28"/>
        <v>4728</v>
      </c>
    </row>
    <row r="64" spans="1:15">
      <c r="A64" s="90" t="str">
        <f>'Current Income Tax Expense'!A89</f>
        <v>Reg Liability - WA Low Energy Program</v>
      </c>
      <c r="B64" s="276">
        <f>'Current Income Tax Expense'!B89</f>
        <v>287453</v>
      </c>
      <c r="C64" s="314">
        <f>'Current Income Tax Expense'!C89</f>
        <v>610.14300000000003</v>
      </c>
      <c r="D64" s="276" t="str">
        <f>'Current Income Tax Expense'!D89</f>
        <v>- - - - -</v>
      </c>
      <c r="E64" s="276" t="str">
        <f>'Current Income Tax Expense'!E89</f>
        <v>U</v>
      </c>
      <c r="F64" s="300">
        <f>ROUND(-'Current Income Tax Expense'!F89*0.245866,0)</f>
        <v>316801</v>
      </c>
      <c r="G64" s="300">
        <f t="shared" si="6"/>
        <v>316801</v>
      </c>
      <c r="H64" s="300">
        <f t="shared" si="16"/>
        <v>316801</v>
      </c>
      <c r="I64" s="300">
        <f>-ROUND('Current Income Tax Expense'!I89*0.245866,0)</f>
        <v>0</v>
      </c>
      <c r="J64" s="300">
        <f t="shared" si="17"/>
        <v>316801</v>
      </c>
      <c r="K64" s="276" t="str">
        <f>'Current Income Tax Expense'!K89</f>
        <v>WA</v>
      </c>
      <c r="L64" s="315">
        <f>SUMIF('Allocation Factors'!$B$3:$B$89,'Deferred Income Tax Expense'!K64,'Allocation Factors'!$P$3:$P$89)</f>
        <v>1</v>
      </c>
      <c r="M64" s="300">
        <f t="shared" si="18"/>
        <v>316801</v>
      </c>
      <c r="N64" s="300">
        <f t="shared" si="15"/>
        <v>0</v>
      </c>
      <c r="O64" s="300">
        <f t="shared" si="28"/>
        <v>316801</v>
      </c>
    </row>
    <row r="65" spans="1:15">
      <c r="A65" s="90" t="str">
        <f>'Current Income Tax Expense'!A90</f>
        <v>Reg Liability - DSM Balance Reclass</v>
      </c>
      <c r="B65" s="276">
        <f>'Current Income Tax Expense'!B90</f>
        <v>287389</v>
      </c>
      <c r="C65" s="314">
        <f>'Current Income Tax Expense'!C90</f>
        <v>610.14499999999998</v>
      </c>
      <c r="D65" s="276" t="str">
        <f>'Current Income Tax Expense'!D90</f>
        <v>- - - - -</v>
      </c>
      <c r="E65" s="276" t="str">
        <f>'Current Income Tax Expense'!E90</f>
        <v>U</v>
      </c>
      <c r="F65" s="300">
        <f>ROUND(-'Current Income Tax Expense'!F90*0.245866,0)</f>
        <v>-5691096</v>
      </c>
      <c r="G65" s="300">
        <f t="shared" si="6"/>
        <v>-5691096</v>
      </c>
      <c r="H65" s="300">
        <f t="shared" si="16"/>
        <v>-5691096</v>
      </c>
      <c r="I65" s="300">
        <f>-ROUND('Current Income Tax Expense'!I90*0.245866,0)</f>
        <v>0</v>
      </c>
      <c r="J65" s="300">
        <f t="shared" si="17"/>
        <v>-5691096</v>
      </c>
      <c r="K65" s="276" t="str">
        <f>'Current Income Tax Expense'!K90</f>
        <v>OTHER</v>
      </c>
      <c r="L65" s="315">
        <f>SUMIF('Allocation Factors'!$B$3:$B$89,'Deferred Income Tax Expense'!K65,'Allocation Factors'!$P$3:$P$89)</f>
        <v>0</v>
      </c>
      <c r="M65" s="300">
        <f t="shared" si="18"/>
        <v>0</v>
      </c>
      <c r="N65" s="300">
        <f t="shared" si="15"/>
        <v>0</v>
      </c>
      <c r="O65" s="300">
        <f t="shared" si="28"/>
        <v>0</v>
      </c>
    </row>
    <row r="66" spans="1:15">
      <c r="A66" s="90" t="str">
        <f>'Current Income Tax Expense'!A91</f>
        <v>Reg Liability - Other - Balance Reclass</v>
      </c>
      <c r="B66" s="276">
        <f>'Current Income Tax Expense'!B91</f>
        <v>287284</v>
      </c>
      <c r="C66" s="314">
        <f>'Current Income Tax Expense'!C91</f>
        <v>610.14700000000005</v>
      </c>
      <c r="D66" s="276" t="str">
        <f>'Current Income Tax Expense'!D91</f>
        <v>- - - - -</v>
      </c>
      <c r="E66" s="276" t="str">
        <f>'Current Income Tax Expense'!E91</f>
        <v>NR</v>
      </c>
      <c r="F66" s="300">
        <f>ROUND(-'Current Income Tax Expense'!F91*0.245866,0)</f>
        <v>-244456</v>
      </c>
      <c r="G66" s="300">
        <f t="shared" si="6"/>
        <v>0</v>
      </c>
      <c r="H66" s="300">
        <f t="shared" si="16"/>
        <v>0</v>
      </c>
      <c r="I66" s="300">
        <f>-ROUND('Current Income Tax Expense'!I91*0.245866,0)</f>
        <v>0</v>
      </c>
      <c r="J66" s="300">
        <f t="shared" si="17"/>
        <v>0</v>
      </c>
      <c r="K66" s="276" t="str">
        <f>'Current Income Tax Expense'!K91</f>
        <v>NREG</v>
      </c>
      <c r="L66" s="315">
        <f>SUMIF('Allocation Factors'!$B$3:$B$89,'Deferred Income Tax Expense'!K66,'Allocation Factors'!$P$3:$P$89)</f>
        <v>0</v>
      </c>
      <c r="M66" s="300">
        <f t="shared" si="18"/>
        <v>0</v>
      </c>
      <c r="N66" s="300">
        <f t="shared" si="15"/>
        <v>0</v>
      </c>
      <c r="O66" s="300">
        <f t="shared" si="28"/>
        <v>0</v>
      </c>
    </row>
    <row r="67" spans="1:15">
      <c r="A67" s="90" t="str">
        <f>'Current Income Tax Expense'!A92</f>
        <v>Reg Asset - Alternative Rate for Energy Program (CARE) - CA</v>
      </c>
      <c r="B67" s="276">
        <f>'Current Income Tax Expense'!B92</f>
        <v>287747</v>
      </c>
      <c r="C67" s="314">
        <f>'Current Income Tax Expense'!C92</f>
        <v>705.24</v>
      </c>
      <c r="D67" s="276" t="str">
        <f>'Current Income Tax Expense'!D92</f>
        <v>- - - - -</v>
      </c>
      <c r="E67" s="276" t="str">
        <f>'Current Income Tax Expense'!E92</f>
        <v>U</v>
      </c>
      <c r="F67" s="300">
        <f>ROUND(-'Current Income Tax Expense'!F92*0.245866,0)</f>
        <v>-62377</v>
      </c>
      <c r="G67" s="300">
        <f t="shared" si="6"/>
        <v>-62377</v>
      </c>
      <c r="H67" s="300">
        <f t="shared" ref="H67:H98" si="33">IF(E67="U",G67,0)</f>
        <v>-62377</v>
      </c>
      <c r="I67" s="300">
        <f>-ROUND('Current Income Tax Expense'!I92*0.245866,0)</f>
        <v>0</v>
      </c>
      <c r="J67" s="300">
        <f t="shared" ref="J67:J98" si="34">SUM(H67:I67)</f>
        <v>-62377</v>
      </c>
      <c r="K67" s="276" t="str">
        <f>'Current Income Tax Expense'!K92</f>
        <v>OTHER</v>
      </c>
      <c r="L67" s="315">
        <f>SUMIF('Allocation Factors'!$B$3:$B$89,'Deferred Income Tax Expense'!K67,'Allocation Factors'!$P$3:$P$89)</f>
        <v>0</v>
      </c>
      <c r="M67" s="300">
        <f t="shared" ref="M67:M98" si="35">ROUND(H67*L67,0)</f>
        <v>0</v>
      </c>
      <c r="N67" s="300">
        <f t="shared" ref="N67:N96" si="36">ROUND(SUM(I67:I67)*L67,0)</f>
        <v>0</v>
      </c>
      <c r="O67" s="300">
        <f t="shared" si="28"/>
        <v>0</v>
      </c>
    </row>
    <row r="68" spans="1:15">
      <c r="A68" s="90" t="str">
        <f>'Current Income Tax Expense'!A93</f>
        <v>Reg Liability - OR Direct Access 5 Year Opt Out</v>
      </c>
      <c r="B68" s="276">
        <f>'Current Income Tax Expense'!B93</f>
        <v>287212</v>
      </c>
      <c r="C68" s="314">
        <f>'Current Income Tax Expense'!C93</f>
        <v>705.245</v>
      </c>
      <c r="D68" s="276" t="str">
        <f>'Current Income Tax Expense'!D93</f>
        <v>- - - - -</v>
      </c>
      <c r="E68" s="276" t="str">
        <f>'Current Income Tax Expense'!E93</f>
        <v>U</v>
      </c>
      <c r="F68" s="300">
        <f>ROUND(-'Current Income Tax Expense'!F93*0.245866,0)</f>
        <v>-458638</v>
      </c>
      <c r="G68" s="300">
        <f t="shared" si="6"/>
        <v>-458638</v>
      </c>
      <c r="H68" s="300">
        <f t="shared" si="33"/>
        <v>-458638</v>
      </c>
      <c r="I68" s="300">
        <f>-ROUND('Current Income Tax Expense'!I93*0.245866,0)</f>
        <v>0</v>
      </c>
      <c r="J68" s="300">
        <f t="shared" si="34"/>
        <v>-458638</v>
      </c>
      <c r="K68" s="276" t="str">
        <f>'Current Income Tax Expense'!K93</f>
        <v>OTHER</v>
      </c>
      <c r="L68" s="315">
        <f>SUMIF('Allocation Factors'!$B$3:$B$89,'Deferred Income Tax Expense'!K68,'Allocation Factors'!$P$3:$P$89)</f>
        <v>0</v>
      </c>
      <c r="M68" s="300">
        <f t="shared" si="35"/>
        <v>0</v>
      </c>
      <c r="N68" s="300">
        <f t="shared" si="36"/>
        <v>0</v>
      </c>
      <c r="O68" s="300">
        <f t="shared" ref="O68" si="37">SUM(M68:N68)</f>
        <v>0</v>
      </c>
    </row>
    <row r="69" spans="1:15">
      <c r="A69" s="90" t="str">
        <f>'Current Income Tax Expense'!A94</f>
        <v>Reg Liability - Energy Savings Assistance (ESA) - CA</v>
      </c>
      <c r="B69" s="276">
        <f>'Current Income Tax Expense'!B94</f>
        <v>287209</v>
      </c>
      <c r="C69" s="314">
        <f>'Current Income Tax Expense'!C94</f>
        <v>705.26599999999996</v>
      </c>
      <c r="D69" s="276" t="str">
        <f>'Current Income Tax Expense'!D94</f>
        <v>- - - - -</v>
      </c>
      <c r="E69" s="276" t="str">
        <f>'Current Income Tax Expense'!E94</f>
        <v>U</v>
      </c>
      <c r="F69" s="300">
        <f>ROUND(-'Current Income Tax Expense'!F94*0.245866,0)</f>
        <v>-12546</v>
      </c>
      <c r="G69" s="300">
        <f t="shared" si="6"/>
        <v>-12546</v>
      </c>
      <c r="H69" s="300">
        <f t="shared" si="33"/>
        <v>-12546</v>
      </c>
      <c r="I69" s="300">
        <f>-ROUND('Current Income Tax Expense'!I94*0.245866,0)</f>
        <v>0</v>
      </c>
      <c r="J69" s="300">
        <f t="shared" si="34"/>
        <v>-12546</v>
      </c>
      <c r="K69" s="276" t="str">
        <f>'Current Income Tax Expense'!K94</f>
        <v>OTHER</v>
      </c>
      <c r="L69" s="315">
        <f>SUMIF('Allocation Factors'!$B$3:$B$89,'Deferred Income Tax Expense'!K69,'Allocation Factors'!$P$3:$P$89)</f>
        <v>0</v>
      </c>
      <c r="M69" s="300">
        <f t="shared" si="35"/>
        <v>0</v>
      </c>
      <c r="N69" s="300">
        <f t="shared" si="36"/>
        <v>0</v>
      </c>
      <c r="O69" s="300">
        <f t="shared" ref="O69" si="38">SUM(M69:N69)</f>
        <v>0</v>
      </c>
    </row>
    <row r="70" spans="1:15">
      <c r="A70" s="90" t="str">
        <f>'Current Income Tax Expense'!A95</f>
        <v>Reg Liability - WA Decoupling Mechanism</v>
      </c>
      <c r="B70" s="276">
        <f>'Current Income Tax Expense'!B95</f>
        <v>287200</v>
      </c>
      <c r="C70" s="314">
        <f>'Current Income Tax Expense'!C95</f>
        <v>705.26700000000005</v>
      </c>
      <c r="D70" s="276" t="str">
        <f>'Current Income Tax Expense'!D95</f>
        <v>- - - - -</v>
      </c>
      <c r="E70" s="276" t="str">
        <f>'Current Income Tax Expense'!E95</f>
        <v>U</v>
      </c>
      <c r="F70" s="300">
        <f>ROUND(-'Current Income Tax Expense'!F95*0.245866,0)</f>
        <v>111185</v>
      </c>
      <c r="G70" s="300">
        <f t="shared" si="6"/>
        <v>111185</v>
      </c>
      <c r="H70" s="300">
        <f t="shared" si="33"/>
        <v>111185</v>
      </c>
      <c r="I70" s="300">
        <f>-ROUND('Current Income Tax Expense'!I95*0.245866,0)</f>
        <v>0</v>
      </c>
      <c r="J70" s="300">
        <f t="shared" si="34"/>
        <v>111185</v>
      </c>
      <c r="K70" s="276" t="str">
        <f>'Current Income Tax Expense'!K95</f>
        <v>OTHER</v>
      </c>
      <c r="L70" s="315">
        <f>SUMIF('Allocation Factors'!$B$3:$B$89,'Deferred Income Tax Expense'!K70,'Allocation Factors'!$P$3:$P$89)</f>
        <v>0</v>
      </c>
      <c r="M70" s="300">
        <f t="shared" si="35"/>
        <v>0</v>
      </c>
      <c r="N70" s="300">
        <f t="shared" si="36"/>
        <v>0</v>
      </c>
      <c r="O70" s="300">
        <f t="shared" ref="O70" si="39">SUM(M70:N70)</f>
        <v>0</v>
      </c>
    </row>
    <row r="71" spans="1:15">
      <c r="A71" s="90" t="str">
        <f>'Current Income Tax Expense'!A96</f>
        <v>Reg Liability - Blue Sky Program - OR</v>
      </c>
      <c r="B71" s="276">
        <f>'Current Income Tax Expense'!B96</f>
        <v>287473</v>
      </c>
      <c r="C71" s="314">
        <f>'Current Income Tax Expense'!C96</f>
        <v>705.27</v>
      </c>
      <c r="D71" s="276" t="str">
        <f>'Current Income Tax Expense'!D96</f>
        <v>- - - - -</v>
      </c>
      <c r="E71" s="276" t="str">
        <f>'Current Income Tax Expense'!E96</f>
        <v>NR</v>
      </c>
      <c r="F71" s="300">
        <f>ROUND(-'Current Income Tax Expense'!F96*0.245866,0)</f>
        <v>28648</v>
      </c>
      <c r="G71" s="300">
        <f t="shared" si="6"/>
        <v>0</v>
      </c>
      <c r="H71" s="300">
        <f t="shared" si="33"/>
        <v>0</v>
      </c>
      <c r="I71" s="300">
        <f>-ROUND('Current Income Tax Expense'!I96*0.245866,0)</f>
        <v>0</v>
      </c>
      <c r="J71" s="300">
        <f t="shared" si="34"/>
        <v>0</v>
      </c>
      <c r="K71" s="276" t="str">
        <f>'Current Income Tax Expense'!K96</f>
        <v>NREG</v>
      </c>
      <c r="L71" s="315">
        <f>SUMIF('Allocation Factors'!$B$3:$B$89,'Deferred Income Tax Expense'!K71,'Allocation Factors'!$P$3:$P$89)</f>
        <v>0</v>
      </c>
      <c r="M71" s="300">
        <f t="shared" si="35"/>
        <v>0</v>
      </c>
      <c r="N71" s="300">
        <f t="shared" si="36"/>
        <v>0</v>
      </c>
      <c r="O71" s="300">
        <f t="shared" si="28"/>
        <v>0</v>
      </c>
    </row>
    <row r="72" spans="1:15">
      <c r="A72" s="90" t="str">
        <f>'Current Income Tax Expense'!A97</f>
        <v>Reg Liability - Blue Sky Program - WA</v>
      </c>
      <c r="B72" s="276">
        <f>'Current Income Tax Expense'!B97</f>
        <v>287474</v>
      </c>
      <c r="C72" s="314">
        <f>'Current Income Tax Expense'!C97</f>
        <v>705.27099999999996</v>
      </c>
      <c r="D72" s="276" t="str">
        <f>'Current Income Tax Expense'!D97</f>
        <v>- - - - -</v>
      </c>
      <c r="E72" s="276" t="str">
        <f>'Current Income Tax Expense'!E97</f>
        <v>NR</v>
      </c>
      <c r="F72" s="300">
        <f>ROUND(-'Current Income Tax Expense'!F97*0.245866,0)</f>
        <v>-31787</v>
      </c>
      <c r="G72" s="300">
        <f t="shared" si="6"/>
        <v>0</v>
      </c>
      <c r="H72" s="300">
        <f t="shared" si="33"/>
        <v>0</v>
      </c>
      <c r="I72" s="300">
        <f>-ROUND('Current Income Tax Expense'!I97*0.245866,0)</f>
        <v>0</v>
      </c>
      <c r="J72" s="300">
        <f t="shared" si="34"/>
        <v>0</v>
      </c>
      <c r="K72" s="276" t="str">
        <f>'Current Income Tax Expense'!K97</f>
        <v>NREG</v>
      </c>
      <c r="L72" s="315">
        <f>SUMIF('Allocation Factors'!$B$3:$B$89,'Deferred Income Tax Expense'!K72,'Allocation Factors'!$P$3:$P$89)</f>
        <v>0</v>
      </c>
      <c r="M72" s="300">
        <f t="shared" si="35"/>
        <v>0</v>
      </c>
      <c r="N72" s="300">
        <f t="shared" si="36"/>
        <v>0</v>
      </c>
      <c r="O72" s="300">
        <f t="shared" si="28"/>
        <v>0</v>
      </c>
    </row>
    <row r="73" spans="1:15">
      <c r="A73" s="90" t="str">
        <f>'Current Income Tax Expense'!A98</f>
        <v>Reg Liability - Blue Sky Program - CA</v>
      </c>
      <c r="B73" s="276">
        <f>'Current Income Tax Expense'!B98</f>
        <v>287475</v>
      </c>
      <c r="C73" s="314">
        <f>'Current Income Tax Expense'!C98</f>
        <v>705.27200000000005</v>
      </c>
      <c r="D73" s="276" t="str">
        <f>'Current Income Tax Expense'!D98</f>
        <v>- - - - -</v>
      </c>
      <c r="E73" s="276" t="str">
        <f>'Current Income Tax Expense'!E98</f>
        <v>NR</v>
      </c>
      <c r="F73" s="300">
        <f>ROUND(-'Current Income Tax Expense'!F98*0.245866,0)</f>
        <v>15459</v>
      </c>
      <c r="G73" s="300">
        <f t="shared" ref="G73:G110" si="40">IF(E73="U",F73,0)</f>
        <v>0</v>
      </c>
      <c r="H73" s="300">
        <f t="shared" si="33"/>
        <v>0</v>
      </c>
      <c r="I73" s="300">
        <f>-ROUND('Current Income Tax Expense'!I98*0.245866,0)</f>
        <v>0</v>
      </c>
      <c r="J73" s="300">
        <f t="shared" si="34"/>
        <v>0</v>
      </c>
      <c r="K73" s="276" t="str">
        <f>'Current Income Tax Expense'!K98</f>
        <v>NREG</v>
      </c>
      <c r="L73" s="315">
        <f>SUMIF('Allocation Factors'!$B$3:$B$89,'Deferred Income Tax Expense'!K73,'Allocation Factors'!$P$3:$P$89)</f>
        <v>0</v>
      </c>
      <c r="M73" s="300">
        <f t="shared" si="35"/>
        <v>0</v>
      </c>
      <c r="N73" s="300">
        <f t="shared" si="36"/>
        <v>0</v>
      </c>
      <c r="O73" s="300">
        <f t="shared" ref="O73" si="41">SUM(M73:N73)</f>
        <v>0</v>
      </c>
    </row>
    <row r="74" spans="1:15">
      <c r="A74" s="90" t="str">
        <f>'Current Income Tax Expense'!A99</f>
        <v>Reg Liability - Blue Sky Program - UT</v>
      </c>
      <c r="B74" s="276">
        <f>'Current Income Tax Expense'!B99</f>
        <v>287476</v>
      </c>
      <c r="C74" s="314">
        <f>'Current Income Tax Expense'!C99</f>
        <v>705.27300000000002</v>
      </c>
      <c r="D74" s="276" t="str">
        <f>'Current Income Tax Expense'!D99</f>
        <v>- - - - -</v>
      </c>
      <c r="E74" s="276" t="str">
        <f>'Current Income Tax Expense'!E99</f>
        <v>NR</v>
      </c>
      <c r="F74" s="300">
        <f>ROUND(-'Current Income Tax Expense'!F99*0.245866,0)</f>
        <v>-119003</v>
      </c>
      <c r="G74" s="300">
        <f t="shared" si="40"/>
        <v>0</v>
      </c>
      <c r="H74" s="300">
        <f t="shared" si="33"/>
        <v>0</v>
      </c>
      <c r="I74" s="300">
        <f>-ROUND('Current Income Tax Expense'!I99*0.245866,0)</f>
        <v>0</v>
      </c>
      <c r="J74" s="300">
        <f t="shared" si="34"/>
        <v>0</v>
      </c>
      <c r="K74" s="276" t="str">
        <f>'Current Income Tax Expense'!K99</f>
        <v>NREG</v>
      </c>
      <c r="L74" s="315">
        <f>SUMIF('Allocation Factors'!$B$3:$B$89,'Deferred Income Tax Expense'!K74,'Allocation Factors'!$P$3:$P$89)</f>
        <v>0</v>
      </c>
      <c r="M74" s="300">
        <f t="shared" si="35"/>
        <v>0</v>
      </c>
      <c r="N74" s="300">
        <f t="shared" si="36"/>
        <v>0</v>
      </c>
      <c r="O74" s="300">
        <f t="shared" si="28"/>
        <v>0</v>
      </c>
    </row>
    <row r="75" spans="1:15">
      <c r="A75" s="90" t="str">
        <f>'Current Income Tax Expense'!A100</f>
        <v>Reg Liability - Blue Sky Program - ID</v>
      </c>
      <c r="B75" s="276">
        <f>'Current Income Tax Expense'!B100</f>
        <v>287477</v>
      </c>
      <c r="C75" s="314">
        <f>'Current Income Tax Expense'!C100</f>
        <v>705.274</v>
      </c>
      <c r="D75" s="276" t="str">
        <f>'Current Income Tax Expense'!D100</f>
        <v>- - - - -</v>
      </c>
      <c r="E75" s="276" t="str">
        <f>'Current Income Tax Expense'!E100</f>
        <v>NR</v>
      </c>
      <c r="F75" s="300">
        <f>ROUND(-'Current Income Tax Expense'!F100*0.245866,0)</f>
        <v>-12152</v>
      </c>
      <c r="G75" s="300">
        <f t="shared" si="40"/>
        <v>0</v>
      </c>
      <c r="H75" s="300">
        <f t="shared" si="33"/>
        <v>0</v>
      </c>
      <c r="I75" s="300">
        <f>-ROUND('Current Income Tax Expense'!I100*0.245866,0)</f>
        <v>0</v>
      </c>
      <c r="J75" s="300">
        <f t="shared" si="34"/>
        <v>0</v>
      </c>
      <c r="K75" s="276" t="str">
        <f>'Current Income Tax Expense'!K100</f>
        <v>NREG</v>
      </c>
      <c r="L75" s="315">
        <f>SUMIF('Allocation Factors'!$B$3:$B$89,'Deferred Income Tax Expense'!K75,'Allocation Factors'!$P$3:$P$89)</f>
        <v>0</v>
      </c>
      <c r="M75" s="300">
        <f t="shared" si="35"/>
        <v>0</v>
      </c>
      <c r="N75" s="300">
        <f t="shared" si="36"/>
        <v>0</v>
      </c>
      <c r="O75" s="300">
        <f t="shared" ref="O75:O76" si="42">SUM(M75:N75)</f>
        <v>0</v>
      </c>
    </row>
    <row r="76" spans="1:15">
      <c r="A76" s="90" t="str">
        <f>'Current Income Tax Expense'!A101</f>
        <v>Reg Liability - Blue Sky Program - WY</v>
      </c>
      <c r="B76" s="276">
        <f>'Current Income Tax Expense'!B101</f>
        <v>287478</v>
      </c>
      <c r="C76" s="314">
        <f>'Current Income Tax Expense'!C101</f>
        <v>705.27499999999998</v>
      </c>
      <c r="D76" s="276" t="str">
        <f>'Current Income Tax Expense'!D101</f>
        <v>- - - - -</v>
      </c>
      <c r="E76" s="276" t="str">
        <f>'Current Income Tax Expense'!E101</f>
        <v>NR</v>
      </c>
      <c r="F76" s="300">
        <f>ROUND(-'Current Income Tax Expense'!F101*0.245866,0)</f>
        <v>-11473</v>
      </c>
      <c r="G76" s="300">
        <f t="shared" si="40"/>
        <v>0</v>
      </c>
      <c r="H76" s="300">
        <f t="shared" si="33"/>
        <v>0</v>
      </c>
      <c r="I76" s="300">
        <f>-ROUND('Current Income Tax Expense'!I101*0.245866,0)</f>
        <v>0</v>
      </c>
      <c r="J76" s="300">
        <f t="shared" si="34"/>
        <v>0</v>
      </c>
      <c r="K76" s="276" t="str">
        <f>'Current Income Tax Expense'!K101</f>
        <v>NREG</v>
      </c>
      <c r="L76" s="315">
        <f>SUMIF('Allocation Factors'!$B$3:$B$89,'Deferred Income Tax Expense'!K76,'Allocation Factors'!$P$3:$P$89)</f>
        <v>0</v>
      </c>
      <c r="M76" s="300">
        <f t="shared" si="35"/>
        <v>0</v>
      </c>
      <c r="N76" s="300">
        <f t="shared" si="36"/>
        <v>0</v>
      </c>
      <c r="O76" s="300">
        <f t="shared" si="42"/>
        <v>0</v>
      </c>
    </row>
    <row r="77" spans="1:15">
      <c r="A77" s="90" t="str">
        <f>'Current Income Tax Expense'!A102</f>
        <v>Reg Liability - Sale of REC - UT - Noncurrent</v>
      </c>
      <c r="B77" s="276">
        <f>'Current Income Tax Expense'!B102</f>
        <v>287271</v>
      </c>
      <c r="C77" s="314">
        <f>'Current Income Tax Expense'!C102</f>
        <v>705.33600000000001</v>
      </c>
      <c r="D77" s="276" t="str">
        <f>'Current Income Tax Expense'!D102</f>
        <v>- - - - -</v>
      </c>
      <c r="E77" s="276" t="str">
        <f>'Current Income Tax Expense'!E102</f>
        <v>U</v>
      </c>
      <c r="F77" s="300">
        <f>ROUND(-'Current Income Tax Expense'!F102*0.245866,0)</f>
        <v>-74470</v>
      </c>
      <c r="G77" s="300">
        <f t="shared" si="40"/>
        <v>-74470</v>
      </c>
      <c r="H77" s="300">
        <f t="shared" si="33"/>
        <v>-74470</v>
      </c>
      <c r="I77" s="300">
        <f>-ROUND('Current Income Tax Expense'!I102*0.245866,0)</f>
        <v>0</v>
      </c>
      <c r="J77" s="300">
        <f t="shared" si="34"/>
        <v>-74470</v>
      </c>
      <c r="K77" s="276" t="str">
        <f>'Current Income Tax Expense'!K102</f>
        <v>OTHER</v>
      </c>
      <c r="L77" s="315">
        <f>SUMIF('Allocation Factors'!$B$3:$B$89,'Deferred Income Tax Expense'!K77,'Allocation Factors'!$P$3:$P$89)</f>
        <v>0</v>
      </c>
      <c r="M77" s="300">
        <f t="shared" si="35"/>
        <v>0</v>
      </c>
      <c r="N77" s="300">
        <f t="shared" si="36"/>
        <v>0</v>
      </c>
      <c r="O77" s="300">
        <f t="shared" ref="O77:O88" si="43">SUM(M77:N77)</f>
        <v>0</v>
      </c>
    </row>
    <row r="78" spans="1:15">
      <c r="A78" s="90" t="str">
        <f>'Current Income Tax Expense'!A103</f>
        <v>Reg Liability - Excess Income Tax Deferral - CA</v>
      </c>
      <c r="B78" s="276">
        <f>'Current Income Tax Expense'!B103</f>
        <v>287051</v>
      </c>
      <c r="C78" s="314">
        <f>'Current Income Tax Expense'!C103</f>
        <v>705.34</v>
      </c>
      <c r="D78" s="276" t="str">
        <f>'Current Income Tax Expense'!D103</f>
        <v>- - - - -</v>
      </c>
      <c r="E78" s="276" t="str">
        <f>'Current Income Tax Expense'!E103</f>
        <v>U</v>
      </c>
      <c r="F78" s="300">
        <f>ROUND(-'Current Income Tax Expense'!F103*0.245866,0)</f>
        <v>-670715</v>
      </c>
      <c r="G78" s="300">
        <f t="shared" si="40"/>
        <v>-670715</v>
      </c>
      <c r="H78" s="300">
        <f t="shared" si="33"/>
        <v>-670715</v>
      </c>
      <c r="I78" s="300">
        <f>-ROUND('Current Income Tax Expense'!I103*0.245866,0)</f>
        <v>0</v>
      </c>
      <c r="J78" s="300">
        <f t="shared" si="34"/>
        <v>-670715</v>
      </c>
      <c r="K78" s="276" t="str">
        <f>'Current Income Tax Expense'!K103</f>
        <v>OTHER</v>
      </c>
      <c r="L78" s="315">
        <f>SUMIF('Allocation Factors'!$B$3:$B$89,'Deferred Income Tax Expense'!K78,'Allocation Factors'!$P$3:$P$89)</f>
        <v>0</v>
      </c>
      <c r="M78" s="300">
        <f t="shared" si="35"/>
        <v>0</v>
      </c>
      <c r="N78" s="300">
        <f t="shared" si="36"/>
        <v>0</v>
      </c>
      <c r="O78" s="300">
        <f t="shared" ref="O78:O83" si="44">SUM(M78:N78)</f>
        <v>0</v>
      </c>
    </row>
    <row r="79" spans="1:15">
      <c r="A79" s="90" t="str">
        <f>'Current Income Tax Expense'!A104</f>
        <v>Reg Liability - Excess Income Tax Deferral - ID</v>
      </c>
      <c r="B79" s="276">
        <f>'Current Income Tax Expense'!B104</f>
        <v>287052</v>
      </c>
      <c r="C79" s="314">
        <f>'Current Income Tax Expense'!C104</f>
        <v>705.34100000000001</v>
      </c>
      <c r="D79" s="276" t="str">
        <f>'Current Income Tax Expense'!D104</f>
        <v>- - - - -</v>
      </c>
      <c r="E79" s="276" t="str">
        <f>'Current Income Tax Expense'!E104</f>
        <v>U</v>
      </c>
      <c r="F79" s="300">
        <f>ROUND(-'Current Income Tax Expense'!F104*0.245866,0)</f>
        <v>255032</v>
      </c>
      <c r="G79" s="300">
        <f t="shared" si="40"/>
        <v>255032</v>
      </c>
      <c r="H79" s="300">
        <f t="shared" si="33"/>
        <v>255032</v>
      </c>
      <c r="I79" s="300">
        <f>-ROUND('Current Income Tax Expense'!I104*0.245866,0)</f>
        <v>0</v>
      </c>
      <c r="J79" s="300">
        <f t="shared" si="34"/>
        <v>255032</v>
      </c>
      <c r="K79" s="276" t="str">
        <f>'Current Income Tax Expense'!K104</f>
        <v>OTHER</v>
      </c>
      <c r="L79" s="315">
        <f>SUMIF('Allocation Factors'!$B$3:$B$89,'Deferred Income Tax Expense'!K79,'Allocation Factors'!$P$3:$P$89)</f>
        <v>0</v>
      </c>
      <c r="M79" s="300">
        <f t="shared" si="35"/>
        <v>0</v>
      </c>
      <c r="N79" s="300">
        <f t="shared" si="36"/>
        <v>0</v>
      </c>
      <c r="O79" s="300">
        <f t="shared" si="44"/>
        <v>0</v>
      </c>
    </row>
    <row r="80" spans="1:15">
      <c r="A80" s="90" t="str">
        <f>'Current Income Tax Expense'!A105</f>
        <v>Reg Liability - Excess Income Tax Deferral - OR</v>
      </c>
      <c r="B80" s="276">
        <f>'Current Income Tax Expense'!B105</f>
        <v>287053</v>
      </c>
      <c r="C80" s="314">
        <f>'Current Income Tax Expense'!C105</f>
        <v>705.34199999999998</v>
      </c>
      <c r="D80" s="276" t="str">
        <f>'Current Income Tax Expense'!D105</f>
        <v>- - - - -</v>
      </c>
      <c r="E80" s="276" t="str">
        <f>'Current Income Tax Expense'!E105</f>
        <v>U</v>
      </c>
      <c r="F80" s="300">
        <f>ROUND(-'Current Income Tax Expense'!F105*0.245866,0)</f>
        <v>-5469566</v>
      </c>
      <c r="G80" s="300">
        <f t="shared" si="40"/>
        <v>-5469566</v>
      </c>
      <c r="H80" s="300">
        <f t="shared" si="33"/>
        <v>-5469566</v>
      </c>
      <c r="I80" s="300">
        <f>-ROUND('Current Income Tax Expense'!I105*0.245866,0)</f>
        <v>0</v>
      </c>
      <c r="J80" s="300">
        <f t="shared" si="34"/>
        <v>-5469566</v>
      </c>
      <c r="K80" s="276" t="str">
        <f>'Current Income Tax Expense'!K105</f>
        <v>OTHER</v>
      </c>
      <c r="L80" s="315">
        <f>SUMIF('Allocation Factors'!$B$3:$B$89,'Deferred Income Tax Expense'!K80,'Allocation Factors'!$P$3:$P$89)</f>
        <v>0</v>
      </c>
      <c r="M80" s="300">
        <f t="shared" si="35"/>
        <v>0</v>
      </c>
      <c r="N80" s="300">
        <f t="shared" si="36"/>
        <v>0</v>
      </c>
      <c r="O80" s="300">
        <f t="shared" si="44"/>
        <v>0</v>
      </c>
    </row>
    <row r="81" spans="1:15">
      <c r="A81" s="90" t="str">
        <f>'Current Income Tax Expense'!A106</f>
        <v>Reg Liability - Excess Income Tax Deferral - UT</v>
      </c>
      <c r="B81" s="276">
        <f>'Current Income Tax Expense'!B106</f>
        <v>287054</v>
      </c>
      <c r="C81" s="314">
        <f>'Current Income Tax Expense'!C106</f>
        <v>705.34299999999996</v>
      </c>
      <c r="D81" s="276" t="str">
        <f>'Current Income Tax Expense'!D106</f>
        <v>- - - - -</v>
      </c>
      <c r="E81" s="276" t="str">
        <f>'Current Income Tax Expense'!E106</f>
        <v>U</v>
      </c>
      <c r="F81" s="300">
        <f>ROUND(-'Current Income Tax Expense'!F106*0.245866,0)</f>
        <v>7240093</v>
      </c>
      <c r="G81" s="300">
        <f t="shared" si="40"/>
        <v>7240093</v>
      </c>
      <c r="H81" s="300">
        <f t="shared" si="33"/>
        <v>7240093</v>
      </c>
      <c r="I81" s="300">
        <f>-ROUND('Current Income Tax Expense'!I106*0.245866,0)</f>
        <v>0</v>
      </c>
      <c r="J81" s="300">
        <f t="shared" si="34"/>
        <v>7240093</v>
      </c>
      <c r="K81" s="276" t="str">
        <f>'Current Income Tax Expense'!K106</f>
        <v>OTHER</v>
      </c>
      <c r="L81" s="315">
        <f>SUMIF('Allocation Factors'!$B$3:$B$89,'Deferred Income Tax Expense'!K81,'Allocation Factors'!$P$3:$P$89)</f>
        <v>0</v>
      </c>
      <c r="M81" s="300">
        <f t="shared" si="35"/>
        <v>0</v>
      </c>
      <c r="N81" s="300">
        <f t="shared" si="36"/>
        <v>0</v>
      </c>
      <c r="O81" s="300">
        <f t="shared" si="44"/>
        <v>0</v>
      </c>
    </row>
    <row r="82" spans="1:15">
      <c r="A82" s="90" t="str">
        <f>'Current Income Tax Expense'!A107</f>
        <v>Reg Liability - Excess Income Tax Deferral - WA</v>
      </c>
      <c r="B82" s="276">
        <f>'Current Income Tax Expense'!B107</f>
        <v>287055</v>
      </c>
      <c r="C82" s="314">
        <f>'Current Income Tax Expense'!C107</f>
        <v>705.34400000000005</v>
      </c>
      <c r="D82" s="276" t="str">
        <f>'Current Income Tax Expense'!D107</f>
        <v>- - - - -</v>
      </c>
      <c r="E82" s="276" t="str">
        <f>'Current Income Tax Expense'!E107</f>
        <v>U</v>
      </c>
      <c r="F82" s="300">
        <f>ROUND(-'Current Income Tax Expense'!F107*0.245866,0)</f>
        <v>-33599</v>
      </c>
      <c r="G82" s="300">
        <f t="shared" si="40"/>
        <v>-33599</v>
      </c>
      <c r="H82" s="300">
        <f t="shared" si="33"/>
        <v>-33599</v>
      </c>
      <c r="I82" s="300">
        <f>-ROUND('Current Income Tax Expense'!I107*0.245866,0)</f>
        <v>0</v>
      </c>
      <c r="J82" s="300">
        <f t="shared" si="34"/>
        <v>-33599</v>
      </c>
      <c r="K82" s="276" t="str">
        <f>'Current Income Tax Expense'!K107</f>
        <v>OTHER</v>
      </c>
      <c r="L82" s="315">
        <f>SUMIF('Allocation Factors'!$B$3:$B$89,'Deferred Income Tax Expense'!K82,'Allocation Factors'!$P$3:$P$89)</f>
        <v>0</v>
      </c>
      <c r="M82" s="300">
        <f t="shared" si="35"/>
        <v>0</v>
      </c>
      <c r="N82" s="300">
        <f t="shared" si="36"/>
        <v>0</v>
      </c>
      <c r="O82" s="300">
        <f t="shared" si="44"/>
        <v>0</v>
      </c>
    </row>
    <row r="83" spans="1:15">
      <c r="A83" s="90" t="str">
        <f>'Current Income Tax Expense'!A108</f>
        <v>Reg Liability - Excess Income Tax Deferral - WY</v>
      </c>
      <c r="B83" s="276">
        <f>'Current Income Tax Expense'!B108</f>
        <v>287056</v>
      </c>
      <c r="C83" s="314">
        <f>'Current Income Tax Expense'!C108</f>
        <v>705.34500000000003</v>
      </c>
      <c r="D83" s="276" t="str">
        <f>'Current Income Tax Expense'!D108</f>
        <v>- - - - -</v>
      </c>
      <c r="E83" s="276" t="str">
        <f>'Current Income Tax Expense'!E108</f>
        <v>U</v>
      </c>
      <c r="F83" s="300">
        <f>ROUND(-'Current Income Tax Expense'!F108*0.245866,0)</f>
        <v>2375221</v>
      </c>
      <c r="G83" s="300">
        <f t="shared" si="40"/>
        <v>2375221</v>
      </c>
      <c r="H83" s="300">
        <f t="shared" si="33"/>
        <v>2375221</v>
      </c>
      <c r="I83" s="300">
        <f>-ROUND('Current Income Tax Expense'!I108*0.245866,0)</f>
        <v>0</v>
      </c>
      <c r="J83" s="300">
        <f t="shared" si="34"/>
        <v>2375221</v>
      </c>
      <c r="K83" s="276" t="str">
        <f>'Current Income Tax Expense'!K108</f>
        <v>OTHER</v>
      </c>
      <c r="L83" s="315">
        <f>SUMIF('Allocation Factors'!$B$3:$B$89,'Deferred Income Tax Expense'!K83,'Allocation Factors'!$P$3:$P$89)</f>
        <v>0</v>
      </c>
      <c r="M83" s="300">
        <f t="shared" si="35"/>
        <v>0</v>
      </c>
      <c r="N83" s="300">
        <f t="shared" si="36"/>
        <v>0</v>
      </c>
      <c r="O83" s="300">
        <f t="shared" si="44"/>
        <v>0</v>
      </c>
    </row>
    <row r="84" spans="1:15">
      <c r="A84" s="90" t="str">
        <f>'Current Income Tax Expense'!A109</f>
        <v>Reg Liability - Injuries &amp; Damages Reserve - OR</v>
      </c>
      <c r="B84" s="276">
        <f>'Current Income Tax Expense'!B109</f>
        <v>287253</v>
      </c>
      <c r="C84" s="314">
        <f>'Current Income Tax Expense'!C109</f>
        <v>705.4</v>
      </c>
      <c r="D84" s="276" t="str">
        <f>'Current Income Tax Expense'!D109</f>
        <v>- - - - -</v>
      </c>
      <c r="E84" s="276" t="str">
        <f>'Current Income Tax Expense'!E109</f>
        <v>U</v>
      </c>
      <c r="F84" s="300">
        <f>ROUND(-'Current Income Tax Expense'!F109*0.245866,0)</f>
        <v>5287</v>
      </c>
      <c r="G84" s="300">
        <f t="shared" si="40"/>
        <v>5287</v>
      </c>
      <c r="H84" s="300">
        <f t="shared" si="33"/>
        <v>5287</v>
      </c>
      <c r="I84" s="300">
        <f>-ROUND('Current Income Tax Expense'!I109*0.245866,0)</f>
        <v>0</v>
      </c>
      <c r="J84" s="300">
        <f t="shared" si="34"/>
        <v>5287</v>
      </c>
      <c r="K84" s="276" t="str">
        <f>'Current Income Tax Expense'!K109</f>
        <v>OR</v>
      </c>
      <c r="L84" s="315">
        <f>SUMIF('Allocation Factors'!$B$3:$B$89,'Deferred Income Tax Expense'!K84,'Allocation Factors'!$P$3:$P$89)</f>
        <v>0</v>
      </c>
      <c r="M84" s="300">
        <f t="shared" si="35"/>
        <v>0</v>
      </c>
      <c r="N84" s="300">
        <f t="shared" si="36"/>
        <v>0</v>
      </c>
      <c r="O84" s="300">
        <f t="shared" si="43"/>
        <v>0</v>
      </c>
    </row>
    <row r="85" spans="1:15">
      <c r="A85" s="90" t="str">
        <f>'Current Income Tax Expense'!A110</f>
        <v>Reg Liability - GHG Allowance Revenues - CA - Noncurrent</v>
      </c>
      <c r="B85" s="276">
        <f>'Current Income Tax Expense'!B110</f>
        <v>287238</v>
      </c>
      <c r="C85" s="314">
        <f>'Current Income Tax Expense'!C110</f>
        <v>705.42</v>
      </c>
      <c r="D85" s="276" t="str">
        <f>'Current Income Tax Expense'!D110</f>
        <v>- - - - -</v>
      </c>
      <c r="E85" s="276" t="str">
        <f>'Current Income Tax Expense'!E110</f>
        <v>U</v>
      </c>
      <c r="F85" s="300">
        <f>ROUND(-'Current Income Tax Expense'!F110*0.245866,0)</f>
        <v>-282042</v>
      </c>
      <c r="G85" s="300">
        <f t="shared" si="40"/>
        <v>-282042</v>
      </c>
      <c r="H85" s="300">
        <f t="shared" si="33"/>
        <v>-282042</v>
      </c>
      <c r="I85" s="300">
        <f>-ROUND('Current Income Tax Expense'!I110*0.245866,0)</f>
        <v>0</v>
      </c>
      <c r="J85" s="300">
        <f t="shared" si="34"/>
        <v>-282042</v>
      </c>
      <c r="K85" s="276" t="str">
        <f>'Current Income Tax Expense'!K110</f>
        <v>OTHER</v>
      </c>
      <c r="L85" s="315">
        <f>SUMIF('Allocation Factors'!$B$3:$B$89,'Deferred Income Tax Expense'!K85,'Allocation Factors'!$P$3:$P$89)</f>
        <v>0</v>
      </c>
      <c r="M85" s="300">
        <f t="shared" si="35"/>
        <v>0</v>
      </c>
      <c r="N85" s="300">
        <f t="shared" si="36"/>
        <v>0</v>
      </c>
      <c r="O85" s="300">
        <f t="shared" si="43"/>
        <v>0</v>
      </c>
    </row>
    <row r="86" spans="1:15">
      <c r="A86" s="90" t="str">
        <f>'Current Income Tax Expense'!A111</f>
        <v>Reg Liability - Property Insurance Reserve - OR</v>
      </c>
      <c r="B86" s="276">
        <f>'Current Income Tax Expense'!B111</f>
        <v>287917</v>
      </c>
      <c r="C86" s="314">
        <f>'Current Income Tax Expense'!C111</f>
        <v>705.45100000000002</v>
      </c>
      <c r="D86" s="276" t="str">
        <f>'Current Income Tax Expense'!D111</f>
        <v>- - - - -</v>
      </c>
      <c r="E86" s="276" t="str">
        <f>'Current Income Tax Expense'!E111</f>
        <v>U</v>
      </c>
      <c r="F86" s="300">
        <f>ROUND(-'Current Income Tax Expense'!F111*0.245866,0)</f>
        <v>1714597</v>
      </c>
      <c r="G86" s="300">
        <f t="shared" si="40"/>
        <v>1714597</v>
      </c>
      <c r="H86" s="300">
        <f t="shared" si="33"/>
        <v>1714597</v>
      </c>
      <c r="I86" s="300">
        <f>-ROUND('Current Income Tax Expense'!I111*0.245866,0)</f>
        <v>0</v>
      </c>
      <c r="J86" s="300">
        <f t="shared" si="34"/>
        <v>1714597</v>
      </c>
      <c r="K86" s="276" t="str">
        <f>'Current Income Tax Expense'!K111</f>
        <v>OR</v>
      </c>
      <c r="L86" s="315">
        <f>SUMIF('Allocation Factors'!$B$3:$B$89,'Deferred Income Tax Expense'!K86,'Allocation Factors'!$P$3:$P$89)</f>
        <v>0</v>
      </c>
      <c r="M86" s="300">
        <f t="shared" si="35"/>
        <v>0</v>
      </c>
      <c r="N86" s="300">
        <f t="shared" si="36"/>
        <v>0</v>
      </c>
      <c r="O86" s="300">
        <f t="shared" si="43"/>
        <v>0</v>
      </c>
    </row>
    <row r="87" spans="1:15">
      <c r="A87" s="90" t="str">
        <f>'Current Income Tax Expense'!A112</f>
        <v>Reg Liability - Property Insurance Reserve - ID</v>
      </c>
      <c r="B87" s="276">
        <f>'Current Income Tax Expense'!B112</f>
        <v>287257</v>
      </c>
      <c r="C87" s="314">
        <f>'Current Income Tax Expense'!C112</f>
        <v>705.45299999999997</v>
      </c>
      <c r="D87" s="276" t="str">
        <f>'Current Income Tax Expense'!D112</f>
        <v>- - - - -</v>
      </c>
      <c r="E87" s="276" t="str">
        <f>'Current Income Tax Expense'!E112</f>
        <v>U</v>
      </c>
      <c r="F87" s="300">
        <f>ROUND(-'Current Income Tax Expense'!F112*0.245866,0)</f>
        <v>-27917</v>
      </c>
      <c r="G87" s="300">
        <f t="shared" si="40"/>
        <v>-27917</v>
      </c>
      <c r="H87" s="300">
        <f t="shared" si="33"/>
        <v>-27917</v>
      </c>
      <c r="I87" s="300">
        <f>-ROUND('Current Income Tax Expense'!I112*0.245866,0)</f>
        <v>0</v>
      </c>
      <c r="J87" s="300">
        <f t="shared" si="34"/>
        <v>-27917</v>
      </c>
      <c r="K87" s="276" t="str">
        <f>'Current Income Tax Expense'!K112</f>
        <v>IDU</v>
      </c>
      <c r="L87" s="315">
        <f>SUMIF('Allocation Factors'!$B$3:$B$89,'Deferred Income Tax Expense'!K87,'Allocation Factors'!$P$3:$P$89)</f>
        <v>0</v>
      </c>
      <c r="M87" s="300">
        <f t="shared" si="35"/>
        <v>0</v>
      </c>
      <c r="N87" s="300">
        <f t="shared" si="36"/>
        <v>0</v>
      </c>
      <c r="O87" s="300">
        <f t="shared" si="43"/>
        <v>0</v>
      </c>
    </row>
    <row r="88" spans="1:15">
      <c r="A88" s="90" t="str">
        <f>'Current Income Tax Expense'!A113</f>
        <v>Reg Liability - Property Insurance Reserve - WY</v>
      </c>
      <c r="B88" s="276">
        <f>'Current Income Tax Expense'!B113</f>
        <v>287259</v>
      </c>
      <c r="C88" s="314">
        <f>'Current Income Tax Expense'!C113</f>
        <v>705.45500000000004</v>
      </c>
      <c r="D88" s="276" t="str">
        <f>'Current Income Tax Expense'!D113</f>
        <v>- - - - -</v>
      </c>
      <c r="E88" s="276" t="str">
        <f>'Current Income Tax Expense'!E113</f>
        <v>U</v>
      </c>
      <c r="F88" s="300">
        <f>ROUND(-'Current Income Tax Expense'!F113*0.245866,0)</f>
        <v>-86006</v>
      </c>
      <c r="G88" s="300">
        <f t="shared" si="40"/>
        <v>-86006</v>
      </c>
      <c r="H88" s="300">
        <f t="shared" si="33"/>
        <v>-86006</v>
      </c>
      <c r="I88" s="300">
        <f>-ROUND('Current Income Tax Expense'!I113*0.245866,0)</f>
        <v>0</v>
      </c>
      <c r="J88" s="300">
        <f t="shared" si="34"/>
        <v>-86006</v>
      </c>
      <c r="K88" s="276" t="str">
        <f>'Current Income Tax Expense'!K113</f>
        <v>WYP</v>
      </c>
      <c r="L88" s="315">
        <f>SUMIF('Allocation Factors'!$B$3:$B$89,'Deferred Income Tax Expense'!K88,'Allocation Factors'!$P$3:$P$89)</f>
        <v>0</v>
      </c>
      <c r="M88" s="300">
        <f t="shared" si="35"/>
        <v>0</v>
      </c>
      <c r="N88" s="300">
        <f t="shared" si="36"/>
        <v>0</v>
      </c>
      <c r="O88" s="300">
        <f t="shared" si="43"/>
        <v>0</v>
      </c>
    </row>
    <row r="89" spans="1:15">
      <c r="A89" s="90" t="str">
        <f>'Current Income Tax Expense'!A114</f>
        <v>Reg Liability - Deferred Excess NPC - OR - Noncurrent</v>
      </c>
      <c r="B89" s="276">
        <f>'Current Income Tax Expense'!B114</f>
        <v>287233</v>
      </c>
      <c r="C89" s="314">
        <f>'Current Income Tax Expense'!C114</f>
        <v>705.51499999999999</v>
      </c>
      <c r="D89" s="276" t="str">
        <f>'Current Income Tax Expense'!D114</f>
        <v>- - - - -</v>
      </c>
      <c r="E89" s="276" t="str">
        <f>'Current Income Tax Expense'!E114</f>
        <v>U</v>
      </c>
      <c r="F89" s="300">
        <f>ROUND(-'Current Income Tax Expense'!F114*0.245866,0)</f>
        <v>-1467458</v>
      </c>
      <c r="G89" s="300">
        <f t="shared" si="40"/>
        <v>-1467458</v>
      </c>
      <c r="H89" s="300">
        <f t="shared" si="33"/>
        <v>-1467458</v>
      </c>
      <c r="I89" s="300">
        <f>-ROUND('Current Income Tax Expense'!I114*0.245866,0)</f>
        <v>0</v>
      </c>
      <c r="J89" s="300">
        <f t="shared" si="34"/>
        <v>-1467458</v>
      </c>
      <c r="K89" s="276" t="str">
        <f>'Current Income Tax Expense'!K114</f>
        <v>OTHER</v>
      </c>
      <c r="L89" s="315">
        <f>SUMIF('Allocation Factors'!$B$3:$B$89,'Deferred Income Tax Expense'!K89,'Allocation Factors'!$P$3:$P$89)</f>
        <v>0</v>
      </c>
      <c r="M89" s="300">
        <f t="shared" si="35"/>
        <v>0</v>
      </c>
      <c r="N89" s="300">
        <f t="shared" si="36"/>
        <v>0</v>
      </c>
      <c r="O89" s="300">
        <f t="shared" ref="O89" si="45">SUM(M89:N89)</f>
        <v>0</v>
      </c>
    </row>
    <row r="90" spans="1:15">
      <c r="A90" s="90" t="str">
        <f>'Current Income Tax Expense'!A115</f>
        <v>Reg Liability - Deferred Excess NPC - WA - Noncurrent</v>
      </c>
      <c r="B90" s="276">
        <f>'Current Income Tax Expense'!B115</f>
        <v>287231</v>
      </c>
      <c r="C90" s="314">
        <f>'Current Income Tax Expense'!C115</f>
        <v>705.51900000000001</v>
      </c>
      <c r="D90" s="276" t="str">
        <f>'Current Income Tax Expense'!D115</f>
        <v>- - - - -</v>
      </c>
      <c r="E90" s="276" t="str">
        <f>'Current Income Tax Expense'!E115</f>
        <v>U</v>
      </c>
      <c r="F90" s="300">
        <f>ROUND(-'Current Income Tax Expense'!F115*0.245866,0)</f>
        <v>2262376</v>
      </c>
      <c r="G90" s="300">
        <f t="shared" si="40"/>
        <v>2262376</v>
      </c>
      <c r="H90" s="300">
        <f t="shared" si="33"/>
        <v>2262376</v>
      </c>
      <c r="I90" s="300">
        <f>-ROUND('Current Income Tax Expense'!I115*0.245866,0)</f>
        <v>0</v>
      </c>
      <c r="J90" s="300">
        <f t="shared" si="34"/>
        <v>2262376</v>
      </c>
      <c r="K90" s="276" t="str">
        <f>'Current Income Tax Expense'!K115</f>
        <v>OTHER</v>
      </c>
      <c r="L90" s="315">
        <f>SUMIF('Allocation Factors'!$B$3:$B$89,'Deferred Income Tax Expense'!K90,'Allocation Factors'!$P$3:$P$89)</f>
        <v>0</v>
      </c>
      <c r="M90" s="300">
        <f t="shared" si="35"/>
        <v>0</v>
      </c>
      <c r="N90" s="300">
        <f t="shared" si="36"/>
        <v>0</v>
      </c>
      <c r="O90" s="300">
        <f t="shared" ref="O90" si="46">SUM(M90:N90)</f>
        <v>0</v>
      </c>
    </row>
    <row r="91" spans="1:15">
      <c r="A91" s="90" t="str">
        <f>'Current Income Tax Expense'!A116</f>
        <v>Reg Liability - Deferred Excess NPC - WY - Noncurrent</v>
      </c>
      <c r="B91" s="276">
        <f>'Current Income Tax Expense'!B116</f>
        <v>287230</v>
      </c>
      <c r="C91" s="314">
        <f>'Current Income Tax Expense'!C116</f>
        <v>705.52099999999996</v>
      </c>
      <c r="D91" s="276" t="str">
        <f>'Current Income Tax Expense'!D116</f>
        <v>- - - - -</v>
      </c>
      <c r="E91" s="276" t="str">
        <f>'Current Income Tax Expense'!E116</f>
        <v>U</v>
      </c>
      <c r="F91" s="300">
        <f>ROUND(-'Current Income Tax Expense'!F116*0.245866,0)</f>
        <v>2183133</v>
      </c>
      <c r="G91" s="300">
        <f t="shared" si="40"/>
        <v>2183133</v>
      </c>
      <c r="H91" s="300">
        <f t="shared" si="33"/>
        <v>2183133</v>
      </c>
      <c r="I91" s="300">
        <f>-ROUND('Current Income Tax Expense'!I116*0.245866,0)</f>
        <v>0</v>
      </c>
      <c r="J91" s="300">
        <f t="shared" si="34"/>
        <v>2183133</v>
      </c>
      <c r="K91" s="276" t="str">
        <f>'Current Income Tax Expense'!K116</f>
        <v>OTHER</v>
      </c>
      <c r="L91" s="315">
        <f>SUMIF('Allocation Factors'!$B$3:$B$89,'Deferred Income Tax Expense'!K91,'Allocation Factors'!$P$3:$P$89)</f>
        <v>0</v>
      </c>
      <c r="M91" s="300">
        <f t="shared" si="35"/>
        <v>0</v>
      </c>
      <c r="N91" s="300">
        <f t="shared" si="36"/>
        <v>0</v>
      </c>
      <c r="O91" s="300">
        <f t="shared" ref="O91" si="47">SUM(M91:N91)</f>
        <v>0</v>
      </c>
    </row>
    <row r="92" spans="1:15">
      <c r="A92" s="90" t="str">
        <f>'Current Income Tax Expense'!A117</f>
        <v>Reg Liability - Solar Feed-in Tariff Deferral - CA - Noncurrent</v>
      </c>
      <c r="B92" s="276">
        <f>'Current Income Tax Expense'!B117</f>
        <v>287229</v>
      </c>
      <c r="C92" s="314">
        <f>'Current Income Tax Expense'!C117</f>
        <v>705.52700000000004</v>
      </c>
      <c r="D92" s="276" t="str">
        <f>'Current Income Tax Expense'!D117</f>
        <v>- - - - -</v>
      </c>
      <c r="E92" s="276" t="str">
        <f>'Current Income Tax Expense'!E117</f>
        <v>U</v>
      </c>
      <c r="F92" s="300">
        <f>ROUND(-'Current Income Tax Expense'!F117*0.245866,0)</f>
        <v>109779</v>
      </c>
      <c r="G92" s="300">
        <f t="shared" si="40"/>
        <v>109779</v>
      </c>
      <c r="H92" s="300">
        <f t="shared" si="33"/>
        <v>109779</v>
      </c>
      <c r="I92" s="300">
        <f>-ROUND('Current Income Tax Expense'!I117*0.245866,0)</f>
        <v>0</v>
      </c>
      <c r="J92" s="300">
        <f t="shared" si="34"/>
        <v>109779</v>
      </c>
      <c r="K92" s="276" t="str">
        <f>'Current Income Tax Expense'!K117</f>
        <v>OTHER</v>
      </c>
      <c r="L92" s="315">
        <f>SUMIF('Allocation Factors'!$B$3:$B$89,'Deferred Income Tax Expense'!K92,'Allocation Factors'!$P$3:$P$89)</f>
        <v>0</v>
      </c>
      <c r="M92" s="300">
        <f t="shared" si="35"/>
        <v>0</v>
      </c>
      <c r="N92" s="300">
        <f t="shared" si="36"/>
        <v>0</v>
      </c>
      <c r="O92" s="300">
        <f t="shared" ref="O92" si="48">SUM(M92:N92)</f>
        <v>0</v>
      </c>
    </row>
    <row r="93" spans="1:15">
      <c r="A93" s="90" t="str">
        <f>'Current Income Tax Expense'!A118</f>
        <v>Reg Liability - Solar Incentive Program - UT - Noncurrent</v>
      </c>
      <c r="B93" s="276">
        <f>'Current Income Tax Expense'!B118</f>
        <v>287227</v>
      </c>
      <c r="C93" s="314">
        <f>'Current Income Tax Expense'!C118</f>
        <v>705.53099999999995</v>
      </c>
      <c r="D93" s="276" t="str">
        <f>'Current Income Tax Expense'!D118</f>
        <v>- - - - -</v>
      </c>
      <c r="E93" s="276" t="str">
        <f>'Current Income Tax Expense'!E118</f>
        <v>U</v>
      </c>
      <c r="F93" s="300">
        <f>ROUND(-'Current Income Tax Expense'!F118*0.245866,0)</f>
        <v>-793487</v>
      </c>
      <c r="G93" s="300">
        <f t="shared" si="40"/>
        <v>-793487</v>
      </c>
      <c r="H93" s="300">
        <f t="shared" si="33"/>
        <v>-793487</v>
      </c>
      <c r="I93" s="300">
        <f>-ROUND('Current Income Tax Expense'!I118*0.245866,0)</f>
        <v>0</v>
      </c>
      <c r="J93" s="300">
        <f t="shared" si="34"/>
        <v>-793487</v>
      </c>
      <c r="K93" s="276" t="str">
        <f>'Current Income Tax Expense'!K118</f>
        <v>OTHER</v>
      </c>
      <c r="L93" s="315">
        <f>SUMIF('Allocation Factors'!$B$3:$B$89,'Deferred Income Tax Expense'!K93,'Allocation Factors'!$P$3:$P$89)</f>
        <v>0</v>
      </c>
      <c r="M93" s="300">
        <f t="shared" si="35"/>
        <v>0</v>
      </c>
      <c r="N93" s="300">
        <f t="shared" si="36"/>
        <v>0</v>
      </c>
      <c r="O93" s="300">
        <f t="shared" ref="O93" si="49">SUM(M93:N93)</f>
        <v>0</v>
      </c>
    </row>
    <row r="94" spans="1:15">
      <c r="A94" s="90" t="str">
        <f>'Current Income Tax Expense'!A119</f>
        <v>Reg Liability - Oregon Clean Fuels Program</v>
      </c>
      <c r="B94" s="276">
        <f>'Current Income Tax Expense'!B119</f>
        <v>287184</v>
      </c>
      <c r="C94" s="314">
        <f>'Current Income Tax Expense'!C119</f>
        <v>705.60500000000002</v>
      </c>
      <c r="D94" s="276" t="str">
        <f>'Current Income Tax Expense'!D119</f>
        <v>- - - - -</v>
      </c>
      <c r="E94" s="276" t="str">
        <f>'Current Income Tax Expense'!E119</f>
        <v>U</v>
      </c>
      <c r="F94" s="300">
        <f>ROUND(-'Current Income Tax Expense'!F119*0.245866,0)</f>
        <v>-515550</v>
      </c>
      <c r="G94" s="300">
        <f t="shared" si="40"/>
        <v>-515550</v>
      </c>
      <c r="H94" s="300">
        <f t="shared" si="33"/>
        <v>-515550</v>
      </c>
      <c r="I94" s="300">
        <f>-ROUND('Current Income Tax Expense'!I119*0.245866,0)</f>
        <v>0</v>
      </c>
      <c r="J94" s="300">
        <f t="shared" si="34"/>
        <v>-515550</v>
      </c>
      <c r="K94" s="276" t="str">
        <f>'Current Income Tax Expense'!K119</f>
        <v>OTHER</v>
      </c>
      <c r="L94" s="315">
        <f>SUMIF('Allocation Factors'!$B$3:$B$89,'Deferred Income Tax Expense'!K94,'Allocation Factors'!$P$3:$P$89)</f>
        <v>0</v>
      </c>
      <c r="M94" s="300">
        <f t="shared" si="35"/>
        <v>0</v>
      </c>
      <c r="N94" s="300">
        <f t="shared" ref="N94" si="50">ROUND(SUM(I94:I94)*L94,0)</f>
        <v>0</v>
      </c>
      <c r="O94" s="300">
        <f t="shared" ref="O94" si="51">SUM(M94:N94)</f>
        <v>0</v>
      </c>
    </row>
    <row r="95" spans="1:15">
      <c r="A95" s="90" t="str">
        <f>'Current Income Tax Expense'!A120</f>
        <v>MCI FOG Wire Lease</v>
      </c>
      <c r="B95" s="276">
        <f>'Current Income Tax Expense'!B120</f>
        <v>287337</v>
      </c>
      <c r="C95" s="314">
        <f>'Current Income Tax Expense'!C120</f>
        <v>715.10500000000002</v>
      </c>
      <c r="D95" s="276" t="str">
        <f>'Current Income Tax Expense'!D120</f>
        <v>- - - - -</v>
      </c>
      <c r="E95" s="276" t="str">
        <f>'Current Income Tax Expense'!E120</f>
        <v>U</v>
      </c>
      <c r="F95" s="300">
        <f>ROUND(-'Current Income Tax Expense'!F120*0.245866,0)</f>
        <v>114577</v>
      </c>
      <c r="G95" s="300">
        <f t="shared" si="40"/>
        <v>114577</v>
      </c>
      <c r="H95" s="300">
        <f t="shared" si="33"/>
        <v>114577</v>
      </c>
      <c r="I95" s="300">
        <f>-ROUND('Current Income Tax Expense'!I120*0.245866,0)</f>
        <v>0</v>
      </c>
      <c r="J95" s="300">
        <f t="shared" si="34"/>
        <v>114577</v>
      </c>
      <c r="K95" s="276" t="str">
        <f>'Current Income Tax Expense'!K120</f>
        <v>SG</v>
      </c>
      <c r="L95" s="315">
        <f>SUMIF('Allocation Factors'!$B$3:$B$89,'Deferred Income Tax Expense'!K95,'Allocation Factors'!$P$3:$P$89)</f>
        <v>7.8111041399714837E-2</v>
      </c>
      <c r="M95" s="300">
        <f t="shared" si="35"/>
        <v>8950</v>
      </c>
      <c r="N95" s="300">
        <f t="shared" si="36"/>
        <v>0</v>
      </c>
      <c r="O95" s="300">
        <f t="shared" si="28"/>
        <v>8950</v>
      </c>
    </row>
    <row r="96" spans="1:15">
      <c r="A96" s="90" t="str">
        <f>'Current Income Tax Expense'!A121</f>
        <v>Reg Liability - BPA Balancing Account - WA</v>
      </c>
      <c r="B96" s="276">
        <f>'Current Income Tax Expense'!B121</f>
        <v>287316</v>
      </c>
      <c r="C96" s="314">
        <f>'Current Income Tax Expense'!C121</f>
        <v>715.72</v>
      </c>
      <c r="D96" s="276" t="str">
        <f>'Current Income Tax Expense'!D121</f>
        <v>- - - - -</v>
      </c>
      <c r="E96" s="276" t="str">
        <f>'Current Income Tax Expense'!E121</f>
        <v>U</v>
      </c>
      <c r="F96" s="300">
        <f>ROUND(-'Current Income Tax Expense'!F121*0.245866,0)</f>
        <v>110817</v>
      </c>
      <c r="G96" s="300">
        <f t="shared" si="40"/>
        <v>110817</v>
      </c>
      <c r="H96" s="300">
        <f t="shared" si="33"/>
        <v>110817</v>
      </c>
      <c r="I96" s="300">
        <f>-ROUND('Current Income Tax Expense'!I121*0.245866,0)</f>
        <v>0</v>
      </c>
      <c r="J96" s="300">
        <f t="shared" si="34"/>
        <v>110817</v>
      </c>
      <c r="K96" s="276" t="str">
        <f>'Current Income Tax Expense'!K121</f>
        <v>OTHER</v>
      </c>
      <c r="L96" s="315">
        <f>SUMIF('Allocation Factors'!$B$3:$B$89,'Deferred Income Tax Expense'!K96,'Allocation Factors'!$P$3:$P$89)</f>
        <v>0</v>
      </c>
      <c r="M96" s="300">
        <f t="shared" si="35"/>
        <v>0</v>
      </c>
      <c r="N96" s="300">
        <f t="shared" si="36"/>
        <v>0</v>
      </c>
      <c r="O96" s="300">
        <f t="shared" si="28"/>
        <v>0</v>
      </c>
    </row>
    <row r="97" spans="1:15">
      <c r="A97" s="90" t="str">
        <f>'Current Income Tax Expense'!A122</f>
        <v>Chehalis WA EFSEC C02 Mitigation Obligation</v>
      </c>
      <c r="B97" s="276">
        <f>'Current Income Tax Expense'!B122</f>
        <v>287219</v>
      </c>
      <c r="C97" s="314">
        <f>'Current Income Tax Expense'!C122</f>
        <v>715.81</v>
      </c>
      <c r="D97" s="276" t="str">
        <f>'Current Income Tax Expense'!D122</f>
        <v>- - - - -</v>
      </c>
      <c r="E97" s="276" t="str">
        <f>'Current Income Tax Expense'!E122</f>
        <v>U</v>
      </c>
      <c r="F97" s="300">
        <f>ROUND(-'Current Income Tax Expense'!F122*0.245866,0)</f>
        <v>30689</v>
      </c>
      <c r="G97" s="300">
        <f t="shared" si="40"/>
        <v>30689</v>
      </c>
      <c r="H97" s="300">
        <f t="shared" si="33"/>
        <v>30689</v>
      </c>
      <c r="I97" s="300">
        <f>-ROUND('Current Income Tax Expense'!I122*0.245866,0)</f>
        <v>0</v>
      </c>
      <c r="J97" s="300">
        <f t="shared" si="34"/>
        <v>30689</v>
      </c>
      <c r="K97" s="276" t="str">
        <f>'Current Income Tax Expense'!K122</f>
        <v>CAGW</v>
      </c>
      <c r="L97" s="315">
        <f>SUMIF('Allocation Factors'!$B$3:$B$89,'Deferred Income Tax Expense'!K97,'Allocation Factors'!$P$3:$P$89)</f>
        <v>0.21577192756641544</v>
      </c>
      <c r="M97" s="300">
        <f t="shared" si="35"/>
        <v>6622</v>
      </c>
      <c r="N97" s="300">
        <f t="shared" ref="N97:N110" si="52">ROUND(SUM(I97:I97)*L97,0)</f>
        <v>0</v>
      </c>
      <c r="O97" s="300">
        <f t="shared" ref="O97" si="53">SUM(M97:N97)</f>
        <v>6622</v>
      </c>
    </row>
    <row r="98" spans="1:15">
      <c r="A98" s="90" t="str">
        <f>'Current Income Tax Expense'!A123</f>
        <v>Pension/Retirement Accrual</v>
      </c>
      <c r="B98" s="276">
        <f>'Current Income Tax Expense'!B123</f>
        <v>287327</v>
      </c>
      <c r="C98" s="314">
        <f>'Current Income Tax Expense'!C123</f>
        <v>720.3</v>
      </c>
      <c r="D98" s="276" t="str">
        <f>'Current Income Tax Expense'!D123</f>
        <v>- - - - -</v>
      </c>
      <c r="E98" s="276" t="str">
        <f>'Current Income Tax Expense'!E123</f>
        <v>U</v>
      </c>
      <c r="F98" s="300">
        <f>ROUND(-'Current Income Tax Expense'!F123*0.245866,0)</f>
        <v>35293</v>
      </c>
      <c r="G98" s="300">
        <f t="shared" si="40"/>
        <v>35293</v>
      </c>
      <c r="H98" s="300">
        <f t="shared" si="33"/>
        <v>35293</v>
      </c>
      <c r="I98" s="300">
        <f>-ROUND('Current Income Tax Expense'!I123*0.245866,0)</f>
        <v>0</v>
      </c>
      <c r="J98" s="300">
        <f t="shared" si="34"/>
        <v>35293</v>
      </c>
      <c r="K98" s="276" t="str">
        <f>'Current Income Tax Expense'!K123</f>
        <v>SO</v>
      </c>
      <c r="L98" s="315">
        <f>SUMIF('Allocation Factors'!$B$3:$B$89,'Deferred Income Tax Expense'!K98,'Allocation Factors'!$P$3:$P$89)</f>
        <v>6.7017620954721469E-2</v>
      </c>
      <c r="M98" s="300">
        <f t="shared" si="35"/>
        <v>2365</v>
      </c>
      <c r="N98" s="300">
        <f t="shared" si="52"/>
        <v>0</v>
      </c>
      <c r="O98" s="300">
        <f t="shared" ref="O98" si="54">SUM(M98:N98)</f>
        <v>2365</v>
      </c>
    </row>
    <row r="99" spans="1:15">
      <c r="A99" s="90" t="str">
        <f>'Current Income Tax Expense'!A124</f>
        <v>Western Coal Carrier Retiree Medical Accrual</v>
      </c>
      <c r="B99" s="276">
        <f>'Current Income Tax Expense'!B124</f>
        <v>287447</v>
      </c>
      <c r="C99" s="314">
        <f>'Current Income Tax Expense'!C124</f>
        <v>720.83</v>
      </c>
      <c r="D99" s="276" t="str">
        <f>'Current Income Tax Expense'!D124</f>
        <v>- - - - -</v>
      </c>
      <c r="E99" s="276" t="str">
        <f>'Current Income Tax Expense'!E124</f>
        <v>NR</v>
      </c>
      <c r="F99" s="300">
        <f>ROUND(-'Current Income Tax Expense'!F124*0.245866,0)</f>
        <v>37364</v>
      </c>
      <c r="G99" s="300">
        <f t="shared" si="40"/>
        <v>0</v>
      </c>
      <c r="H99" s="300">
        <f t="shared" ref="H99:H110" si="55">IF(E99="U",G99,0)</f>
        <v>0</v>
      </c>
      <c r="I99" s="300">
        <f>-ROUND('Current Income Tax Expense'!I124*0.245866,0)</f>
        <v>0</v>
      </c>
      <c r="J99" s="300">
        <f t="shared" ref="J99:J110" si="56">SUM(H99:I99)</f>
        <v>0</v>
      </c>
      <c r="K99" s="276" t="str">
        <f>'Current Income Tax Expense'!K124</f>
        <v>NREG</v>
      </c>
      <c r="L99" s="315">
        <f>SUMIF('Allocation Factors'!$B$3:$B$89,'Deferred Income Tax Expense'!K99,'Allocation Factors'!$P$3:$P$89)</f>
        <v>0</v>
      </c>
      <c r="M99" s="300">
        <f t="shared" ref="M99:M110" si="57">ROUND(H99*L99,0)</f>
        <v>0</v>
      </c>
      <c r="N99" s="300">
        <f t="shared" si="52"/>
        <v>0</v>
      </c>
      <c r="O99" s="300">
        <f t="shared" si="28"/>
        <v>0</v>
      </c>
    </row>
    <row r="100" spans="1:15">
      <c r="A100" s="90" t="str">
        <f>'Current Income Tax Expense'!A125</f>
        <v>FAS 133 Derivatives - Noncurrent</v>
      </c>
      <c r="B100" s="276">
        <f>'Current Income Tax Expense'!B125</f>
        <v>287336</v>
      </c>
      <c r="C100" s="314">
        <f>'Current Income Tax Expense'!C125</f>
        <v>730.12</v>
      </c>
      <c r="D100" s="276" t="str">
        <f>'Current Income Tax Expense'!D125</f>
        <v>- - - - -</v>
      </c>
      <c r="E100" s="276" t="str">
        <f>'Current Income Tax Expense'!E125</f>
        <v>NR</v>
      </c>
      <c r="F100" s="300">
        <f>ROUND(-'Current Income Tax Expense'!F125*0.245866,0)</f>
        <v>3962681</v>
      </c>
      <c r="G100" s="300">
        <f t="shared" si="40"/>
        <v>0</v>
      </c>
      <c r="H100" s="300">
        <f t="shared" si="55"/>
        <v>0</v>
      </c>
      <c r="I100" s="300">
        <f>-ROUND('Current Income Tax Expense'!I125*0.245866,0)</f>
        <v>0</v>
      </c>
      <c r="J100" s="300">
        <f t="shared" si="56"/>
        <v>0</v>
      </c>
      <c r="K100" s="269" t="str">
        <f>'Current Income Tax Expense'!K125</f>
        <v>NREG</v>
      </c>
      <c r="L100" s="315">
        <f>SUMIF('Allocation Factors'!$B$3:$B$89,'Deferred Income Tax Expense'!K100,'Allocation Factors'!$P$3:$P$89)</f>
        <v>0</v>
      </c>
      <c r="M100" s="300">
        <f t="shared" si="57"/>
        <v>0</v>
      </c>
      <c r="N100" s="300">
        <f t="shared" si="52"/>
        <v>0</v>
      </c>
      <c r="O100" s="300">
        <f t="shared" si="28"/>
        <v>0</v>
      </c>
    </row>
    <row r="101" spans="1:15">
      <c r="A101" s="90" t="str">
        <f>'Current Income Tax Expense'!A126</f>
        <v>Post Merger Loss - Reacquired Debt</v>
      </c>
      <c r="B101" s="276">
        <f>'Current Income Tax Expense'!B126</f>
        <v>287675</v>
      </c>
      <c r="C101" s="314">
        <f>'Current Income Tax Expense'!C126</f>
        <v>740.1</v>
      </c>
      <c r="D101" s="276" t="str">
        <f>'Current Income Tax Expense'!D126</f>
        <v>- - - - -</v>
      </c>
      <c r="E101" s="276" t="str">
        <f>'Current Income Tax Expense'!E126</f>
        <v>U</v>
      </c>
      <c r="F101" s="300">
        <f>ROUND(-'Current Income Tax Expense'!F126*0.245866,0)</f>
        <v>-143812</v>
      </c>
      <c r="G101" s="300">
        <f t="shared" si="40"/>
        <v>-143812</v>
      </c>
      <c r="H101" s="300">
        <f t="shared" si="55"/>
        <v>-143812</v>
      </c>
      <c r="I101" s="300">
        <f>-ROUND('Current Income Tax Expense'!I126*0.245866,0)</f>
        <v>0</v>
      </c>
      <c r="J101" s="300">
        <f t="shared" si="56"/>
        <v>-143812</v>
      </c>
      <c r="K101" s="269" t="str">
        <f>'Current Income Tax Expense'!K126</f>
        <v>SNP</v>
      </c>
      <c r="L101" s="315">
        <f>SUMIF('Allocation Factors'!$B$3:$B$89,'Deferred Income Tax Expense'!K101,'Allocation Factors'!$P$3:$P$89)</f>
        <v>6.0894111271351227E-2</v>
      </c>
      <c r="M101" s="300">
        <f t="shared" si="57"/>
        <v>-8757</v>
      </c>
      <c r="N101" s="300">
        <f t="shared" si="52"/>
        <v>0</v>
      </c>
      <c r="O101" s="300">
        <f t="shared" si="28"/>
        <v>-8757</v>
      </c>
    </row>
    <row r="102" spans="1:15">
      <c r="A102" s="90" t="str">
        <f>'Current Income Tax Expense'!A127</f>
        <v>Contra Receivable from Joint Owners</v>
      </c>
      <c r="B102" s="276">
        <f>'Current Income Tax Expense'!B127</f>
        <v>287214</v>
      </c>
      <c r="C102" s="314">
        <f>'Current Income Tax Expense'!C127</f>
        <v>910.245</v>
      </c>
      <c r="D102" s="276" t="str">
        <f>'Current Income Tax Expense'!D127</f>
        <v>- - - - -</v>
      </c>
      <c r="E102" s="276" t="str">
        <f>'Current Income Tax Expense'!E127</f>
        <v>U</v>
      </c>
      <c r="F102" s="300">
        <f>ROUND(-'Current Income Tax Expense'!F127*0.245866,0)</f>
        <v>63240</v>
      </c>
      <c r="G102" s="300">
        <f t="shared" si="40"/>
        <v>63240</v>
      </c>
      <c r="H102" s="300">
        <f t="shared" si="55"/>
        <v>63240</v>
      </c>
      <c r="I102" s="300">
        <f>-ROUND('Current Income Tax Expense'!I127*0.245866,0)</f>
        <v>0</v>
      </c>
      <c r="J102" s="300">
        <f t="shared" si="56"/>
        <v>63240</v>
      </c>
      <c r="K102" s="269" t="str">
        <f>'Current Income Tax Expense'!K127</f>
        <v>SO</v>
      </c>
      <c r="L102" s="315">
        <f>SUMIF('Allocation Factors'!$B$3:$B$89,'Deferred Income Tax Expense'!K102,'Allocation Factors'!$P$3:$P$89)</f>
        <v>6.7017620954721469E-2</v>
      </c>
      <c r="M102" s="300">
        <f t="shared" si="57"/>
        <v>4238</v>
      </c>
      <c r="N102" s="300">
        <f t="shared" si="52"/>
        <v>0</v>
      </c>
      <c r="O102" s="300">
        <f t="shared" ref="O102" si="58">SUM(M102:N102)</f>
        <v>4238</v>
      </c>
    </row>
    <row r="103" spans="1:15">
      <c r="A103" s="90" t="str">
        <f>'Current Income Tax Expense'!A128</f>
        <v>Deseret Settlement Receivable</v>
      </c>
      <c r="B103" s="276">
        <f>'Current Income Tax Expense'!B128</f>
        <v>287489</v>
      </c>
      <c r="C103" s="314">
        <f>'Current Income Tax Expense'!C128</f>
        <v>910.51499999999999</v>
      </c>
      <c r="D103" s="276" t="str">
        <f>'Current Income Tax Expense'!D128</f>
        <v>- - - - -</v>
      </c>
      <c r="E103" s="276" t="str">
        <f>'Current Income Tax Expense'!E128</f>
        <v>NR</v>
      </c>
      <c r="F103" s="300">
        <f>ROUND(-'Current Income Tax Expense'!F128*0.245866,0)</f>
        <v>31774</v>
      </c>
      <c r="G103" s="300">
        <f t="shared" si="40"/>
        <v>0</v>
      </c>
      <c r="H103" s="300">
        <f t="shared" si="55"/>
        <v>0</v>
      </c>
      <c r="I103" s="300">
        <f>-ROUND('Current Income Tax Expense'!I128*0.245866,0)</f>
        <v>0</v>
      </c>
      <c r="J103" s="300">
        <f t="shared" si="56"/>
        <v>0</v>
      </c>
      <c r="K103" s="269" t="str">
        <f>'Current Income Tax Expense'!K128</f>
        <v>NREG</v>
      </c>
      <c r="L103" s="315">
        <f>SUMIF('Allocation Factors'!$B$3:$B$89,'Deferred Income Tax Expense'!K103,'Allocation Factors'!$P$3:$P$89)</f>
        <v>0</v>
      </c>
      <c r="M103" s="300">
        <f t="shared" si="57"/>
        <v>0</v>
      </c>
      <c r="N103" s="300">
        <f t="shared" si="52"/>
        <v>0</v>
      </c>
      <c r="O103" s="300">
        <f t="shared" ref="O103" si="59">SUM(M103:N103)</f>
        <v>0</v>
      </c>
    </row>
    <row r="104" spans="1:15">
      <c r="A104" s="90" t="str">
        <f>'Current Income Tax Expense'!A129</f>
        <v>Bridger Coal Company Underground Mine Cost Depletion</v>
      </c>
      <c r="B104" s="276">
        <f>'Current Income Tax Expense'!B129</f>
        <v>287735</v>
      </c>
      <c r="C104" s="314">
        <f>'Current Income Tax Expense'!C129</f>
        <v>910.90499999999997</v>
      </c>
      <c r="D104" s="276" t="str">
        <f>'Current Income Tax Expense'!D129</f>
        <v>- - - - -</v>
      </c>
      <c r="E104" s="276" t="str">
        <f>'Current Income Tax Expense'!E129</f>
        <v>U</v>
      </c>
      <c r="F104" s="300">
        <f>ROUND(-'Current Income Tax Expense'!F129*0.245866,0)</f>
        <v>-230907</v>
      </c>
      <c r="G104" s="300">
        <f t="shared" si="40"/>
        <v>-230907</v>
      </c>
      <c r="H104" s="300">
        <f t="shared" si="55"/>
        <v>-230907</v>
      </c>
      <c r="I104" s="300">
        <f>-ROUND('Current Income Tax Expense'!I129*0.245866,0)</f>
        <v>0</v>
      </c>
      <c r="J104" s="300">
        <f t="shared" si="56"/>
        <v>-230907</v>
      </c>
      <c r="K104" s="269" t="str">
        <f>'Current Income Tax Expense'!K129</f>
        <v>JBE</v>
      </c>
      <c r="L104" s="315">
        <f>SUMIF('Allocation Factors'!$B$3:$B$89,'Deferred Income Tax Expense'!K104,'Allocation Factors'!$P$3:$P$89)</f>
        <v>0.22591574269314921</v>
      </c>
      <c r="M104" s="300">
        <f t="shared" si="57"/>
        <v>-52166</v>
      </c>
      <c r="N104" s="300">
        <f t="shared" si="52"/>
        <v>0</v>
      </c>
      <c r="O104" s="300">
        <f t="shared" si="28"/>
        <v>-52166</v>
      </c>
    </row>
    <row r="105" spans="1:15">
      <c r="A105" s="90" t="str">
        <f>'Current Income Tax Expense'!A130</f>
        <v>Def Comp Mark to Mkt Gain/Loss - Income Stmt</v>
      </c>
      <c r="B105" s="276">
        <f>'Current Income Tax Expense'!B130</f>
        <v>287859</v>
      </c>
      <c r="C105" s="314">
        <f>'Current Income Tax Expense'!C130</f>
        <v>910.93499999999995</v>
      </c>
      <c r="D105" s="276" t="str">
        <f>'Current Income Tax Expense'!D130</f>
        <v>- - - - -</v>
      </c>
      <c r="E105" s="276" t="str">
        <f>'Current Income Tax Expense'!E130</f>
        <v>NR</v>
      </c>
      <c r="F105" s="300">
        <f>ROUND(-'Current Income Tax Expense'!F130*0.245866,0)</f>
        <v>-5979</v>
      </c>
      <c r="G105" s="300">
        <f t="shared" si="40"/>
        <v>0</v>
      </c>
      <c r="H105" s="300">
        <f t="shared" si="55"/>
        <v>0</v>
      </c>
      <c r="I105" s="300">
        <f>-ROUND('Current Income Tax Expense'!I130*0.245866,0)</f>
        <v>0</v>
      </c>
      <c r="J105" s="300">
        <f t="shared" si="56"/>
        <v>0</v>
      </c>
      <c r="K105" s="269" t="str">
        <f>'Current Income Tax Expense'!K130</f>
        <v>NREG</v>
      </c>
      <c r="L105" s="315">
        <f>SUMIF('Allocation Factors'!$B$3:$B$89,'Deferred Income Tax Expense'!K105,'Allocation Factors'!$P$3:$P$89)</f>
        <v>0</v>
      </c>
      <c r="M105" s="300">
        <f t="shared" si="57"/>
        <v>0</v>
      </c>
      <c r="N105" s="300">
        <f t="shared" si="52"/>
        <v>0</v>
      </c>
      <c r="O105" s="300">
        <f t="shared" ref="O105" si="60">SUM(M105:N105)</f>
        <v>0</v>
      </c>
    </row>
    <row r="106" spans="1:15">
      <c r="A106" s="90" t="str">
        <f>'Current Income Tax Expense'!A131</f>
        <v>LTIP Mark to Mkt Gain/Loss - Income Stmt</v>
      </c>
      <c r="B106" s="276">
        <f>'Current Income Tax Expense'!B131</f>
        <v>287915</v>
      </c>
      <c r="C106" s="314">
        <f>'Current Income Tax Expense'!C131</f>
        <v>910.93700000000001</v>
      </c>
      <c r="D106" s="276" t="str">
        <f>'Current Income Tax Expense'!D131</f>
        <v>- - - - -</v>
      </c>
      <c r="E106" s="276" t="str">
        <f>'Current Income Tax Expense'!E131</f>
        <v>NR</v>
      </c>
      <c r="F106" s="300">
        <f>ROUND(-'Current Income Tax Expense'!F131*0.245866,0)</f>
        <v>39296</v>
      </c>
      <c r="G106" s="300">
        <f t="shared" si="40"/>
        <v>0</v>
      </c>
      <c r="H106" s="300">
        <f t="shared" si="55"/>
        <v>0</v>
      </c>
      <c r="I106" s="300">
        <f>-ROUND('Current Income Tax Expense'!I131*0.245866,0)</f>
        <v>0</v>
      </c>
      <c r="J106" s="300">
        <f t="shared" si="56"/>
        <v>0</v>
      </c>
      <c r="K106" s="269" t="str">
        <f>'Current Income Tax Expense'!K131</f>
        <v>NREG</v>
      </c>
      <c r="L106" s="315">
        <f>SUMIF('Allocation Factors'!$B$3:$B$89,'Deferred Income Tax Expense'!K106,'Allocation Factors'!$P$3:$P$89)</f>
        <v>0</v>
      </c>
      <c r="M106" s="300">
        <f t="shared" si="57"/>
        <v>0</v>
      </c>
      <c r="N106" s="300">
        <f t="shared" si="52"/>
        <v>0</v>
      </c>
      <c r="O106" s="300">
        <f t="shared" ref="O106" si="61">SUM(M106:N106)</f>
        <v>0</v>
      </c>
    </row>
    <row r="107" spans="1:15">
      <c r="A107" s="90" t="str">
        <f>'Current Income Tax Expense'!A132</f>
        <v>Bridger Coal Company Reclamation Trust Earnings - PMI</v>
      </c>
      <c r="B107" s="276">
        <f>'Current Income Tax Expense'!B132</f>
        <v>287725</v>
      </c>
      <c r="C107" s="314">
        <f>'Current Income Tax Expense'!C132</f>
        <v>920.1</v>
      </c>
      <c r="D107" s="276" t="str">
        <f>'Current Income Tax Expense'!D132</f>
        <v>- - - - -</v>
      </c>
      <c r="E107" s="276" t="str">
        <f>'Current Income Tax Expense'!E132</f>
        <v>NR</v>
      </c>
      <c r="F107" s="300">
        <f>ROUND(-'Current Income Tax Expense'!F132*0.245866,0)</f>
        <v>-995528</v>
      </c>
      <c r="G107" s="300">
        <f t="shared" si="40"/>
        <v>0</v>
      </c>
      <c r="H107" s="300">
        <f t="shared" si="55"/>
        <v>0</v>
      </c>
      <c r="I107" s="300">
        <f>-ROUND('Current Income Tax Expense'!I132*0.245866,0)</f>
        <v>0</v>
      </c>
      <c r="J107" s="300">
        <f t="shared" si="56"/>
        <v>0</v>
      </c>
      <c r="K107" s="269" t="str">
        <f>'Current Income Tax Expense'!K132</f>
        <v>NREG</v>
      </c>
      <c r="L107" s="315">
        <f>SUMIF('Allocation Factors'!$B$3:$B$89,'Deferred Income Tax Expense'!K107,'Allocation Factors'!$P$3:$P$89)</f>
        <v>0</v>
      </c>
      <c r="M107" s="300">
        <f t="shared" si="57"/>
        <v>0</v>
      </c>
      <c r="N107" s="300">
        <f t="shared" si="52"/>
        <v>0</v>
      </c>
      <c r="O107" s="300">
        <f t="shared" si="28"/>
        <v>0</v>
      </c>
    </row>
    <row r="108" spans="1:15">
      <c r="A108" s="90" t="str">
        <f>'Current Income Tax Expense'!A133</f>
        <v>Bridger Coal Company Extraction Taxes Payable - PMI</v>
      </c>
      <c r="B108" s="276">
        <f>'Current Income Tax Expense'!B133</f>
        <v>287681</v>
      </c>
      <c r="C108" s="314">
        <f>'Current Income Tax Expense'!C133</f>
        <v>920.11</v>
      </c>
      <c r="D108" s="276" t="str">
        <f>'Current Income Tax Expense'!D133</f>
        <v>- - - - -</v>
      </c>
      <c r="E108" s="276" t="str">
        <f>'Current Income Tax Expense'!E133</f>
        <v>U</v>
      </c>
      <c r="F108" s="300">
        <f>ROUND(-'Current Income Tax Expense'!F133*0.245866,0)</f>
        <v>-79336</v>
      </c>
      <c r="G108" s="300">
        <f t="shared" si="40"/>
        <v>-79336</v>
      </c>
      <c r="H108" s="300">
        <f t="shared" si="55"/>
        <v>-79336</v>
      </c>
      <c r="I108" s="300">
        <f>-ROUND('Current Income Tax Expense'!I133*0.245866,0)</f>
        <v>0</v>
      </c>
      <c r="J108" s="300">
        <f t="shared" si="56"/>
        <v>-79336</v>
      </c>
      <c r="K108" s="269" t="str">
        <f>'Current Income Tax Expense'!K133</f>
        <v>JBE</v>
      </c>
      <c r="L108" s="315">
        <f>SUMIF('Allocation Factors'!$B$3:$B$89,'Deferred Income Tax Expense'!K108,'Allocation Factors'!$P$3:$P$89)</f>
        <v>0.22591574269314921</v>
      </c>
      <c r="M108" s="300">
        <f t="shared" si="57"/>
        <v>-17923</v>
      </c>
      <c r="N108" s="300">
        <f t="shared" si="52"/>
        <v>0</v>
      </c>
      <c r="O108" s="300">
        <f t="shared" si="28"/>
        <v>-17923</v>
      </c>
    </row>
    <row r="109" spans="1:15">
      <c r="A109" s="90" t="str">
        <f>'Current Income Tax Expense'!A134</f>
        <v>FAS 112 Book Reserve</v>
      </c>
      <c r="B109" s="276">
        <f>'Current Income Tax Expense'!B134</f>
        <v>287399</v>
      </c>
      <c r="C109" s="314">
        <f>'Current Income Tax Expense'!C134</f>
        <v>920.15</v>
      </c>
      <c r="D109" s="276" t="str">
        <f>'Current Income Tax Expense'!D134</f>
        <v>- - - - -</v>
      </c>
      <c r="E109" s="276" t="str">
        <f>'Current Income Tax Expense'!E134</f>
        <v>NR</v>
      </c>
      <c r="F109" s="300">
        <f>ROUND(-'Current Income Tax Expense'!F134*0.245866,0)</f>
        <v>-521377</v>
      </c>
      <c r="G109" s="300">
        <f t="shared" si="40"/>
        <v>0</v>
      </c>
      <c r="H109" s="300">
        <f t="shared" si="55"/>
        <v>0</v>
      </c>
      <c r="I109" s="300">
        <f>-ROUND('Current Income Tax Expense'!I134*0.245866,0)</f>
        <v>0</v>
      </c>
      <c r="J109" s="300">
        <f t="shared" si="56"/>
        <v>0</v>
      </c>
      <c r="K109" s="269" t="str">
        <f>'Current Income Tax Expense'!K134</f>
        <v>NREG</v>
      </c>
      <c r="L109" s="315">
        <f>SUMIF('Allocation Factors'!$B$3:$B$89,'Deferred Income Tax Expense'!K109,'Allocation Factors'!$P$3:$P$89)</f>
        <v>0</v>
      </c>
      <c r="M109" s="300">
        <f t="shared" si="57"/>
        <v>0</v>
      </c>
      <c r="N109" s="300">
        <f t="shared" si="52"/>
        <v>0</v>
      </c>
      <c r="O109" s="300">
        <f t="shared" ref="O109" si="62">SUM(M109:N109)</f>
        <v>0</v>
      </c>
    </row>
    <row r="110" spans="1:15">
      <c r="A110" s="90" t="str">
        <f>'Current Income Tax Expense'!A135</f>
        <v>LTIP-Noncurrent</v>
      </c>
      <c r="B110" s="276">
        <f>'Current Income Tax Expense'!B135</f>
        <v>287300</v>
      </c>
      <c r="C110" s="314">
        <f>'Current Income Tax Expense'!C135</f>
        <v>920.18200000000002</v>
      </c>
      <c r="D110" s="276" t="str">
        <f>'Current Income Tax Expense'!D135</f>
        <v>- - - - -</v>
      </c>
      <c r="E110" s="276" t="str">
        <f>'Current Income Tax Expense'!E135</f>
        <v>NR</v>
      </c>
      <c r="F110" s="300">
        <f>ROUND(-'Current Income Tax Expense'!F135*0.245866,0)</f>
        <v>-136160</v>
      </c>
      <c r="G110" s="300">
        <f t="shared" si="40"/>
        <v>0</v>
      </c>
      <c r="H110" s="300">
        <f t="shared" si="55"/>
        <v>0</v>
      </c>
      <c r="I110" s="300">
        <f>-ROUND('Current Income Tax Expense'!I135*0.245866,0)</f>
        <v>0</v>
      </c>
      <c r="J110" s="300">
        <f t="shared" si="56"/>
        <v>0</v>
      </c>
      <c r="K110" s="269" t="str">
        <f>'Current Income Tax Expense'!K135</f>
        <v>NREG</v>
      </c>
      <c r="L110" s="315">
        <f>SUMIF('Allocation Factors'!$B$3:$B$89,'Deferred Income Tax Expense'!K110,'Allocation Factors'!$P$3:$P$89)</f>
        <v>0</v>
      </c>
      <c r="M110" s="300">
        <f t="shared" si="57"/>
        <v>0</v>
      </c>
      <c r="N110" s="300">
        <f t="shared" si="52"/>
        <v>0</v>
      </c>
      <c r="O110" s="300">
        <f t="shared" ref="O110" si="63">SUM(M110:N110)</f>
        <v>0</v>
      </c>
    </row>
    <row r="111" spans="1:15">
      <c r="A111" s="90" t="s">
        <v>705</v>
      </c>
      <c r="B111" s="276" t="s">
        <v>8</v>
      </c>
      <c r="C111" s="314" t="s">
        <v>8</v>
      </c>
      <c r="D111" s="276" t="s">
        <v>720</v>
      </c>
      <c r="E111" s="276" t="s">
        <v>9</v>
      </c>
      <c r="F111" s="300">
        <v>0</v>
      </c>
      <c r="G111" s="300">
        <f t="shared" ref="G111:G113" si="64">IF(E111="U",F111,0)</f>
        <v>0</v>
      </c>
      <c r="H111" s="300">
        <f t="shared" ref="H111:H113" si="65">IF(E111="U",G111,0)</f>
        <v>0</v>
      </c>
      <c r="I111" s="300">
        <f>+'41110'!N8</f>
        <v>-5171119</v>
      </c>
      <c r="J111" s="300">
        <f t="shared" ref="J111:J113" si="66">SUM(H111:I111)</f>
        <v>-5171119</v>
      </c>
      <c r="K111" s="269" t="s">
        <v>160</v>
      </c>
      <c r="L111" s="315">
        <f>SUMIF('Allocation Factors'!$B$3:$B$89,'Deferred Income Tax Expense'!K111,'Allocation Factors'!$P$3:$P$89)</f>
        <v>0.21577192756641544</v>
      </c>
      <c r="M111" s="300">
        <f t="shared" ref="M111:M113" si="67">ROUND(H111*L111,0)</f>
        <v>0</v>
      </c>
      <c r="N111" s="300">
        <f t="shared" ref="N111:N113" si="68">ROUND(SUM(I111:I111)*L111,0)</f>
        <v>-1115782</v>
      </c>
      <c r="O111" s="300">
        <f t="shared" ref="O111:O113" si="69">SUM(M111:N111)</f>
        <v>-1115782</v>
      </c>
    </row>
    <row r="112" spans="1:15">
      <c r="A112" s="90" t="s">
        <v>661</v>
      </c>
      <c r="B112" s="276" t="s">
        <v>8</v>
      </c>
      <c r="C112" s="314" t="s">
        <v>8</v>
      </c>
      <c r="D112" s="276" t="s">
        <v>720</v>
      </c>
      <c r="E112" s="276" t="s">
        <v>9</v>
      </c>
      <c r="F112" s="300">
        <v>0</v>
      </c>
      <c r="G112" s="300">
        <f t="shared" si="64"/>
        <v>0</v>
      </c>
      <c r="H112" s="300">
        <f t="shared" si="65"/>
        <v>0</v>
      </c>
      <c r="I112" s="300">
        <f>+'41110'!N11</f>
        <v>-72513380</v>
      </c>
      <c r="J112" s="300">
        <f t="shared" si="66"/>
        <v>-72513380</v>
      </c>
      <c r="K112" s="269" t="s">
        <v>168</v>
      </c>
      <c r="L112" s="315">
        <f>SUMIF('Allocation Factors'!$B$3:$B$89,'Deferred Income Tax Expense'!K112,'Allocation Factors'!$P$3:$P$89)</f>
        <v>0.21577192756641544</v>
      </c>
      <c r="M112" s="300">
        <f t="shared" si="67"/>
        <v>0</v>
      </c>
      <c r="N112" s="300">
        <f t="shared" si="68"/>
        <v>-15646352</v>
      </c>
      <c r="O112" s="300">
        <f t="shared" si="69"/>
        <v>-15646352</v>
      </c>
    </row>
    <row r="113" spans="1:15">
      <c r="A113" s="90" t="s">
        <v>660</v>
      </c>
      <c r="B113" s="276" t="s">
        <v>8</v>
      </c>
      <c r="C113" s="314" t="s">
        <v>8</v>
      </c>
      <c r="D113" s="276" t="s">
        <v>720</v>
      </c>
      <c r="E113" s="276" t="s">
        <v>9</v>
      </c>
      <c r="F113" s="300">
        <v>0</v>
      </c>
      <c r="G113" s="300">
        <f t="shared" si="64"/>
        <v>0</v>
      </c>
      <c r="H113" s="300">
        <f t="shared" si="65"/>
        <v>0</v>
      </c>
      <c r="I113" s="300">
        <f>+'41110'!N13</f>
        <v>399444</v>
      </c>
      <c r="J113" s="300">
        <f t="shared" si="66"/>
        <v>399444</v>
      </c>
      <c r="K113" s="269" t="s">
        <v>19</v>
      </c>
      <c r="L113" s="315">
        <f>SUMIF('Allocation Factors'!$B$3:$B$89,'Deferred Income Tax Expense'!K113,'Allocation Factors'!$P$3:$P$89)</f>
        <v>7.8111041399714837E-2</v>
      </c>
      <c r="M113" s="300">
        <f t="shared" si="67"/>
        <v>0</v>
      </c>
      <c r="N113" s="300">
        <f t="shared" si="68"/>
        <v>31201</v>
      </c>
      <c r="O113" s="300">
        <f t="shared" si="69"/>
        <v>31201</v>
      </c>
    </row>
    <row r="114" spans="1:15">
      <c r="A114" s="90" t="str">
        <f>+'Current Income Tax Expense'!A149</f>
        <v>Reg Asset - Repowering Deferral</v>
      </c>
      <c r="B114" s="276" t="str">
        <f>+'Current Income Tax Expense'!B149</f>
        <v>- - - - -</v>
      </c>
      <c r="C114" s="314" t="str">
        <f>+'Current Income Tax Expense'!C149</f>
        <v>- - - - -</v>
      </c>
      <c r="D114" s="276">
        <f>+'Current Income Tax Expense'!D149</f>
        <v>8.1999999999999993</v>
      </c>
      <c r="E114" s="276" t="str">
        <f>+'Current Income Tax Expense'!E149</f>
        <v>U</v>
      </c>
      <c r="F114" s="300">
        <v>0</v>
      </c>
      <c r="G114" s="300">
        <v>0</v>
      </c>
      <c r="H114" s="300">
        <f t="shared" ref="H114:H115" si="70">IF(E114="U",F114,0)</f>
        <v>0</v>
      </c>
      <c r="I114" s="300">
        <f>ROUND(-'Current Income Tax Expense'!I149*0.245866,0)</f>
        <v>-140894</v>
      </c>
      <c r="J114" s="300">
        <f t="shared" ref="J114:J115" si="71">SUM(H114:I114)</f>
        <v>-140894</v>
      </c>
      <c r="K114" s="269" t="str">
        <f>'Current Income Tax Expense'!K149</f>
        <v>WA</v>
      </c>
      <c r="L114" s="315">
        <f>SUMIF('Allocation Factors'!$B$3:$B$89,'Deferred Income Tax Expense'!K114,'Allocation Factors'!$P$3:$P$89)</f>
        <v>1</v>
      </c>
      <c r="M114" s="300">
        <f t="shared" ref="M114:M115" si="72">ROUND(H114*L114,0)</f>
        <v>0</v>
      </c>
      <c r="N114" s="300">
        <f t="shared" ref="N114:N115" si="73">ROUND(SUM(I114:I114)*L114,0)</f>
        <v>-140894</v>
      </c>
      <c r="O114" s="300">
        <f t="shared" ref="O114:O115" si="74">SUM(M114:N114)</f>
        <v>-140894</v>
      </c>
    </row>
    <row r="115" spans="1:15">
      <c r="A115" s="90" t="str">
        <f>+'Current Income Tax Expense'!A150</f>
        <v>Reg Asset - Renewable Energy Credits Deferral</v>
      </c>
      <c r="B115" s="276" t="str">
        <f>+'Current Income Tax Expense'!B150</f>
        <v>- - - - -</v>
      </c>
      <c r="C115" s="314" t="str">
        <f>+'Current Income Tax Expense'!C150</f>
        <v>- - - - -</v>
      </c>
      <c r="D115" s="276">
        <f>+'Current Income Tax Expense'!D150</f>
        <v>8.1999999999999993</v>
      </c>
      <c r="E115" s="276" t="str">
        <f>+'Current Income Tax Expense'!E150</f>
        <v>U</v>
      </c>
      <c r="F115" s="300">
        <v>0</v>
      </c>
      <c r="G115" s="300">
        <v>0</v>
      </c>
      <c r="H115" s="300">
        <f t="shared" si="70"/>
        <v>0</v>
      </c>
      <c r="I115" s="300">
        <f>ROUND(-'Current Income Tax Expense'!I150*0.245866,0)</f>
        <v>-24587</v>
      </c>
      <c r="J115" s="300">
        <f t="shared" si="71"/>
        <v>-24587</v>
      </c>
      <c r="K115" s="269" t="str">
        <f>'Current Income Tax Expense'!K150</f>
        <v>WA</v>
      </c>
      <c r="L115" s="315">
        <f>SUMIF('Allocation Factors'!$B$3:$B$89,'Deferred Income Tax Expense'!K115,'Allocation Factors'!$P$3:$P$89)</f>
        <v>1</v>
      </c>
      <c r="M115" s="300">
        <f t="shared" si="72"/>
        <v>0</v>
      </c>
      <c r="N115" s="300">
        <f t="shared" si="73"/>
        <v>-24587</v>
      </c>
      <c r="O115" s="300">
        <f t="shared" si="74"/>
        <v>-24587</v>
      </c>
    </row>
    <row r="116" spans="1:15" s="187" customFormat="1">
      <c r="A116" s="182" t="s">
        <v>349</v>
      </c>
      <c r="B116" s="183"/>
      <c r="C116" s="184"/>
      <c r="D116" s="185"/>
      <c r="E116" s="26"/>
      <c r="F116" s="186">
        <f>SUBTOTAL(9,F3:F115)</f>
        <v>-288974553</v>
      </c>
      <c r="G116" s="186">
        <f>SUBTOTAL(9,G3:G115)</f>
        <v>-290752073</v>
      </c>
      <c r="H116" s="186">
        <f>SUBTOTAL(9,H3:H115)</f>
        <v>-290752073</v>
      </c>
      <c r="I116" s="186">
        <f>SUBTOTAL(9,I3:I115)</f>
        <v>-34036713</v>
      </c>
      <c r="J116" s="186">
        <f>SUBTOTAL(9,J3:J115)</f>
        <v>-324788786</v>
      </c>
      <c r="K116" s="183"/>
      <c r="L116" s="26"/>
      <c r="M116" s="186">
        <f>SUBTOTAL(9,M3:M115)</f>
        <v>-22505451</v>
      </c>
      <c r="N116" s="186">
        <f>SUBTOTAL(9,N3:N115)</f>
        <v>-15023262</v>
      </c>
      <c r="O116" s="186">
        <f>SUBTOTAL(9,O3:O115)</f>
        <v>-37528713</v>
      </c>
    </row>
    <row r="117" spans="1:15">
      <c r="A117" s="90" t="str">
        <f>'Current Income Tax Expense'!A152</f>
        <v>Repair Deduction</v>
      </c>
      <c r="B117" s="276">
        <f>'Current Income Tax Expense'!B152</f>
        <v>287605</v>
      </c>
      <c r="C117" s="314">
        <f>'Current Income Tax Expense'!C152</f>
        <v>105.122</v>
      </c>
      <c r="D117" s="276" t="str">
        <f>'Current Income Tax Expense'!D152</f>
        <v>- - - - -</v>
      </c>
      <c r="E117" s="276" t="str">
        <f>'Current Income Tax Expense'!E152</f>
        <v>U</v>
      </c>
      <c r="F117" s="300">
        <f>ROUND(-'Current Income Tax Expense'!F152*0.245866,0)</f>
        <v>36064817</v>
      </c>
      <c r="G117" s="300">
        <f t="shared" ref="G117:G122" si="75">IF(E117="U",F117,0)</f>
        <v>36064817</v>
      </c>
      <c r="H117" s="300">
        <f t="shared" ref="H117:H147" si="76">IF(E117="U",G117,0)</f>
        <v>36064817</v>
      </c>
      <c r="I117" s="300">
        <f>-ROUND('Current Income Tax Expense'!I152*0.245866,0)</f>
        <v>0</v>
      </c>
      <c r="J117" s="300">
        <f t="shared" ref="J117:J147" si="77">SUM(H117:I117)</f>
        <v>36064817</v>
      </c>
      <c r="K117" s="276" t="str">
        <f>'Current Income Tax Expense'!K152</f>
        <v>SG</v>
      </c>
      <c r="L117" s="315">
        <f>SUMIF('Allocation Factors'!$B$3:$B$89,'Deferred Income Tax Expense'!K117,'Allocation Factors'!$P$3:$P$89)</f>
        <v>7.8111041399714837E-2</v>
      </c>
      <c r="M117" s="300">
        <f t="shared" ref="M117:M147" si="78">ROUND(H117*L117,0)</f>
        <v>2817060</v>
      </c>
      <c r="N117" s="300">
        <f t="shared" ref="N117:N147" si="79">ROUND(SUM(I117:I117)*L117,0)</f>
        <v>0</v>
      </c>
      <c r="O117" s="300">
        <f t="shared" ref="O117:O139" si="80">SUM(M117:N117)</f>
        <v>2817060</v>
      </c>
    </row>
    <row r="118" spans="1:15">
      <c r="A118" s="90" t="str">
        <f>'Current Income Tax Expense'!A153</f>
        <v>Tax Depreciation</v>
      </c>
      <c r="B118" s="276">
        <f>'Current Income Tax Expense'!B153</f>
        <v>287605</v>
      </c>
      <c r="C118" s="314">
        <f>'Current Income Tax Expense'!C153</f>
        <v>105.125</v>
      </c>
      <c r="D118" s="379" t="s">
        <v>721</v>
      </c>
      <c r="E118" s="276" t="str">
        <f>'Current Income Tax Expense'!E153</f>
        <v>U</v>
      </c>
      <c r="F118" s="300">
        <f>ROUND(-'Current Income Tax Expense'!F153*0.245866,0)</f>
        <v>145237384</v>
      </c>
      <c r="G118" s="300">
        <f t="shared" si="75"/>
        <v>145237384</v>
      </c>
      <c r="H118" s="300">
        <f t="shared" si="76"/>
        <v>145237384</v>
      </c>
      <c r="I118" s="300">
        <f>+'41010'!F20</f>
        <v>68460800</v>
      </c>
      <c r="J118" s="300">
        <f t="shared" si="77"/>
        <v>213698184</v>
      </c>
      <c r="K118" s="276" t="str">
        <f>'Current Income Tax Expense'!K153</f>
        <v>TAXDEPR</v>
      </c>
      <c r="L118" s="315">
        <f>SUMIF('Allocation Factors'!$B$3:$B$89,'Deferred Income Tax Expense'!K118,'Allocation Factors'!$P$3:$P$89)</f>
        <v>6.4357257992723779E-2</v>
      </c>
      <c r="M118" s="300">
        <f t="shared" si="78"/>
        <v>9347080</v>
      </c>
      <c r="N118" s="300">
        <f t="shared" si="79"/>
        <v>4405949</v>
      </c>
      <c r="O118" s="300">
        <f t="shared" si="80"/>
        <v>13753029</v>
      </c>
    </row>
    <row r="119" spans="1:15">
      <c r="A119" s="90" t="str">
        <f>'Current Income Tax Expense'!A154</f>
        <v>Tax Depreciation - PMI</v>
      </c>
      <c r="B119" s="276">
        <f>'Current Income Tax Expense'!B154</f>
        <v>287726</v>
      </c>
      <c r="C119" s="314">
        <f>'Current Income Tax Expense'!C154</f>
        <v>105.126</v>
      </c>
      <c r="D119" s="276" t="str">
        <f>'Current Income Tax Expense'!D154</f>
        <v>- - - - -</v>
      </c>
      <c r="E119" s="276" t="str">
        <f>'Current Income Tax Expense'!E154</f>
        <v>U</v>
      </c>
      <c r="F119" s="300">
        <f>ROUND(-'Current Income Tax Expense'!F154*0.245866,0)</f>
        <v>1531014</v>
      </c>
      <c r="G119" s="300">
        <f t="shared" si="75"/>
        <v>1531014</v>
      </c>
      <c r="H119" s="300">
        <f t="shared" si="76"/>
        <v>1531014</v>
      </c>
      <c r="I119" s="300">
        <f>-ROUND('Current Income Tax Expense'!I154*0.245866,0)</f>
        <v>0</v>
      </c>
      <c r="J119" s="300">
        <f t="shared" si="77"/>
        <v>1531014</v>
      </c>
      <c r="K119" s="276" t="str">
        <f>'Current Income Tax Expense'!K154</f>
        <v>JBE</v>
      </c>
      <c r="L119" s="315">
        <f>SUMIF('Allocation Factors'!$B$3:$B$89,'Deferred Income Tax Expense'!K119,'Allocation Factors'!$P$3:$P$89)</f>
        <v>0.22591574269314921</v>
      </c>
      <c r="M119" s="300">
        <f t="shared" si="78"/>
        <v>345880</v>
      </c>
      <c r="N119" s="300">
        <f t="shared" si="79"/>
        <v>0</v>
      </c>
      <c r="O119" s="300">
        <f t="shared" si="80"/>
        <v>345880</v>
      </c>
    </row>
    <row r="120" spans="1:15">
      <c r="A120" s="90" t="str">
        <f>'Current Income Tax Expense'!A155</f>
        <v>Capitalized Depreciation</v>
      </c>
      <c r="B120" s="276">
        <f>'Current Income Tax Expense'!B155</f>
        <v>287605</v>
      </c>
      <c r="C120" s="314">
        <f>'Current Income Tax Expense'!C155</f>
        <v>105.137</v>
      </c>
      <c r="D120" s="276" t="str">
        <f>'Current Income Tax Expense'!D155</f>
        <v>- - - - -</v>
      </c>
      <c r="E120" s="276" t="str">
        <f>'Current Income Tax Expense'!E155</f>
        <v>U</v>
      </c>
      <c r="F120" s="300">
        <f>ROUND(-'Current Income Tax Expense'!F155*0.245866,0)</f>
        <v>1469580</v>
      </c>
      <c r="G120" s="300">
        <f t="shared" si="75"/>
        <v>1469580</v>
      </c>
      <c r="H120" s="300">
        <f t="shared" si="76"/>
        <v>1469580</v>
      </c>
      <c r="I120" s="300">
        <f>-ROUND('Current Income Tax Expense'!I155*0.245866,0)</f>
        <v>0</v>
      </c>
      <c r="J120" s="300">
        <f t="shared" si="77"/>
        <v>1469580</v>
      </c>
      <c r="K120" s="269" t="str">
        <f>'Current Income Tax Expense'!K155</f>
        <v>SO</v>
      </c>
      <c r="L120" s="315">
        <f>SUMIF('Allocation Factors'!$B$3:$B$89,'Deferred Income Tax Expense'!K120,'Allocation Factors'!$P$3:$P$89)</f>
        <v>6.7017620954721469E-2</v>
      </c>
      <c r="M120" s="300">
        <f t="shared" si="78"/>
        <v>98488</v>
      </c>
      <c r="N120" s="300">
        <f t="shared" si="79"/>
        <v>0</v>
      </c>
      <c r="O120" s="300">
        <f t="shared" si="80"/>
        <v>98488</v>
      </c>
    </row>
    <row r="121" spans="1:15">
      <c r="A121" s="90" t="str">
        <f>'Current Income Tax Expense'!A156</f>
        <v xml:space="preserve">AFUDC - Debt </v>
      </c>
      <c r="B121" s="276">
        <f>'Current Income Tax Expense'!B156</f>
        <v>287605</v>
      </c>
      <c r="C121" s="314" t="str">
        <f>'Current Income Tax Expense'!C156</f>
        <v>105.141a</v>
      </c>
      <c r="D121" s="276" t="str">
        <f>'Current Income Tax Expense'!D156</f>
        <v>- - - - -</v>
      </c>
      <c r="E121" s="276" t="str">
        <f>'Current Income Tax Expense'!E156</f>
        <v>U</v>
      </c>
      <c r="F121" s="300">
        <f>ROUND(-'Current Income Tax Expense'!F156*0.245866,0)</f>
        <v>6242764</v>
      </c>
      <c r="G121" s="300">
        <f t="shared" si="75"/>
        <v>6242764</v>
      </c>
      <c r="H121" s="300">
        <f t="shared" si="76"/>
        <v>6242764</v>
      </c>
      <c r="I121" s="300">
        <f>-ROUND('Current Income Tax Expense'!I156*0.245866,0)</f>
        <v>0</v>
      </c>
      <c r="J121" s="300">
        <f t="shared" si="77"/>
        <v>6242764</v>
      </c>
      <c r="K121" s="276" t="str">
        <f>'Current Income Tax Expense'!K156</f>
        <v>SNP</v>
      </c>
      <c r="L121" s="315">
        <f>SUMIF('Allocation Factors'!$B$3:$B$89,'Deferred Income Tax Expense'!K121,'Allocation Factors'!$P$3:$P$89)</f>
        <v>6.0894111271351227E-2</v>
      </c>
      <c r="M121" s="300">
        <f t="shared" si="78"/>
        <v>380148</v>
      </c>
      <c r="N121" s="300">
        <f t="shared" si="79"/>
        <v>0</v>
      </c>
      <c r="O121" s="300">
        <f t="shared" si="80"/>
        <v>380148</v>
      </c>
    </row>
    <row r="122" spans="1:15">
      <c r="A122" s="90" t="str">
        <f>'Current Income Tax Expense'!A157</f>
        <v>AFUDC - Equity</v>
      </c>
      <c r="B122" s="276">
        <f>'Current Income Tax Expense'!B157</f>
        <v>287605</v>
      </c>
      <c r="C122" s="314" t="str">
        <f>'Current Income Tax Expense'!C157</f>
        <v>105.141b</v>
      </c>
      <c r="D122" s="276" t="str">
        <f>'Current Income Tax Expense'!D157</f>
        <v>- - - - -</v>
      </c>
      <c r="E122" s="276" t="str">
        <f>'Current Income Tax Expense'!E157</f>
        <v>U</v>
      </c>
      <c r="F122" s="300">
        <f>ROUND(-'Current Income Tax Expense'!F157*0.245866,0)</f>
        <v>12124735</v>
      </c>
      <c r="G122" s="300">
        <f t="shared" si="75"/>
        <v>12124735</v>
      </c>
      <c r="H122" s="300">
        <f t="shared" si="76"/>
        <v>12124735</v>
      </c>
      <c r="I122" s="300">
        <f>-ROUND('Current Income Tax Expense'!I157*0.245866,0)</f>
        <v>0</v>
      </c>
      <c r="J122" s="300">
        <f t="shared" si="77"/>
        <v>12124735</v>
      </c>
      <c r="K122" s="276" t="str">
        <f>'Current Income Tax Expense'!K157</f>
        <v>SNP</v>
      </c>
      <c r="L122" s="315">
        <f>SUMIF('Allocation Factors'!$B$3:$B$89,'Deferred Income Tax Expense'!K122,'Allocation Factors'!$P$3:$P$89)</f>
        <v>6.0894111271351227E-2</v>
      </c>
      <c r="M122" s="300">
        <f t="shared" si="78"/>
        <v>738325</v>
      </c>
      <c r="N122" s="300">
        <f t="shared" si="79"/>
        <v>0</v>
      </c>
      <c r="O122" s="300">
        <f t="shared" si="80"/>
        <v>738325</v>
      </c>
    </row>
    <row r="123" spans="1:15">
      <c r="A123" s="90" t="str">
        <f>'Current Income Tax Expense'!A158</f>
        <v>Basis Intangible Difference</v>
      </c>
      <c r="B123" s="276">
        <f>'Current Income Tax Expense'!B158</f>
        <v>287704</v>
      </c>
      <c r="C123" s="314">
        <f>'Current Income Tax Expense'!C158</f>
        <v>105.143</v>
      </c>
      <c r="D123" s="276" t="str">
        <f>'Current Income Tax Expense'!D158</f>
        <v>- - - - -</v>
      </c>
      <c r="E123" s="276" t="str">
        <f>'Current Income Tax Expense'!E158</f>
        <v>U</v>
      </c>
      <c r="F123" s="300">
        <f>ROUND(-'Current Income Tax Expense'!F158*0.245866,0)</f>
        <v>54761</v>
      </c>
      <c r="G123" s="300">
        <f t="shared" ref="G123:G185" si="81">IF(E123="U",F123,0)</f>
        <v>54761</v>
      </c>
      <c r="H123" s="300">
        <f t="shared" si="76"/>
        <v>54761</v>
      </c>
      <c r="I123" s="300">
        <f>-ROUND('Current Income Tax Expense'!I158*0.245866,0)</f>
        <v>0</v>
      </c>
      <c r="J123" s="300">
        <f t="shared" si="77"/>
        <v>54761</v>
      </c>
      <c r="K123" s="276" t="str">
        <f>'Current Income Tax Expense'!K158</f>
        <v>SO</v>
      </c>
      <c r="L123" s="315">
        <f>SUMIF('Allocation Factors'!$B$3:$B$89,'Deferred Income Tax Expense'!K123,'Allocation Factors'!$P$3:$P$89)</f>
        <v>6.7017620954721469E-2</v>
      </c>
      <c r="M123" s="300">
        <f t="shared" si="78"/>
        <v>3670</v>
      </c>
      <c r="N123" s="300">
        <f>ROUND(SUM(I123:I123)*L123,0)</f>
        <v>0</v>
      </c>
      <c r="O123" s="300">
        <f t="shared" si="80"/>
        <v>3670</v>
      </c>
    </row>
    <row r="124" spans="1:15">
      <c r="A124" s="90" t="str">
        <f>'Current Income Tax Expense'!A159</f>
        <v>Gain / (Loss) on Prop. Disposition</v>
      </c>
      <c r="B124" s="276">
        <f>'Current Income Tax Expense'!B159</f>
        <v>287605</v>
      </c>
      <c r="C124" s="314">
        <f>'Current Income Tax Expense'!C159</f>
        <v>105.152</v>
      </c>
      <c r="D124" s="276" t="str">
        <f>'Current Income Tax Expense'!D159</f>
        <v>- - - - -</v>
      </c>
      <c r="E124" s="276" t="str">
        <f>'Current Income Tax Expense'!E159</f>
        <v>U</v>
      </c>
      <c r="F124" s="300">
        <f>ROUND(-'Current Income Tax Expense'!F159*0.245866,0)</f>
        <v>4026852</v>
      </c>
      <c r="G124" s="300">
        <f t="shared" si="81"/>
        <v>4026852</v>
      </c>
      <c r="H124" s="300">
        <f t="shared" si="76"/>
        <v>4026852</v>
      </c>
      <c r="I124" s="300">
        <f>-ROUND('Current Income Tax Expense'!I159*0.245866,0)</f>
        <v>0</v>
      </c>
      <c r="J124" s="300">
        <f t="shared" si="77"/>
        <v>4026852</v>
      </c>
      <c r="K124" s="276" t="str">
        <f>'Current Income Tax Expense'!K159</f>
        <v>GPS</v>
      </c>
      <c r="L124" s="315">
        <f>SUMIF('Allocation Factors'!$B$3:$B$89,'Deferred Income Tax Expense'!K124,'Allocation Factors'!$P$3:$P$89)</f>
        <v>6.7017620954721469E-2</v>
      </c>
      <c r="M124" s="300">
        <f t="shared" si="78"/>
        <v>269870</v>
      </c>
      <c r="N124" s="300">
        <f t="shared" si="79"/>
        <v>0</v>
      </c>
      <c r="O124" s="300">
        <f t="shared" si="80"/>
        <v>269870</v>
      </c>
    </row>
    <row r="125" spans="1:15">
      <c r="A125" s="90" t="str">
        <f>'Current Income Tax Expense'!A160</f>
        <v>Contract Liability Basis Adjustment - Chehalis Mitigation Obligation</v>
      </c>
      <c r="B125" s="276">
        <f>'Current Income Tax Expense'!B160</f>
        <v>287605</v>
      </c>
      <c r="C125" s="314">
        <f>'Current Income Tax Expense'!C160</f>
        <v>105.15300000000001</v>
      </c>
      <c r="D125" s="276" t="str">
        <f>'Current Income Tax Expense'!D160</f>
        <v>- - - - -</v>
      </c>
      <c r="E125" s="276" t="str">
        <f>'Current Income Tax Expense'!E160</f>
        <v>U</v>
      </c>
      <c r="F125" s="300">
        <f>ROUND(-'Current Income Tax Expense'!F160*0.245866,0)</f>
        <v>-30689</v>
      </c>
      <c r="G125" s="300">
        <f t="shared" si="81"/>
        <v>-30689</v>
      </c>
      <c r="H125" s="300">
        <f t="shared" si="76"/>
        <v>-30689</v>
      </c>
      <c r="I125" s="300">
        <f>-ROUND('Current Income Tax Expense'!I160*0.245866,0)</f>
        <v>0</v>
      </c>
      <c r="J125" s="300">
        <f t="shared" si="77"/>
        <v>-30689</v>
      </c>
      <c r="K125" s="276" t="str">
        <f>'Current Income Tax Expense'!K160</f>
        <v>CAGW</v>
      </c>
      <c r="L125" s="315">
        <f>SUMIF('Allocation Factors'!$B$3:$B$89,'Deferred Income Tax Expense'!K125,'Allocation Factors'!$P$3:$P$89)</f>
        <v>0.21577192756641544</v>
      </c>
      <c r="M125" s="300">
        <f t="shared" si="78"/>
        <v>-6622</v>
      </c>
      <c r="N125" s="300">
        <f t="shared" si="79"/>
        <v>0</v>
      </c>
      <c r="O125" s="300">
        <f t="shared" ref="O125:O126" si="82">SUM(M125:N125)</f>
        <v>-6622</v>
      </c>
    </row>
    <row r="126" spans="1:15">
      <c r="A126" s="90" t="str">
        <f>'Current Income Tax Expense'!A161</f>
        <v>Contract Liability Basis Adjustment-Eagle Mountain</v>
      </c>
      <c r="B126" s="276">
        <f>'Current Income Tax Expense'!B161</f>
        <v>287605</v>
      </c>
      <c r="C126" s="314">
        <f>'Current Income Tax Expense'!C161</f>
        <v>105.151</v>
      </c>
      <c r="D126" s="276" t="str">
        <f>'Current Income Tax Expense'!D161</f>
        <v>- - - - -</v>
      </c>
      <c r="E126" s="276" t="str">
        <f>'Current Income Tax Expense'!E161</f>
        <v>NR</v>
      </c>
      <c r="F126" s="300">
        <f>ROUND(-'Current Income Tax Expense'!F161*0.245866,0)</f>
        <v>-218819</v>
      </c>
      <c r="G126" s="300">
        <f t="shared" si="81"/>
        <v>0</v>
      </c>
      <c r="H126" s="300">
        <f t="shared" si="76"/>
        <v>0</v>
      </c>
      <c r="I126" s="300">
        <f>-ROUND('Current Income Tax Expense'!I161*0.245866,0)</f>
        <v>0</v>
      </c>
      <c r="J126" s="300">
        <f t="shared" si="77"/>
        <v>0</v>
      </c>
      <c r="K126" s="276" t="str">
        <f>'Current Income Tax Expense'!K161</f>
        <v>NREG</v>
      </c>
      <c r="L126" s="315">
        <f>SUMIF('Allocation Factors'!$B$3:$B$89,'Deferred Income Tax Expense'!K126,'Allocation Factors'!$P$3:$P$89)</f>
        <v>0</v>
      </c>
      <c r="M126" s="300">
        <f t="shared" si="78"/>
        <v>0</v>
      </c>
      <c r="N126" s="300">
        <f t="shared" si="79"/>
        <v>0</v>
      </c>
      <c r="O126" s="300">
        <f t="shared" si="82"/>
        <v>0</v>
      </c>
    </row>
    <row r="127" spans="1:15">
      <c r="A127" s="90" t="str">
        <f>'Current Income Tax Expense'!A162</f>
        <v>Coal Mine Extension Costs - PMI</v>
      </c>
      <c r="B127" s="276">
        <f>'Current Income Tax Expense'!B162</f>
        <v>287726</v>
      </c>
      <c r="C127" s="314">
        <f>'Current Income Tax Expense'!C162</f>
        <v>105.17100000000001</v>
      </c>
      <c r="D127" s="276" t="str">
        <f>'Current Income Tax Expense'!D162</f>
        <v>- - - - -</v>
      </c>
      <c r="E127" s="276" t="str">
        <f>'Current Income Tax Expense'!E162</f>
        <v>U</v>
      </c>
      <c r="F127" s="300">
        <f>ROUND(-'Current Income Tax Expense'!F162*0.245866,0)</f>
        <v>162006</v>
      </c>
      <c r="G127" s="300">
        <f t="shared" si="81"/>
        <v>162006</v>
      </c>
      <c r="H127" s="300">
        <f t="shared" si="76"/>
        <v>162006</v>
      </c>
      <c r="I127" s="300">
        <f>-ROUND('Current Income Tax Expense'!I162*0.245866,0)</f>
        <v>0</v>
      </c>
      <c r="J127" s="300">
        <f t="shared" si="77"/>
        <v>162006</v>
      </c>
      <c r="K127" s="276" t="str">
        <f>'Current Income Tax Expense'!K162</f>
        <v>JBE</v>
      </c>
      <c r="L127" s="315">
        <f>SUMIF('Allocation Factors'!$B$3:$B$89,'Deferred Income Tax Expense'!K127,'Allocation Factors'!$P$3:$P$89)</f>
        <v>0.22591574269314921</v>
      </c>
      <c r="M127" s="300">
        <f t="shared" si="78"/>
        <v>36600</v>
      </c>
      <c r="N127" s="300">
        <f t="shared" si="79"/>
        <v>0</v>
      </c>
      <c r="O127" s="300">
        <f t="shared" si="80"/>
        <v>36600</v>
      </c>
    </row>
    <row r="128" spans="1:15">
      <c r="A128" s="90" t="str">
        <f>'Current Income Tax Expense'!A163</f>
        <v xml:space="preserve">Removal Costs </v>
      </c>
      <c r="B128" s="276">
        <f>'Current Income Tax Expense'!B163</f>
        <v>287605</v>
      </c>
      <c r="C128" s="314">
        <f>'Current Income Tax Expense'!C163</f>
        <v>105.175</v>
      </c>
      <c r="D128" s="276" t="str">
        <f>'Current Income Tax Expense'!D163</f>
        <v>- - - - -</v>
      </c>
      <c r="E128" s="276" t="str">
        <f>'Current Income Tax Expense'!E163</f>
        <v>U</v>
      </c>
      <c r="F128" s="300">
        <f>ROUND(-'Current Income Tax Expense'!F163*0.245866,0)</f>
        <v>12324328</v>
      </c>
      <c r="G128" s="300">
        <f t="shared" si="81"/>
        <v>12324328</v>
      </c>
      <c r="H128" s="300">
        <f t="shared" si="76"/>
        <v>12324328</v>
      </c>
      <c r="I128" s="300">
        <f>-ROUND('Current Income Tax Expense'!I163*0.245866,0)</f>
        <v>0</v>
      </c>
      <c r="J128" s="300">
        <f t="shared" si="77"/>
        <v>12324328</v>
      </c>
      <c r="K128" s="276" t="str">
        <f>'Current Income Tax Expense'!K163</f>
        <v>GPS</v>
      </c>
      <c r="L128" s="315">
        <f>SUMIF('Allocation Factors'!$B$3:$B$89,'Deferred Income Tax Expense'!K128,'Allocation Factors'!$P$3:$P$89)</f>
        <v>6.7017620954721469E-2</v>
      </c>
      <c r="M128" s="300">
        <f t="shared" si="78"/>
        <v>825947</v>
      </c>
      <c r="N128" s="300">
        <f t="shared" si="79"/>
        <v>0</v>
      </c>
      <c r="O128" s="300">
        <f t="shared" si="80"/>
        <v>825947</v>
      </c>
    </row>
    <row r="129" spans="1:15">
      <c r="A129" s="90" t="str">
        <f>'Current Income Tax Expense'!A164</f>
        <v>Cholla SHL NOPA (Lease Amortization)</v>
      </c>
      <c r="B129" s="276">
        <f>'Current Income Tax Expense'!B164</f>
        <v>287608</v>
      </c>
      <c r="C129" s="314" t="str">
        <f>'Current Income Tax Expense'!C164</f>
        <v>105.220c</v>
      </c>
      <c r="D129" s="276" t="str">
        <f>'Current Income Tax Expense'!D164</f>
        <v>- - - - -</v>
      </c>
      <c r="E129" s="276" t="str">
        <f>'Current Income Tax Expense'!E164</f>
        <v>U</v>
      </c>
      <c r="F129" s="300">
        <f>ROUND(-'Current Income Tax Expense'!F164*0.245866,0)</f>
        <v>83511</v>
      </c>
      <c r="G129" s="300">
        <f t="shared" si="81"/>
        <v>83511</v>
      </c>
      <c r="H129" s="300">
        <f t="shared" si="76"/>
        <v>83511</v>
      </c>
      <c r="I129" s="300">
        <f>-ROUND('Current Income Tax Expense'!I164*0.245866,0)</f>
        <v>0</v>
      </c>
      <c r="J129" s="300">
        <f t="shared" si="77"/>
        <v>83511</v>
      </c>
      <c r="K129" s="276" t="str">
        <f>'Current Income Tax Expense'!K164</f>
        <v>CAGE</v>
      </c>
      <c r="L129" s="315">
        <f>SUMIF('Allocation Factors'!$B$3:$B$89,'Deferred Income Tax Expense'!K129,'Allocation Factors'!$P$3:$P$89)</f>
        <v>0</v>
      </c>
      <c r="M129" s="300">
        <f t="shared" si="78"/>
        <v>0</v>
      </c>
      <c r="N129" s="300">
        <f t="shared" si="79"/>
        <v>0</v>
      </c>
      <c r="O129" s="300">
        <f t="shared" si="80"/>
        <v>0</v>
      </c>
    </row>
    <row r="130" spans="1:15">
      <c r="A130" s="90" t="str">
        <f>'Current Income Tax Expense'!A165</f>
        <v>ARO Regulatory Assets</v>
      </c>
      <c r="B130" s="276">
        <f>'Current Income Tax Expense'!B165</f>
        <v>287642</v>
      </c>
      <c r="C130" s="314" t="str">
        <f>'Current Income Tax Expense'!C165</f>
        <v>105.400b</v>
      </c>
      <c r="D130" s="276" t="str">
        <f>'Current Income Tax Expense'!D165</f>
        <v>- - - - -</v>
      </c>
      <c r="E130" s="276" t="str">
        <f>'Current Income Tax Expense'!E165</f>
        <v>NR</v>
      </c>
      <c r="F130" s="300">
        <f>ROUND(-'Current Income Tax Expense'!F165*0.245866,0)</f>
        <v>4270325</v>
      </c>
      <c r="G130" s="300">
        <f t="shared" si="81"/>
        <v>0</v>
      </c>
      <c r="H130" s="300">
        <f t="shared" si="76"/>
        <v>0</v>
      </c>
      <c r="I130" s="300">
        <f>-ROUND('Current Income Tax Expense'!I165*0.245866,0)</f>
        <v>0</v>
      </c>
      <c r="J130" s="300">
        <f t="shared" si="77"/>
        <v>0</v>
      </c>
      <c r="K130" s="276" t="str">
        <f>'Current Income Tax Expense'!K165</f>
        <v>NREG</v>
      </c>
      <c r="L130" s="315">
        <f>SUMIF('Allocation Factors'!$B$3:$B$89,'Deferred Income Tax Expense'!K130,'Allocation Factors'!$P$3:$P$89)</f>
        <v>0</v>
      </c>
      <c r="M130" s="300">
        <f t="shared" si="78"/>
        <v>0</v>
      </c>
      <c r="N130" s="300">
        <f t="shared" si="79"/>
        <v>0</v>
      </c>
      <c r="O130" s="300">
        <f t="shared" si="80"/>
        <v>0</v>
      </c>
    </row>
    <row r="131" spans="1:15">
      <c r="A131" s="90" t="str">
        <f>'Current Income Tax Expense'!A166</f>
        <v>ARO Regulatory Liabilities</v>
      </c>
      <c r="B131" s="276">
        <f>'Current Income Tax Expense'!B166</f>
        <v>287312</v>
      </c>
      <c r="C131" s="314" t="str">
        <f>'Current Income Tax Expense'!C166</f>
        <v>105.400c</v>
      </c>
      <c r="D131" s="276" t="str">
        <f>'Current Income Tax Expense'!D166</f>
        <v>- - - - -</v>
      </c>
      <c r="E131" s="276" t="str">
        <f>'Current Income Tax Expense'!E166</f>
        <v>NR</v>
      </c>
      <c r="F131" s="300">
        <f>ROUND(-'Current Income Tax Expense'!F166*0.245866,0)</f>
        <v>115144</v>
      </c>
      <c r="G131" s="300">
        <f t="shared" si="81"/>
        <v>0</v>
      </c>
      <c r="H131" s="300">
        <f t="shared" si="76"/>
        <v>0</v>
      </c>
      <c r="I131" s="300">
        <f>-ROUND('Current Income Tax Expense'!I166*0.245866,0)</f>
        <v>0</v>
      </c>
      <c r="J131" s="300">
        <f t="shared" si="77"/>
        <v>0</v>
      </c>
      <c r="K131" s="276" t="str">
        <f>'Current Income Tax Expense'!K166</f>
        <v>NREG</v>
      </c>
      <c r="L131" s="315">
        <f>SUMIF('Allocation Factors'!$B$3:$B$89,'Deferred Income Tax Expense'!K131,'Allocation Factors'!$P$3:$P$89)</f>
        <v>0</v>
      </c>
      <c r="M131" s="300">
        <f t="shared" si="78"/>
        <v>0</v>
      </c>
      <c r="N131" s="300">
        <f t="shared" si="79"/>
        <v>0</v>
      </c>
      <c r="O131" s="300">
        <f t="shared" ref="O131" si="83">SUM(M131:N131)</f>
        <v>0</v>
      </c>
    </row>
    <row r="132" spans="1:15">
      <c r="A132" s="90" t="str">
        <f>'Current Income Tax Expense'!A167</f>
        <v>ARO - reclass to ARO liabilities</v>
      </c>
      <c r="B132" s="276">
        <f>'Current Income Tax Expense'!B167</f>
        <v>287610</v>
      </c>
      <c r="C132" s="314" t="str">
        <f>'Current Income Tax Expense'!C167</f>
        <v>105.400d</v>
      </c>
      <c r="D132" s="276" t="str">
        <f>'Current Income Tax Expense'!D167</f>
        <v>- - - - -</v>
      </c>
      <c r="E132" s="276" t="str">
        <f>'Current Income Tax Expense'!E167</f>
        <v>NR</v>
      </c>
      <c r="F132" s="300">
        <f>ROUND(-'Current Income Tax Expense'!F167*0.245866,0)</f>
        <v>-2205042</v>
      </c>
      <c r="G132" s="300">
        <f t="shared" si="81"/>
        <v>0</v>
      </c>
      <c r="H132" s="300">
        <f t="shared" si="76"/>
        <v>0</v>
      </c>
      <c r="I132" s="300">
        <f>-ROUND('Current Income Tax Expense'!I167*0.245866,0)</f>
        <v>0</v>
      </c>
      <c r="J132" s="300">
        <f t="shared" si="77"/>
        <v>0</v>
      </c>
      <c r="K132" s="276" t="str">
        <f>'Current Income Tax Expense'!K167</f>
        <v>NREG</v>
      </c>
      <c r="L132" s="315">
        <f>SUMIF('Allocation Factors'!$B$3:$B$89,'Deferred Income Tax Expense'!K132,'Allocation Factors'!$P$3:$P$89)</f>
        <v>0</v>
      </c>
      <c r="M132" s="300">
        <f t="shared" si="78"/>
        <v>0</v>
      </c>
      <c r="N132" s="300">
        <f t="shared" si="79"/>
        <v>0</v>
      </c>
      <c r="O132" s="300">
        <f t="shared" si="80"/>
        <v>0</v>
      </c>
    </row>
    <row r="133" spans="1:15">
      <c r="A133" s="90" t="str">
        <f>'Current Income Tax Expense'!A168</f>
        <v>Non-ARO Liability - Regulatory Liability</v>
      </c>
      <c r="B133" s="276">
        <f>'Current Income Tax Expense'!B168</f>
        <v>287610</v>
      </c>
      <c r="C133" s="314">
        <f>'Current Income Tax Expense'!C168</f>
        <v>105.45</v>
      </c>
      <c r="D133" s="276" t="str">
        <f>'Current Income Tax Expense'!D168</f>
        <v>- - - - -</v>
      </c>
      <c r="E133" s="276" t="str">
        <f>'Current Income Tax Expense'!E168</f>
        <v>NR</v>
      </c>
      <c r="F133" s="300">
        <f>ROUND(-'Current Income Tax Expense'!F168*0.245866,0)</f>
        <v>-8670711</v>
      </c>
      <c r="G133" s="300">
        <f t="shared" si="81"/>
        <v>0</v>
      </c>
      <c r="H133" s="300">
        <f t="shared" si="76"/>
        <v>0</v>
      </c>
      <c r="I133" s="300">
        <f>-ROUND('Current Income Tax Expense'!I168*0.245866,0)</f>
        <v>0</v>
      </c>
      <c r="J133" s="300">
        <f t="shared" si="77"/>
        <v>0</v>
      </c>
      <c r="K133" s="276" t="str">
        <f>'Current Income Tax Expense'!K168</f>
        <v>NREG</v>
      </c>
      <c r="L133" s="315">
        <f>SUMIF('Allocation Factors'!$B$3:$B$89,'Deferred Income Tax Expense'!K133,'Allocation Factors'!$P$3:$P$89)</f>
        <v>0</v>
      </c>
      <c r="M133" s="300">
        <f t="shared" si="78"/>
        <v>0</v>
      </c>
      <c r="N133" s="300">
        <f t="shared" si="79"/>
        <v>0</v>
      </c>
      <c r="O133" s="300">
        <f t="shared" si="80"/>
        <v>0</v>
      </c>
    </row>
    <row r="134" spans="1:15">
      <c r="A134" s="90" t="str">
        <f>'Current Income Tax Expense'!A169</f>
        <v>Book Gain/Loss on Property Disposition</v>
      </c>
      <c r="B134" s="276">
        <f>'Current Income Tax Expense'!B169</f>
        <v>287605</v>
      </c>
      <c r="C134" s="314">
        <f>'Current Income Tax Expense'!C169</f>
        <v>105.47</v>
      </c>
      <c r="D134" s="276" t="str">
        <f>'Current Income Tax Expense'!D169</f>
        <v>- - - - -</v>
      </c>
      <c r="E134" s="276" t="str">
        <f>'Current Income Tax Expense'!E169</f>
        <v>U</v>
      </c>
      <c r="F134" s="300">
        <f>ROUND(-'Current Income Tax Expense'!F169*0.245866,0)</f>
        <v>388047</v>
      </c>
      <c r="G134" s="300">
        <f t="shared" si="81"/>
        <v>388047</v>
      </c>
      <c r="H134" s="300">
        <f t="shared" si="76"/>
        <v>388047</v>
      </c>
      <c r="I134" s="300">
        <f>-ROUND('Current Income Tax Expense'!I169*0.245866,0)</f>
        <v>0</v>
      </c>
      <c r="J134" s="300">
        <f t="shared" si="77"/>
        <v>388047</v>
      </c>
      <c r="K134" s="276" t="str">
        <f>'Current Income Tax Expense'!K169</f>
        <v>GPS</v>
      </c>
      <c r="L134" s="315">
        <f>SUMIF('Allocation Factors'!$B$3:$B$89,'Deferred Income Tax Expense'!K134,'Allocation Factors'!$P$3:$P$89)</f>
        <v>6.7017620954721469E-2</v>
      </c>
      <c r="M134" s="300">
        <f t="shared" si="78"/>
        <v>26006</v>
      </c>
      <c r="N134" s="300">
        <f t="shared" si="79"/>
        <v>0</v>
      </c>
      <c r="O134" s="300">
        <f t="shared" si="80"/>
        <v>26006</v>
      </c>
    </row>
    <row r="135" spans="1:15">
      <c r="A135" s="90" t="str">
        <f>'Current Income Tax Expense'!A170</f>
        <v>Tax Depletion-SRC</v>
      </c>
      <c r="B135" s="276">
        <f>'Current Income Tax Expense'!B170</f>
        <v>287771</v>
      </c>
      <c r="C135" s="314">
        <f>'Current Income Tax Expense'!C170</f>
        <v>110.205</v>
      </c>
      <c r="D135" s="276" t="str">
        <f>'Current Income Tax Expense'!D170</f>
        <v>- - - - -</v>
      </c>
      <c r="E135" s="276" t="str">
        <f>'Current Income Tax Expense'!E170</f>
        <v>U</v>
      </c>
      <c r="F135" s="300">
        <f>ROUND(-'Current Income Tax Expense'!F170*0.245866,0)</f>
        <v>7752</v>
      </c>
      <c r="G135" s="300">
        <f t="shared" si="81"/>
        <v>7752</v>
      </c>
      <c r="H135" s="300">
        <f t="shared" si="76"/>
        <v>7752</v>
      </c>
      <c r="I135" s="300">
        <f>-ROUND('Current Income Tax Expense'!I170*0.245866,0)</f>
        <v>0</v>
      </c>
      <c r="J135" s="300">
        <f t="shared" si="77"/>
        <v>7752</v>
      </c>
      <c r="K135" s="269" t="str">
        <f>'Current Income Tax Expense'!K170</f>
        <v>CAEE</v>
      </c>
      <c r="L135" s="315">
        <f>SUMIF('Allocation Factors'!$B$3:$B$89,'Deferred Income Tax Expense'!K135,'Allocation Factors'!$P$3:$P$89)</f>
        <v>0</v>
      </c>
      <c r="M135" s="300">
        <f t="shared" si="78"/>
        <v>0</v>
      </c>
      <c r="N135" s="300">
        <f t="shared" si="79"/>
        <v>0</v>
      </c>
      <c r="O135" s="300">
        <f t="shared" ref="O135" si="84">SUM(M135:N135)</f>
        <v>0</v>
      </c>
    </row>
    <row r="136" spans="1:15">
      <c r="A136" s="90" t="str">
        <f>'Current Income Tax Expense'!A171</f>
        <v>Trapper Mining Inc. Investment Basis</v>
      </c>
      <c r="B136" s="276">
        <f>'Current Income Tax Expense'!B171</f>
        <v>287770</v>
      </c>
      <c r="C136" s="314">
        <f>'Current Income Tax Expense'!C171</f>
        <v>120.205</v>
      </c>
      <c r="D136" s="318" t="str">
        <f>'Current Income Tax Expense'!D171</f>
        <v>- - - - -</v>
      </c>
      <c r="E136" s="276" t="str">
        <f>'Current Income Tax Expense'!E171</f>
        <v>NR</v>
      </c>
      <c r="F136" s="300">
        <f>ROUND(-'Current Income Tax Expense'!F171*0.245866,0)</f>
        <v>-218781</v>
      </c>
      <c r="G136" s="300">
        <f t="shared" si="81"/>
        <v>0</v>
      </c>
      <c r="H136" s="300">
        <f t="shared" si="76"/>
        <v>0</v>
      </c>
      <c r="I136" s="300">
        <f>-ROUND('Current Income Tax Expense'!I171*0.245866,0)</f>
        <v>0</v>
      </c>
      <c r="J136" s="300">
        <f t="shared" si="77"/>
        <v>0</v>
      </c>
      <c r="K136" s="276" t="str">
        <f>'Current Income Tax Expense'!K171</f>
        <v>NREG</v>
      </c>
      <c r="L136" s="315">
        <f>SUMIF('Allocation Factors'!$B$3:$B$89,'Deferred Income Tax Expense'!K136,'Allocation Factors'!$P$3:$P$89)</f>
        <v>0</v>
      </c>
      <c r="M136" s="300">
        <f t="shared" si="78"/>
        <v>0</v>
      </c>
      <c r="N136" s="300">
        <f t="shared" si="79"/>
        <v>0</v>
      </c>
      <c r="O136" s="300">
        <f t="shared" si="80"/>
        <v>0</v>
      </c>
    </row>
    <row r="137" spans="1:15">
      <c r="A137" s="90" t="str">
        <f>'Current Income Tax Expense'!A172</f>
        <v xml:space="preserve">CWIP Reserve </v>
      </c>
      <c r="B137" s="276">
        <f>'Current Income Tax Expense'!B172</f>
        <v>287224</v>
      </c>
      <c r="C137" s="314">
        <f>'Current Income Tax Expense'!C172</f>
        <v>145.03</v>
      </c>
      <c r="D137" s="318" t="str">
        <f>'Current Income Tax Expense'!D172</f>
        <v>- - - - -</v>
      </c>
      <c r="E137" s="276" t="str">
        <f>'Current Income Tax Expense'!E172</f>
        <v>NR</v>
      </c>
      <c r="F137" s="300">
        <f>ROUND(-'Current Income Tax Expense'!F172*0.245866,0)</f>
        <v>-235237</v>
      </c>
      <c r="G137" s="300">
        <f t="shared" si="81"/>
        <v>0</v>
      </c>
      <c r="H137" s="300">
        <f t="shared" si="76"/>
        <v>0</v>
      </c>
      <c r="I137" s="300">
        <f>-ROUND('Current Income Tax Expense'!I172*0.245866,0)</f>
        <v>0</v>
      </c>
      <c r="J137" s="300">
        <f t="shared" si="77"/>
        <v>0</v>
      </c>
      <c r="K137" s="276" t="str">
        <f>'Current Income Tax Expense'!K172</f>
        <v>NREG</v>
      </c>
      <c r="L137" s="315">
        <f>SUMIF('Allocation Factors'!$B$3:$B$89,'Deferred Income Tax Expense'!K137,'Allocation Factors'!$P$3:$P$89)</f>
        <v>0</v>
      </c>
      <c r="M137" s="300">
        <f t="shared" si="78"/>
        <v>0</v>
      </c>
      <c r="N137" s="300">
        <f t="shared" si="79"/>
        <v>0</v>
      </c>
      <c r="O137" s="300">
        <f t="shared" ref="O137" si="85">SUM(M137:N137)</f>
        <v>0</v>
      </c>
    </row>
    <row r="138" spans="1:15">
      <c r="A138" s="90" t="str">
        <f>'Current Income Tax Expense'!A173</f>
        <v>PMI-Fuel Cost Adjustment</v>
      </c>
      <c r="B138" s="276">
        <f>'Current Income Tax Expense'!B173</f>
        <v>287482</v>
      </c>
      <c r="C138" s="314">
        <f>'Current Income Tax Expense'!C173</f>
        <v>205.02500000000001</v>
      </c>
      <c r="D138" s="318" t="str">
        <f>'Current Income Tax Expense'!D173</f>
        <v>- - - - -</v>
      </c>
      <c r="E138" s="276" t="str">
        <f>'Current Income Tax Expense'!E173</f>
        <v>U</v>
      </c>
      <c r="F138" s="300">
        <f>ROUND(-'Current Income Tax Expense'!F173*0.245866,0)</f>
        <v>390179</v>
      </c>
      <c r="G138" s="300">
        <f t="shared" si="81"/>
        <v>390179</v>
      </c>
      <c r="H138" s="300">
        <f t="shared" si="76"/>
        <v>390179</v>
      </c>
      <c r="I138" s="300">
        <f>-ROUND('Current Income Tax Expense'!I173*0.245866,0)</f>
        <v>0</v>
      </c>
      <c r="J138" s="300">
        <f t="shared" si="77"/>
        <v>390179</v>
      </c>
      <c r="K138" s="276" t="str">
        <f>'Current Income Tax Expense'!K173</f>
        <v>JBE</v>
      </c>
      <c r="L138" s="315">
        <f>SUMIF('Allocation Factors'!$B$3:$B$89,'Deferred Income Tax Expense'!K138,'Allocation Factors'!$P$3:$P$89)</f>
        <v>0.22591574269314921</v>
      </c>
      <c r="M138" s="300">
        <f t="shared" si="78"/>
        <v>88148</v>
      </c>
      <c r="N138" s="300">
        <f t="shared" si="79"/>
        <v>0</v>
      </c>
      <c r="O138" s="300">
        <f t="shared" ref="O138" si="86">SUM(M138:N138)</f>
        <v>88148</v>
      </c>
    </row>
    <row r="139" spans="1:15">
      <c r="A139" s="90" t="str">
        <f>'Current Income Tax Expense'!A174</f>
        <v>Inventory Reserve</v>
      </c>
      <c r="B139" s="276">
        <f>'Current Income Tax Expense'!B174</f>
        <v>287415</v>
      </c>
      <c r="C139" s="314">
        <f>'Current Income Tax Expense'!C174</f>
        <v>205.2</v>
      </c>
      <c r="D139" s="276" t="str">
        <f>'Current Income Tax Expense'!D174</f>
        <v>- - - - -</v>
      </c>
      <c r="E139" s="276" t="str">
        <f>'Current Income Tax Expense'!E174</f>
        <v>U</v>
      </c>
      <c r="F139" s="300">
        <f>ROUND(-'Current Income Tax Expense'!F174*0.245866,0)</f>
        <v>380619</v>
      </c>
      <c r="G139" s="300">
        <f t="shared" si="81"/>
        <v>380619</v>
      </c>
      <c r="H139" s="300">
        <f t="shared" si="76"/>
        <v>380619</v>
      </c>
      <c r="I139" s="300">
        <f>-ROUND('Current Income Tax Expense'!I174*0.245866,0)</f>
        <v>0</v>
      </c>
      <c r="J139" s="300">
        <f t="shared" si="77"/>
        <v>380619</v>
      </c>
      <c r="K139" s="276" t="str">
        <f>'Current Income Tax Expense'!K174</f>
        <v>SNPD</v>
      </c>
      <c r="L139" s="315">
        <f>SUMIF('Allocation Factors'!$B$3:$B$89,'Deferred Income Tax Expense'!K139,'Allocation Factors'!$P$3:$P$89)</f>
        <v>6.4409240866138473E-2</v>
      </c>
      <c r="M139" s="300">
        <f t="shared" si="78"/>
        <v>24515</v>
      </c>
      <c r="N139" s="300">
        <f t="shared" si="79"/>
        <v>0</v>
      </c>
      <c r="O139" s="300">
        <f t="shared" si="80"/>
        <v>24515</v>
      </c>
    </row>
    <row r="140" spans="1:15">
      <c r="A140" s="90" t="str">
        <f>'Current Income Tax Expense'!A175</f>
        <v>Inventory Reserve - PMI</v>
      </c>
      <c r="B140" s="276">
        <f>'Current Income Tax Expense'!B175</f>
        <v>287938</v>
      </c>
      <c r="C140" s="314">
        <f>'Current Income Tax Expense'!C175</f>
        <v>205.20500000000001</v>
      </c>
      <c r="D140" s="276" t="str">
        <f>'Current Income Tax Expense'!D175</f>
        <v>- - - - -</v>
      </c>
      <c r="E140" s="276" t="str">
        <f>'Current Income Tax Expense'!E175</f>
        <v>U</v>
      </c>
      <c r="F140" s="300">
        <f>ROUND(-'Current Income Tax Expense'!F175*0.245866,0)</f>
        <v>31678</v>
      </c>
      <c r="G140" s="300">
        <f t="shared" si="81"/>
        <v>31678</v>
      </c>
      <c r="H140" s="300">
        <f t="shared" si="76"/>
        <v>31678</v>
      </c>
      <c r="I140" s="300">
        <f>-ROUND('Current Income Tax Expense'!I175*0.245866,0)</f>
        <v>0</v>
      </c>
      <c r="J140" s="300">
        <f t="shared" si="77"/>
        <v>31678</v>
      </c>
      <c r="K140" s="276" t="str">
        <f>'Current Income Tax Expense'!K175</f>
        <v>JBE</v>
      </c>
      <c r="L140" s="315">
        <f>SUMIF('Allocation Factors'!$B$3:$B$89,'Deferred Income Tax Expense'!K140,'Allocation Factors'!$P$3:$P$89)</f>
        <v>0.22591574269314921</v>
      </c>
      <c r="M140" s="300">
        <f t="shared" si="78"/>
        <v>7157</v>
      </c>
      <c r="N140" s="300">
        <f t="shared" si="79"/>
        <v>0</v>
      </c>
      <c r="O140" s="300">
        <f t="shared" ref="O140:O144" si="87">SUM(M140:N140)</f>
        <v>7157</v>
      </c>
    </row>
    <row r="141" spans="1:15">
      <c r="A141" s="90" t="str">
        <f>'Current Income Tax Expense'!A176</f>
        <v>Sec. 263A Inventory Change - PMI</v>
      </c>
      <c r="B141" s="276">
        <f>'Current Income Tax Expense'!B176</f>
        <v>287723</v>
      </c>
      <c r="C141" s="314">
        <f>'Current Income Tax Expense'!C176</f>
        <v>205.411</v>
      </c>
      <c r="D141" s="276" t="str">
        <f>'Current Income Tax Expense'!D176</f>
        <v>- - - - -</v>
      </c>
      <c r="E141" s="276" t="str">
        <f>'Current Income Tax Expense'!E176</f>
        <v>U</v>
      </c>
      <c r="F141" s="300">
        <f>ROUND(-'Current Income Tax Expense'!F176*0.245866,0)</f>
        <v>-1294161</v>
      </c>
      <c r="G141" s="300">
        <f t="shared" si="81"/>
        <v>-1294161</v>
      </c>
      <c r="H141" s="300">
        <f t="shared" si="76"/>
        <v>-1294161</v>
      </c>
      <c r="I141" s="300">
        <f>-ROUND('Current Income Tax Expense'!I176*0.245866,0)</f>
        <v>0</v>
      </c>
      <c r="J141" s="300">
        <f t="shared" si="77"/>
        <v>-1294161</v>
      </c>
      <c r="K141" s="276" t="str">
        <f>'Current Income Tax Expense'!K176</f>
        <v>JBE</v>
      </c>
      <c r="L141" s="315">
        <f>SUMIF('Allocation Factors'!$B$3:$B$89,'Deferred Income Tax Expense'!K141,'Allocation Factors'!$P$3:$P$89)</f>
        <v>0.22591574269314921</v>
      </c>
      <c r="M141" s="300">
        <f t="shared" si="78"/>
        <v>-292371</v>
      </c>
      <c r="N141" s="300">
        <f t="shared" si="79"/>
        <v>0</v>
      </c>
      <c r="O141" s="300">
        <f t="shared" si="87"/>
        <v>-292371</v>
      </c>
    </row>
    <row r="142" spans="1:15">
      <c r="A142" s="90" t="str">
        <f>'Current Income Tax Expense'!A177</f>
        <v>Prepaid Fees - OR PUC</v>
      </c>
      <c r="B142" s="276">
        <f>'Current Income Tax Expense'!B177</f>
        <v>287662</v>
      </c>
      <c r="C142" s="314">
        <f>'Current Income Tax Expense'!C177</f>
        <v>210.1</v>
      </c>
      <c r="D142" s="276" t="str">
        <f>'Current Income Tax Expense'!D177</f>
        <v>- - - - -</v>
      </c>
      <c r="E142" s="276" t="str">
        <f>'Current Income Tax Expense'!E177</f>
        <v>U</v>
      </c>
      <c r="F142" s="300">
        <f>ROUND(-'Current Income Tax Expense'!F177*0.245866,0)</f>
        <v>-38422</v>
      </c>
      <c r="G142" s="300">
        <f t="shared" si="81"/>
        <v>-38422</v>
      </c>
      <c r="H142" s="300">
        <f t="shared" si="76"/>
        <v>-38422</v>
      </c>
      <c r="I142" s="300">
        <f>-ROUND('Current Income Tax Expense'!I177*0.245866,0)</f>
        <v>0</v>
      </c>
      <c r="J142" s="300">
        <f t="shared" si="77"/>
        <v>-38422</v>
      </c>
      <c r="K142" s="276" t="str">
        <f>'Current Income Tax Expense'!K177</f>
        <v>OR</v>
      </c>
      <c r="L142" s="315">
        <f>SUMIF('Allocation Factors'!$B$3:$B$89,'Deferred Income Tax Expense'!K142,'Allocation Factors'!$P$3:$P$89)</f>
        <v>0</v>
      </c>
      <c r="M142" s="300">
        <f t="shared" si="78"/>
        <v>0</v>
      </c>
      <c r="N142" s="300">
        <f t="shared" si="79"/>
        <v>0</v>
      </c>
      <c r="O142" s="300">
        <f t="shared" si="87"/>
        <v>0</v>
      </c>
    </row>
    <row r="143" spans="1:15">
      <c r="A143" s="90" t="str">
        <f>'Current Income Tax Expense'!A178</f>
        <v>Prepaid Fees - UT PSC</v>
      </c>
      <c r="B143" s="276">
        <f>'Current Income Tax Expense'!B178</f>
        <v>287664</v>
      </c>
      <c r="C143" s="314">
        <f>'Current Income Tax Expense'!C178</f>
        <v>210.12</v>
      </c>
      <c r="D143" s="276" t="str">
        <f>'Current Income Tax Expense'!D178</f>
        <v>- - - - -</v>
      </c>
      <c r="E143" s="276" t="str">
        <f>'Current Income Tax Expense'!E178</f>
        <v>U</v>
      </c>
      <c r="F143" s="300">
        <f>ROUND(-'Current Income Tax Expense'!F178*0.245866,0)</f>
        <v>-17473</v>
      </c>
      <c r="G143" s="300">
        <f t="shared" si="81"/>
        <v>-17473</v>
      </c>
      <c r="H143" s="300">
        <f t="shared" si="76"/>
        <v>-17473</v>
      </c>
      <c r="I143" s="300">
        <f>-ROUND('Current Income Tax Expense'!I178*0.245866,0)</f>
        <v>0</v>
      </c>
      <c r="J143" s="300">
        <f t="shared" si="77"/>
        <v>-17473</v>
      </c>
      <c r="K143" s="276" t="str">
        <f>'Current Income Tax Expense'!K178</f>
        <v>UT</v>
      </c>
      <c r="L143" s="315">
        <f>SUMIF('Allocation Factors'!$B$3:$B$89,'Deferred Income Tax Expense'!K143,'Allocation Factors'!$P$3:$P$89)</f>
        <v>0</v>
      </c>
      <c r="M143" s="300">
        <f t="shared" si="78"/>
        <v>0</v>
      </c>
      <c r="N143" s="300">
        <f t="shared" si="79"/>
        <v>0</v>
      </c>
      <c r="O143" s="300">
        <f t="shared" si="87"/>
        <v>0</v>
      </c>
    </row>
    <row r="144" spans="1:15">
      <c r="A144" s="90" t="str">
        <f>'Current Income Tax Expense'!A179</f>
        <v>Prepaid Fees - Idaho PUC</v>
      </c>
      <c r="B144" s="276">
        <f>'Current Income Tax Expense'!B179</f>
        <v>287665</v>
      </c>
      <c r="C144" s="314">
        <f>'Current Income Tax Expense'!C179</f>
        <v>210.13</v>
      </c>
      <c r="D144" s="276" t="str">
        <f>'Current Income Tax Expense'!D179</f>
        <v>- - - - -</v>
      </c>
      <c r="E144" s="276" t="str">
        <f>'Current Income Tax Expense'!E179</f>
        <v>U</v>
      </c>
      <c r="F144" s="300">
        <f>ROUND(-'Current Income Tax Expense'!F179*0.245866,0)</f>
        <v>9864</v>
      </c>
      <c r="G144" s="300">
        <f t="shared" si="81"/>
        <v>9864</v>
      </c>
      <c r="H144" s="300">
        <f t="shared" si="76"/>
        <v>9864</v>
      </c>
      <c r="I144" s="300">
        <f>-ROUND('Current Income Tax Expense'!I179*0.245866,0)</f>
        <v>0</v>
      </c>
      <c r="J144" s="300">
        <f t="shared" si="77"/>
        <v>9864</v>
      </c>
      <c r="K144" s="276" t="str">
        <f>'Current Income Tax Expense'!K179</f>
        <v>IDU</v>
      </c>
      <c r="L144" s="315">
        <f>SUMIF('Allocation Factors'!$B$3:$B$89,'Deferred Income Tax Expense'!K144,'Allocation Factors'!$P$3:$P$89)</f>
        <v>0</v>
      </c>
      <c r="M144" s="300">
        <f t="shared" si="78"/>
        <v>0</v>
      </c>
      <c r="N144" s="300">
        <f t="shared" si="79"/>
        <v>0</v>
      </c>
      <c r="O144" s="300">
        <f t="shared" si="87"/>
        <v>0</v>
      </c>
    </row>
    <row r="145" spans="1:15">
      <c r="A145" s="90" t="str">
        <f>'Current Income Tax Expense'!A180</f>
        <v>Other Prepaid</v>
      </c>
      <c r="B145" s="276">
        <f>'Current Income Tax Expense'!B180</f>
        <v>287669</v>
      </c>
      <c r="C145" s="314">
        <f>'Current Income Tax Expense'!C180</f>
        <v>210.18</v>
      </c>
      <c r="D145" s="276" t="str">
        <f>'Current Income Tax Expense'!D180</f>
        <v>- - - - -</v>
      </c>
      <c r="E145" s="276" t="str">
        <f>'Current Income Tax Expense'!E180</f>
        <v>U</v>
      </c>
      <c r="F145" s="300">
        <f>ROUND(-'Current Income Tax Expense'!F180*0.245866,0)</f>
        <v>-201774</v>
      </c>
      <c r="G145" s="300">
        <f t="shared" si="81"/>
        <v>-201774</v>
      </c>
      <c r="H145" s="300">
        <f t="shared" si="76"/>
        <v>-201774</v>
      </c>
      <c r="I145" s="300">
        <f>-ROUND('Current Income Tax Expense'!I180*0.245866,0)</f>
        <v>0</v>
      </c>
      <c r="J145" s="300">
        <f t="shared" si="77"/>
        <v>-201774</v>
      </c>
      <c r="K145" s="276" t="str">
        <f>'Current Income Tax Expense'!K180</f>
        <v>SO</v>
      </c>
      <c r="L145" s="315">
        <f>SUMIF('Allocation Factors'!$B$3:$B$89,'Deferred Income Tax Expense'!K145,'Allocation Factors'!$P$3:$P$89)</f>
        <v>6.7017620954721469E-2</v>
      </c>
      <c r="M145" s="300">
        <f t="shared" si="78"/>
        <v>-13522</v>
      </c>
      <c r="N145" s="300">
        <f t="shared" si="79"/>
        <v>0</v>
      </c>
      <c r="O145" s="300">
        <f t="shared" ref="O145:O189" si="88">SUM(M145:N145)</f>
        <v>-13522</v>
      </c>
    </row>
    <row r="146" spans="1:15">
      <c r="A146" s="90" t="str">
        <f>'Current Income Tax Expense'!A181</f>
        <v>Prepaid Aircraft Maintenance Costs</v>
      </c>
      <c r="B146" s="276">
        <f>'Current Income Tax Expense'!B181</f>
        <v>287907</v>
      </c>
      <c r="C146" s="314">
        <f>'Current Income Tax Expense'!C181</f>
        <v>210.185</v>
      </c>
      <c r="D146" s="276" t="str">
        <f>'Current Income Tax Expense'!D181</f>
        <v>- - - - -</v>
      </c>
      <c r="E146" s="276" t="str">
        <f>'Current Income Tax Expense'!E181</f>
        <v>U</v>
      </c>
      <c r="F146" s="300">
        <f>ROUND(-'Current Income Tax Expense'!F181*0.245866,0)</f>
        <v>3111</v>
      </c>
      <c r="G146" s="300">
        <f t="shared" si="81"/>
        <v>3111</v>
      </c>
      <c r="H146" s="300">
        <f t="shared" si="76"/>
        <v>3111</v>
      </c>
      <c r="I146" s="300">
        <f>-ROUND('Current Income Tax Expense'!I181*0.245866,0)</f>
        <v>0</v>
      </c>
      <c r="J146" s="300">
        <f t="shared" si="77"/>
        <v>3111</v>
      </c>
      <c r="K146" s="276" t="str">
        <f>'Current Income Tax Expense'!K181</f>
        <v>SG</v>
      </c>
      <c r="L146" s="315">
        <f>SUMIF('Allocation Factors'!$B$3:$B$89,'Deferred Income Tax Expense'!K146,'Allocation Factors'!$P$3:$P$89)</f>
        <v>7.8111041399714837E-2</v>
      </c>
      <c r="M146" s="300">
        <f t="shared" si="78"/>
        <v>243</v>
      </c>
      <c r="N146" s="300">
        <f t="shared" si="79"/>
        <v>0</v>
      </c>
      <c r="O146" s="300">
        <f t="shared" si="88"/>
        <v>243</v>
      </c>
    </row>
    <row r="147" spans="1:15">
      <c r="A147" s="90" t="str">
        <f>'Current Income Tax Expense'!A182</f>
        <v>Contra RA - Pension Plan CTG</v>
      </c>
      <c r="B147" s="276">
        <f>'Current Income Tax Expense'!B182</f>
        <v>286903</v>
      </c>
      <c r="C147" s="314">
        <f>'Current Income Tax Expense'!C182</f>
        <v>320.27100000000002</v>
      </c>
      <c r="D147" s="276" t="str">
        <f>'Current Income Tax Expense'!D182</f>
        <v>- - - - -</v>
      </c>
      <c r="E147" s="276" t="str">
        <f>'Current Income Tax Expense'!E182</f>
        <v>NR</v>
      </c>
      <c r="F147" s="300">
        <f>ROUND(-'Current Income Tax Expense'!F182*0.245866,0)</f>
        <v>403462</v>
      </c>
      <c r="G147" s="300">
        <f t="shared" si="81"/>
        <v>0</v>
      </c>
      <c r="H147" s="300">
        <f t="shared" si="76"/>
        <v>0</v>
      </c>
      <c r="I147" s="300">
        <f>-ROUND('Current Income Tax Expense'!I182*0.245866,0)</f>
        <v>0</v>
      </c>
      <c r="J147" s="300">
        <f t="shared" si="77"/>
        <v>0</v>
      </c>
      <c r="K147" s="276" t="str">
        <f>'Current Income Tax Expense'!K182</f>
        <v>NREG</v>
      </c>
      <c r="L147" s="315">
        <f>SUMIF('Allocation Factors'!$B$3:$B$89,'Deferred Income Tax Expense'!K147,'Allocation Factors'!$P$3:$P$89)</f>
        <v>0</v>
      </c>
      <c r="M147" s="300">
        <f t="shared" si="78"/>
        <v>0</v>
      </c>
      <c r="N147" s="300">
        <f t="shared" si="79"/>
        <v>0</v>
      </c>
      <c r="O147" s="300">
        <f t="shared" si="88"/>
        <v>0</v>
      </c>
    </row>
    <row r="148" spans="1:15">
      <c r="A148" s="90" t="str">
        <f>'Current Income Tax Expense'!A183</f>
        <v>Reg Liability - FAS 158 Post Retirement</v>
      </c>
      <c r="B148" s="276">
        <f>'Current Income Tax Expense'!B183</f>
        <v>287198</v>
      </c>
      <c r="C148" s="314">
        <f>'Current Income Tax Expense'!C183</f>
        <v>320.279</v>
      </c>
      <c r="D148" s="276" t="str">
        <f>'Current Income Tax Expense'!D183</f>
        <v>- - - - -</v>
      </c>
      <c r="E148" s="276" t="s">
        <v>333</v>
      </c>
      <c r="F148" s="300">
        <f>ROUND(-'Current Income Tax Expense'!F183*0.245866,0)</f>
        <v>-2697514</v>
      </c>
      <c r="G148" s="300">
        <f t="shared" si="81"/>
        <v>0</v>
      </c>
      <c r="H148" s="300">
        <f t="shared" ref="H148:H179" si="89">IF(E148="U",G148,0)</f>
        <v>0</v>
      </c>
      <c r="I148" s="300">
        <f>-ROUND('Current Income Tax Expense'!I183*0.245866,0)</f>
        <v>0</v>
      </c>
      <c r="J148" s="300">
        <f t="shared" ref="J148:J179" si="90">SUM(H148:I148)</f>
        <v>0</v>
      </c>
      <c r="K148" s="276" t="str">
        <f>'Current Income Tax Expense'!K183</f>
        <v>NREG</v>
      </c>
      <c r="L148" s="315">
        <f>SUMIF('Allocation Factors'!$B$3:$B$89,'Deferred Income Tax Expense'!K148,'Allocation Factors'!$P$3:$P$89)</f>
        <v>0</v>
      </c>
      <c r="M148" s="300">
        <f t="shared" ref="M148:M179" si="91">ROUND(H148*L148,0)</f>
        <v>0</v>
      </c>
      <c r="N148" s="300">
        <f t="shared" ref="N148:N184" si="92">ROUND(SUM(I148:I148)*L148,0)</f>
        <v>0</v>
      </c>
      <c r="O148" s="300">
        <f t="shared" si="88"/>
        <v>0</v>
      </c>
    </row>
    <row r="149" spans="1:15">
      <c r="A149" s="90" t="str">
        <f>'Current Income Tax Expense'!A184</f>
        <v>Reg Asset - Post-Employment Costs</v>
      </c>
      <c r="B149" s="276">
        <f>'Current Income Tax Expense'!B184</f>
        <v>287972</v>
      </c>
      <c r="C149" s="314">
        <f>'Current Income Tax Expense'!C184</f>
        <v>320.28500000000003</v>
      </c>
      <c r="D149" s="276" t="str">
        <f>'Current Income Tax Expense'!D184</f>
        <v>- - - - -</v>
      </c>
      <c r="E149" s="276" t="str">
        <f>'Current Income Tax Expense'!E184</f>
        <v>NR</v>
      </c>
      <c r="F149" s="300">
        <f>ROUND(-'Current Income Tax Expense'!F184*0.245866,0)</f>
        <v>-105156</v>
      </c>
      <c r="G149" s="300">
        <f t="shared" si="81"/>
        <v>0</v>
      </c>
      <c r="H149" s="300">
        <f t="shared" si="89"/>
        <v>0</v>
      </c>
      <c r="I149" s="300">
        <f>-ROUND('Current Income Tax Expense'!I184*0.245866,0)</f>
        <v>0</v>
      </c>
      <c r="J149" s="300">
        <f t="shared" si="90"/>
        <v>0</v>
      </c>
      <c r="K149" s="276" t="str">
        <f>'Current Income Tax Expense'!K184</f>
        <v>NREG</v>
      </c>
      <c r="L149" s="315">
        <f>SUMIF('Allocation Factors'!$B$3:$B$89,'Deferred Income Tax Expense'!K149,'Allocation Factors'!$P$3:$P$89)</f>
        <v>0</v>
      </c>
      <c r="M149" s="300">
        <f t="shared" si="91"/>
        <v>0</v>
      </c>
      <c r="N149" s="300">
        <f t="shared" si="92"/>
        <v>0</v>
      </c>
      <c r="O149" s="300">
        <f t="shared" si="88"/>
        <v>0</v>
      </c>
    </row>
    <row r="150" spans="1:15">
      <c r="A150" s="90" t="str">
        <f>'Current Income Tax Expense'!A185</f>
        <v>Transmission Service Deposits</v>
      </c>
      <c r="B150" s="276">
        <f>'Current Income Tax Expense'!B185</f>
        <v>287338</v>
      </c>
      <c r="C150" s="314">
        <f>'Current Income Tax Expense'!C185</f>
        <v>415.11</v>
      </c>
      <c r="D150" s="276" t="str">
        <f>'Current Income Tax Expense'!D185</f>
        <v>- - - - -</v>
      </c>
      <c r="E150" s="276" t="str">
        <f>'Current Income Tax Expense'!E185</f>
        <v>U</v>
      </c>
      <c r="F150" s="300">
        <f>ROUND(-'Current Income Tax Expense'!F185*0.245866,0)</f>
        <v>-373686</v>
      </c>
      <c r="G150" s="300">
        <f t="shared" si="81"/>
        <v>-373686</v>
      </c>
      <c r="H150" s="300">
        <f t="shared" si="89"/>
        <v>-373686</v>
      </c>
      <c r="I150" s="300">
        <f>-ROUND('Current Income Tax Expense'!I185*0.245866,0)</f>
        <v>0</v>
      </c>
      <c r="J150" s="300">
        <f t="shared" si="90"/>
        <v>-373686</v>
      </c>
      <c r="K150" s="276" t="str">
        <f>'Current Income Tax Expense'!K185</f>
        <v>SG</v>
      </c>
      <c r="L150" s="315">
        <f>SUMIF('Allocation Factors'!$B$3:$B$89,'Deferred Income Tax Expense'!K150,'Allocation Factors'!$P$3:$P$89)</f>
        <v>7.8111041399714837E-2</v>
      </c>
      <c r="M150" s="300">
        <f t="shared" si="91"/>
        <v>-29189</v>
      </c>
      <c r="N150" s="300">
        <f t="shared" si="92"/>
        <v>0</v>
      </c>
      <c r="O150" s="300">
        <f t="shared" si="88"/>
        <v>-29189</v>
      </c>
    </row>
    <row r="151" spans="1:15">
      <c r="A151" s="90" t="str">
        <f>'Current Income Tax Expense'!A186</f>
        <v>Reg Asset - OR Transportation Electrification Pilot</v>
      </c>
      <c r="B151" s="276">
        <f>'Current Income Tax Expense'!B186</f>
        <v>286910</v>
      </c>
      <c r="C151" s="314">
        <f>'Current Income Tax Expense'!C186</f>
        <v>415.2</v>
      </c>
      <c r="D151" s="276" t="str">
        <f>'Current Income Tax Expense'!D186</f>
        <v>- - - - -</v>
      </c>
      <c r="E151" s="276" t="str">
        <f>'Current Income Tax Expense'!E186</f>
        <v>U</v>
      </c>
      <c r="F151" s="300">
        <f>ROUND(-'Current Income Tax Expense'!F186*0.245866,0)</f>
        <v>95858</v>
      </c>
      <c r="G151" s="300">
        <f t="shared" si="81"/>
        <v>95858</v>
      </c>
      <c r="H151" s="300">
        <f t="shared" si="89"/>
        <v>95858</v>
      </c>
      <c r="I151" s="300">
        <f>-ROUND('Current Income Tax Expense'!I186*0.245866,0)</f>
        <v>0</v>
      </c>
      <c r="J151" s="300">
        <f t="shared" si="90"/>
        <v>95858</v>
      </c>
      <c r="K151" s="276" t="str">
        <f>'Current Income Tax Expense'!K186</f>
        <v>OTHER</v>
      </c>
      <c r="L151" s="315">
        <f>SUMIF('Allocation Factors'!$B$3:$B$89,'Deferred Income Tax Expense'!K151,'Allocation Factors'!$P$3:$P$89)</f>
        <v>0</v>
      </c>
      <c r="M151" s="300">
        <f t="shared" si="91"/>
        <v>0</v>
      </c>
      <c r="N151" s="300">
        <f t="shared" ref="N151" si="93">ROUND(SUM(I151:I151)*L151,0)</f>
        <v>0</v>
      </c>
      <c r="O151" s="300">
        <f t="shared" ref="O151" si="94">SUM(M151:N151)</f>
        <v>0</v>
      </c>
    </row>
    <row r="152" spans="1:15">
      <c r="A152" s="90" t="str">
        <f>'Current Income Tax Expense'!A187</f>
        <v>Reg Asset - Environmental Cost</v>
      </c>
      <c r="B152" s="276">
        <f>'Current Income Tax Expense'!B187</f>
        <v>287634</v>
      </c>
      <c r="C152" s="314">
        <f>'Current Income Tax Expense'!C187</f>
        <v>415.3</v>
      </c>
      <c r="D152" s="74">
        <f>+'Current Income Tax Expense'!D187</f>
        <v>4.1100000000000003</v>
      </c>
      <c r="E152" s="276" t="str">
        <f>'Current Income Tax Expense'!E187</f>
        <v>U</v>
      </c>
      <c r="F152" s="300">
        <f>ROUND(-'Current Income Tax Expense'!F187*0.245866,0)</f>
        <v>461136</v>
      </c>
      <c r="G152" s="300">
        <f t="shared" si="81"/>
        <v>461136</v>
      </c>
      <c r="H152" s="300">
        <f t="shared" si="89"/>
        <v>461136</v>
      </c>
      <c r="I152" s="300">
        <f>ROUND(-'Current Income Tax Expense'!I187*0.245866,0)</f>
        <v>-461136</v>
      </c>
      <c r="J152" s="300">
        <f t="shared" si="90"/>
        <v>0</v>
      </c>
      <c r="K152" s="276" t="str">
        <f>'Current Income Tax Expense'!K187</f>
        <v>SO</v>
      </c>
      <c r="L152" s="315">
        <f>SUMIF('Allocation Factors'!$B$3:$B$89,'Deferred Income Tax Expense'!K152,'Allocation Factors'!$P$3:$P$89)</f>
        <v>6.7017620954721469E-2</v>
      </c>
      <c r="M152" s="300">
        <f t="shared" si="91"/>
        <v>30904</v>
      </c>
      <c r="N152" s="300">
        <f t="shared" si="92"/>
        <v>-30904</v>
      </c>
      <c r="O152" s="300">
        <f t="shared" si="88"/>
        <v>0</v>
      </c>
    </row>
    <row r="153" spans="1:15">
      <c r="A153" s="90" t="str">
        <f>'Current Income Tax Expense'!A188</f>
        <v>Reg Asset - Energy West Mining</v>
      </c>
      <c r="B153" s="276">
        <f>'Current Income Tax Expense'!B188</f>
        <v>287840</v>
      </c>
      <c r="C153" s="314">
        <f>'Current Income Tax Expense'!C188</f>
        <v>415.41</v>
      </c>
      <c r="D153" s="269" t="str">
        <f>'Current Income Tax Expense'!D188</f>
        <v>- - - - -</v>
      </c>
      <c r="E153" s="276" t="str">
        <f>'Current Income Tax Expense'!E188</f>
        <v>U</v>
      </c>
      <c r="F153" s="300">
        <f>ROUND(-'Current Income Tax Expense'!F188*0.245866,0)</f>
        <v>-246843</v>
      </c>
      <c r="G153" s="300">
        <f t="shared" si="81"/>
        <v>-246843</v>
      </c>
      <c r="H153" s="300">
        <f t="shared" si="89"/>
        <v>-246843</v>
      </c>
      <c r="I153" s="300">
        <f>-ROUND('Current Income Tax Expense'!I188*0.245866,0)</f>
        <v>0</v>
      </c>
      <c r="J153" s="300">
        <f t="shared" si="90"/>
        <v>-246843</v>
      </c>
      <c r="K153" s="276" t="str">
        <f>'Current Income Tax Expense'!K188</f>
        <v>CAEE</v>
      </c>
      <c r="L153" s="315">
        <f>SUMIF('Allocation Factors'!$B$3:$B$89,'Deferred Income Tax Expense'!K153,'Allocation Factors'!$P$3:$P$89)</f>
        <v>0</v>
      </c>
      <c r="M153" s="300">
        <f t="shared" si="91"/>
        <v>0</v>
      </c>
      <c r="N153" s="300">
        <f t="shared" si="92"/>
        <v>0</v>
      </c>
      <c r="O153" s="300">
        <f t="shared" si="88"/>
        <v>0</v>
      </c>
    </row>
    <row r="154" spans="1:15">
      <c r="A154" s="90" t="str">
        <f>'Current Income Tax Expense'!A189</f>
        <v>Contra Reg Asset - Deer Creek Abandonment - CA</v>
      </c>
      <c r="B154" s="276">
        <f>'Current Income Tax Expense'!B189</f>
        <v>287841</v>
      </c>
      <c r="C154" s="314">
        <f>'Current Income Tax Expense'!C189</f>
        <v>415.411</v>
      </c>
      <c r="D154" s="269" t="str">
        <f>'Current Income Tax Expense'!D189</f>
        <v>- - - - -</v>
      </c>
      <c r="E154" s="276" t="str">
        <f>'Current Income Tax Expense'!E189</f>
        <v>U</v>
      </c>
      <c r="F154" s="300">
        <f>ROUND(-'Current Income Tax Expense'!F189*0.245866,0)</f>
        <v>4245</v>
      </c>
      <c r="G154" s="300">
        <f t="shared" si="81"/>
        <v>4245</v>
      </c>
      <c r="H154" s="300">
        <f t="shared" si="89"/>
        <v>4245</v>
      </c>
      <c r="I154" s="300">
        <f>-ROUND('Current Income Tax Expense'!I189*0.245866,0)</f>
        <v>0</v>
      </c>
      <c r="J154" s="300">
        <f t="shared" si="90"/>
        <v>4245</v>
      </c>
      <c r="K154" s="276" t="str">
        <f>'Current Income Tax Expense'!K189</f>
        <v>CA</v>
      </c>
      <c r="L154" s="315">
        <f>SUMIF('Allocation Factors'!$B$3:$B$89,'Deferred Income Tax Expense'!K154,'Allocation Factors'!$P$3:$P$89)</f>
        <v>0</v>
      </c>
      <c r="M154" s="300">
        <f t="shared" si="91"/>
        <v>0</v>
      </c>
      <c r="N154" s="300">
        <f t="shared" si="92"/>
        <v>0</v>
      </c>
      <c r="O154" s="300">
        <f t="shared" si="88"/>
        <v>0</v>
      </c>
    </row>
    <row r="155" spans="1:15">
      <c r="A155" s="90" t="str">
        <f>'Current Income Tax Expense'!A190</f>
        <v>Contra Reg Asset - Deer Creek Abandonment - ID</v>
      </c>
      <c r="B155" s="276">
        <f>'Current Income Tax Expense'!B190</f>
        <v>287842</v>
      </c>
      <c r="C155" s="314">
        <f>'Current Income Tax Expense'!C190</f>
        <v>415.41199999999998</v>
      </c>
      <c r="D155" s="269" t="str">
        <f>'Current Income Tax Expense'!D190</f>
        <v>- - - - -</v>
      </c>
      <c r="E155" s="276" t="str">
        <f>'Current Income Tax Expense'!E190</f>
        <v>U</v>
      </c>
      <c r="F155" s="300">
        <f>ROUND(-'Current Income Tax Expense'!F190*0.245866,0)</f>
        <v>-102088</v>
      </c>
      <c r="G155" s="300">
        <f t="shared" si="81"/>
        <v>-102088</v>
      </c>
      <c r="H155" s="300">
        <f t="shared" si="89"/>
        <v>-102088</v>
      </c>
      <c r="I155" s="300">
        <f>-ROUND('Current Income Tax Expense'!I190*0.245866,0)</f>
        <v>0</v>
      </c>
      <c r="J155" s="300">
        <f t="shared" si="90"/>
        <v>-102088</v>
      </c>
      <c r="K155" s="276" t="str">
        <f>'Current Income Tax Expense'!K190</f>
        <v>IDU</v>
      </c>
      <c r="L155" s="315">
        <f>SUMIF('Allocation Factors'!$B$3:$B$89,'Deferred Income Tax Expense'!K155,'Allocation Factors'!$P$3:$P$89)</f>
        <v>0</v>
      </c>
      <c r="M155" s="300">
        <f t="shared" si="91"/>
        <v>0</v>
      </c>
      <c r="N155" s="300">
        <f t="shared" si="92"/>
        <v>0</v>
      </c>
      <c r="O155" s="300">
        <f t="shared" si="88"/>
        <v>0</v>
      </c>
    </row>
    <row r="156" spans="1:15">
      <c r="A156" s="90" t="str">
        <f>'Current Income Tax Expense'!A191</f>
        <v>Contra Reg Asset - Deer Creek Abandonment - OR</v>
      </c>
      <c r="B156" s="276">
        <f>'Current Income Tax Expense'!B191</f>
        <v>287843</v>
      </c>
      <c r="C156" s="314">
        <f>'Current Income Tax Expense'!C191</f>
        <v>415.41300000000001</v>
      </c>
      <c r="D156" s="269" t="str">
        <f>'Current Income Tax Expense'!D191</f>
        <v>- - - - -</v>
      </c>
      <c r="E156" s="276" t="str">
        <f>'Current Income Tax Expense'!E191</f>
        <v>U</v>
      </c>
      <c r="F156" s="300">
        <f>ROUND(-'Current Income Tax Expense'!F191*0.245866,0)</f>
        <v>-398179</v>
      </c>
      <c r="G156" s="300">
        <f t="shared" si="81"/>
        <v>-398179</v>
      </c>
      <c r="H156" s="300">
        <f t="shared" si="89"/>
        <v>-398179</v>
      </c>
      <c r="I156" s="300">
        <f>-ROUND('Current Income Tax Expense'!I191*0.245866,0)</f>
        <v>0</v>
      </c>
      <c r="J156" s="300">
        <f t="shared" si="90"/>
        <v>-398179</v>
      </c>
      <c r="K156" s="276" t="str">
        <f>'Current Income Tax Expense'!K191</f>
        <v>OR</v>
      </c>
      <c r="L156" s="315">
        <f>SUMIF('Allocation Factors'!$B$3:$B$89,'Deferred Income Tax Expense'!K156,'Allocation Factors'!$P$3:$P$89)</f>
        <v>0</v>
      </c>
      <c r="M156" s="300">
        <f t="shared" si="91"/>
        <v>0</v>
      </c>
      <c r="N156" s="300">
        <f t="shared" si="92"/>
        <v>0</v>
      </c>
      <c r="O156" s="300">
        <f t="shared" si="88"/>
        <v>0</v>
      </c>
    </row>
    <row r="157" spans="1:15">
      <c r="A157" s="90" t="str">
        <f>'Current Income Tax Expense'!A192</f>
        <v>Contra Reg Asset - Deer Creek Abandonment - UT</v>
      </c>
      <c r="B157" s="276">
        <f>'Current Income Tax Expense'!B192</f>
        <v>287844</v>
      </c>
      <c r="C157" s="314">
        <f>'Current Income Tax Expense'!C192</f>
        <v>415.41399999999999</v>
      </c>
      <c r="D157" s="269" t="str">
        <f>'Current Income Tax Expense'!D192</f>
        <v>- - - - -</v>
      </c>
      <c r="E157" s="276" t="str">
        <f>'Current Income Tax Expense'!E192</f>
        <v>U</v>
      </c>
      <c r="F157" s="300">
        <f>ROUND(-'Current Income Tax Expense'!F192*0.245866,0)</f>
        <v>-1875</v>
      </c>
      <c r="G157" s="300">
        <f t="shared" si="81"/>
        <v>-1875</v>
      </c>
      <c r="H157" s="300">
        <f t="shared" si="89"/>
        <v>-1875</v>
      </c>
      <c r="I157" s="300">
        <f>-ROUND('Current Income Tax Expense'!I192*0.245866,0)</f>
        <v>0</v>
      </c>
      <c r="J157" s="300">
        <f t="shared" si="90"/>
        <v>-1875</v>
      </c>
      <c r="K157" s="276" t="str">
        <f>'Current Income Tax Expense'!K192</f>
        <v>UT</v>
      </c>
      <c r="L157" s="315">
        <f>SUMIF('Allocation Factors'!$B$3:$B$89,'Deferred Income Tax Expense'!K157,'Allocation Factors'!$P$3:$P$89)</f>
        <v>0</v>
      </c>
      <c r="M157" s="300">
        <f t="shared" si="91"/>
        <v>0</v>
      </c>
      <c r="N157" s="300">
        <f t="shared" si="92"/>
        <v>0</v>
      </c>
      <c r="O157" s="300">
        <f t="shared" si="88"/>
        <v>0</v>
      </c>
    </row>
    <row r="158" spans="1:15">
      <c r="A158" s="90" t="str">
        <f>'Current Income Tax Expense'!A193</f>
        <v>Contra Reg Asset - Deer Creek Abandonment - WA</v>
      </c>
      <c r="B158" s="276">
        <f>'Current Income Tax Expense'!B193</f>
        <v>287845</v>
      </c>
      <c r="C158" s="314">
        <f>'Current Income Tax Expense'!C193</f>
        <v>415.41500000000002</v>
      </c>
      <c r="D158" s="269" t="str">
        <f>'Current Income Tax Expense'!D193</f>
        <v>- - - - -</v>
      </c>
      <c r="E158" s="276" t="str">
        <f>'Current Income Tax Expense'!E193</f>
        <v>NR</v>
      </c>
      <c r="F158" s="300">
        <f>ROUND(-'Current Income Tax Expense'!F193*0.245866,0)</f>
        <v>19041</v>
      </c>
      <c r="G158" s="300">
        <f t="shared" si="81"/>
        <v>0</v>
      </c>
      <c r="H158" s="300">
        <f t="shared" si="89"/>
        <v>0</v>
      </c>
      <c r="I158" s="300">
        <f>-ROUND('Current Income Tax Expense'!I193*0.245866,0)</f>
        <v>0</v>
      </c>
      <c r="J158" s="300">
        <f t="shared" si="90"/>
        <v>0</v>
      </c>
      <c r="K158" s="276" t="str">
        <f>'Current Income Tax Expense'!K193</f>
        <v>NREG</v>
      </c>
      <c r="L158" s="315">
        <f>SUMIF('Allocation Factors'!$B$3:$B$89,'Deferred Income Tax Expense'!K158,'Allocation Factors'!$P$3:$P$89)</f>
        <v>0</v>
      </c>
      <c r="M158" s="300">
        <f t="shared" si="91"/>
        <v>0</v>
      </c>
      <c r="N158" s="300">
        <f t="shared" si="92"/>
        <v>0</v>
      </c>
      <c r="O158" s="300">
        <f t="shared" si="88"/>
        <v>0</v>
      </c>
    </row>
    <row r="159" spans="1:15">
      <c r="A159" s="90" t="str">
        <f>'Current Income Tax Expense'!A194</f>
        <v>Contra Reg Asset - UMWA Pension - CA</v>
      </c>
      <c r="B159" s="276">
        <f>'Current Income Tax Expense'!B194</f>
        <v>287851</v>
      </c>
      <c r="C159" s="314">
        <f>'Current Income Tax Expense'!C194</f>
        <v>415.41699999999997</v>
      </c>
      <c r="D159" s="269" t="str">
        <f>'Current Income Tax Expense'!D194</f>
        <v>- - - - -</v>
      </c>
      <c r="E159" s="276" t="str">
        <f>'Current Income Tax Expense'!E194</f>
        <v>U</v>
      </c>
      <c r="F159" s="300">
        <f>ROUND(-'Current Income Tax Expense'!F194*0.245866,0)</f>
        <v>1824</v>
      </c>
      <c r="G159" s="300">
        <f t="shared" si="81"/>
        <v>1824</v>
      </c>
      <c r="H159" s="300">
        <f t="shared" si="89"/>
        <v>1824</v>
      </c>
      <c r="I159" s="300">
        <f>-ROUND('Current Income Tax Expense'!I194*0.245866,0)</f>
        <v>0</v>
      </c>
      <c r="J159" s="300">
        <f t="shared" si="90"/>
        <v>1824</v>
      </c>
      <c r="K159" s="276" t="str">
        <f>'Current Income Tax Expense'!K194</f>
        <v>OTHER</v>
      </c>
      <c r="L159" s="315">
        <f>SUMIF('Allocation Factors'!$B$3:$B$89,'Deferred Income Tax Expense'!K159,'Allocation Factors'!$P$3:$P$89)</f>
        <v>0</v>
      </c>
      <c r="M159" s="300">
        <f t="shared" si="91"/>
        <v>0</v>
      </c>
      <c r="N159" s="300">
        <f t="shared" ref="N159:N160" si="95">ROUND(SUM(I159:I159)*L159,0)</f>
        <v>0</v>
      </c>
      <c r="O159" s="300">
        <f t="shared" ref="O159:O160" si="96">SUM(M159:N159)</f>
        <v>0</v>
      </c>
    </row>
    <row r="160" spans="1:15">
      <c r="A160" s="90" t="str">
        <f>'Current Income Tax Expense'!A195</f>
        <v>Contra Reg Asset - UMWA Pension - WA</v>
      </c>
      <c r="B160" s="276">
        <f>'Current Income Tax Expense'!B195</f>
        <v>287855</v>
      </c>
      <c r="C160" s="314">
        <f>'Current Income Tax Expense'!C195</f>
        <v>415.42099999999999</v>
      </c>
      <c r="D160" s="269" t="str">
        <f>'Current Income Tax Expense'!D195</f>
        <v>- - - - -</v>
      </c>
      <c r="E160" s="276" t="str">
        <f>'Current Income Tax Expense'!E195</f>
        <v>U</v>
      </c>
      <c r="F160" s="300">
        <f>ROUND(-'Current Income Tax Expense'!F195*0.245866,0)</f>
        <v>8181</v>
      </c>
      <c r="G160" s="300">
        <f t="shared" si="81"/>
        <v>8181</v>
      </c>
      <c r="H160" s="300">
        <f t="shared" si="89"/>
        <v>8181</v>
      </c>
      <c r="I160" s="300">
        <f>-ROUND('Current Income Tax Expense'!I195*0.245866,0)</f>
        <v>0</v>
      </c>
      <c r="J160" s="300">
        <f t="shared" si="90"/>
        <v>8181</v>
      </c>
      <c r="K160" s="276" t="str">
        <f>'Current Income Tax Expense'!K195</f>
        <v>OTHER</v>
      </c>
      <c r="L160" s="315">
        <f>SUMIF('Allocation Factors'!$B$3:$B$89,'Deferred Income Tax Expense'!K160,'Allocation Factors'!$P$3:$P$89)</f>
        <v>0</v>
      </c>
      <c r="M160" s="300">
        <f t="shared" si="91"/>
        <v>0</v>
      </c>
      <c r="N160" s="300">
        <f t="shared" si="95"/>
        <v>0</v>
      </c>
      <c r="O160" s="300">
        <f t="shared" si="96"/>
        <v>0</v>
      </c>
    </row>
    <row r="161" spans="1:15">
      <c r="A161" s="90" t="str">
        <f>'Current Income Tax Expense'!A196</f>
        <v>Reg Asset - WA Transportation Electrification Pilot</v>
      </c>
      <c r="B161" s="276">
        <f>'Current Income Tax Expense'!B196</f>
        <v>286912</v>
      </c>
      <c r="C161" s="314">
        <f>'Current Income Tax Expense'!C196</f>
        <v>415.43099999999998</v>
      </c>
      <c r="D161" s="269" t="str">
        <f>'Current Income Tax Expense'!D196</f>
        <v>- - - - -</v>
      </c>
      <c r="E161" s="276" t="str">
        <f>'Current Income Tax Expense'!E196</f>
        <v>U</v>
      </c>
      <c r="F161" s="300">
        <f>ROUND(-'Current Income Tax Expense'!F196*0.245866,0)</f>
        <v>9703</v>
      </c>
      <c r="G161" s="300">
        <f t="shared" si="81"/>
        <v>9703</v>
      </c>
      <c r="H161" s="300">
        <f t="shared" si="89"/>
        <v>9703</v>
      </c>
      <c r="I161" s="300">
        <f>-ROUND('Current Income Tax Expense'!I196*0.245866,0)</f>
        <v>0</v>
      </c>
      <c r="J161" s="300">
        <f t="shared" si="90"/>
        <v>9703</v>
      </c>
      <c r="K161" s="276" t="str">
        <f>'Current Income Tax Expense'!K196</f>
        <v>OTHER</v>
      </c>
      <c r="L161" s="315">
        <f>SUMIF('Allocation Factors'!$B$3:$B$89,'Deferred Income Tax Expense'!K161,'Allocation Factors'!$P$3:$P$89)</f>
        <v>0</v>
      </c>
      <c r="M161" s="300">
        <f t="shared" si="91"/>
        <v>0</v>
      </c>
      <c r="N161" s="300">
        <f t="shared" ref="N161:N162" si="97">ROUND(SUM(I161:I161)*L161,0)</f>
        <v>0</v>
      </c>
      <c r="O161" s="300">
        <f t="shared" ref="O161:O162" si="98">SUM(M161:N161)</f>
        <v>0</v>
      </c>
    </row>
    <row r="162" spans="1:15">
      <c r="A162" s="90" t="str">
        <f>'Current Income Tax Expense'!A197</f>
        <v>Reg Asset - Lease Depreciation - Timing Difference</v>
      </c>
      <c r="B162" s="276">
        <f>'Current Income Tax Expense'!B197</f>
        <v>286914</v>
      </c>
      <c r="C162" s="314">
        <f>'Current Income Tax Expense'!C197</f>
        <v>415.52499999999998</v>
      </c>
      <c r="D162" s="269" t="str">
        <f>'Current Income Tax Expense'!D197</f>
        <v>- - - - -</v>
      </c>
      <c r="E162" s="276" t="str">
        <f>'Current Income Tax Expense'!E197</f>
        <v>NR</v>
      </c>
      <c r="F162" s="300">
        <f>ROUND(-'Current Income Tax Expense'!F197*0.245866,0)</f>
        <v>101532</v>
      </c>
      <c r="G162" s="300">
        <f t="shared" si="81"/>
        <v>0</v>
      </c>
      <c r="H162" s="300">
        <f t="shared" si="89"/>
        <v>0</v>
      </c>
      <c r="I162" s="300">
        <f>-ROUND('Current Income Tax Expense'!I197*0.245866,0)</f>
        <v>0</v>
      </c>
      <c r="J162" s="300">
        <f t="shared" si="90"/>
        <v>0</v>
      </c>
      <c r="K162" s="276" t="str">
        <f>'Current Income Tax Expense'!K197</f>
        <v>NREG</v>
      </c>
      <c r="L162" s="315">
        <f>SUMIF('Allocation Factors'!$B$3:$B$89,'Deferred Income Tax Expense'!K162,'Allocation Factors'!$P$3:$P$89)</f>
        <v>0</v>
      </c>
      <c r="M162" s="300">
        <f t="shared" si="91"/>
        <v>0</v>
      </c>
      <c r="N162" s="300">
        <f t="shared" si="97"/>
        <v>0</v>
      </c>
      <c r="O162" s="300">
        <f t="shared" si="98"/>
        <v>0</v>
      </c>
    </row>
    <row r="163" spans="1:15">
      <c r="A163" s="90" t="str">
        <f>'Current Income Tax Expense'!A198</f>
        <v>Reg Asset - ID 2017 Protocol - MSP Deferral</v>
      </c>
      <c r="B163" s="276">
        <f>'Current Income Tax Expense'!B198</f>
        <v>286905</v>
      </c>
      <c r="C163" s="314">
        <f>'Current Income Tax Expense'!C198</f>
        <v>415.53</v>
      </c>
      <c r="D163" s="276" t="str">
        <f>'Current Income Tax Expense'!D198</f>
        <v>- - - - -</v>
      </c>
      <c r="E163" s="276" t="str">
        <f>'Current Income Tax Expense'!E198</f>
        <v>U</v>
      </c>
      <c r="F163" s="300">
        <f>ROUND(-'Current Income Tax Expense'!F198*0.245866,0)</f>
        <v>36880</v>
      </c>
      <c r="G163" s="300">
        <f t="shared" si="81"/>
        <v>36880</v>
      </c>
      <c r="H163" s="300">
        <f t="shared" si="89"/>
        <v>36880</v>
      </c>
      <c r="I163" s="300">
        <f>-ROUND('Current Income Tax Expense'!I198*0.245866,0)</f>
        <v>0</v>
      </c>
      <c r="J163" s="300">
        <f t="shared" si="90"/>
        <v>36880</v>
      </c>
      <c r="K163" s="276" t="str">
        <f>'Current Income Tax Expense'!K198</f>
        <v>IDU</v>
      </c>
      <c r="L163" s="315">
        <f>SUMIF('Allocation Factors'!$B$3:$B$89,'Deferred Income Tax Expense'!K163,'Allocation Factors'!$P$3:$P$89)</f>
        <v>0</v>
      </c>
      <c r="M163" s="300">
        <f t="shared" si="91"/>
        <v>0</v>
      </c>
      <c r="N163" s="300">
        <f t="shared" si="92"/>
        <v>0</v>
      </c>
      <c r="O163" s="300">
        <f t="shared" si="88"/>
        <v>0</v>
      </c>
    </row>
    <row r="164" spans="1:15">
      <c r="A164" s="90" t="str">
        <f>'Current Income Tax Expense'!A199</f>
        <v>Reg Asset - UT 2017 Protocol - MSP Deferral</v>
      </c>
      <c r="B164" s="276">
        <f>'Current Income Tax Expense'!B199</f>
        <v>286906</v>
      </c>
      <c r="C164" s="314">
        <f>'Current Income Tax Expense'!C199</f>
        <v>415.53100000000001</v>
      </c>
      <c r="D164" s="276" t="str">
        <f>'Current Income Tax Expense'!D199</f>
        <v>- - - - -</v>
      </c>
      <c r="E164" s="276" t="str">
        <f>'Current Income Tax Expense'!E199</f>
        <v>U</v>
      </c>
      <c r="F164" s="300">
        <f>ROUND(-'Current Income Tax Expense'!F199*0.245866,0)</f>
        <v>1081810</v>
      </c>
      <c r="G164" s="300">
        <f t="shared" si="81"/>
        <v>1081810</v>
      </c>
      <c r="H164" s="300">
        <f t="shared" si="89"/>
        <v>1081810</v>
      </c>
      <c r="I164" s="300">
        <f>-ROUND('Current Income Tax Expense'!I199*0.245866,0)</f>
        <v>0</v>
      </c>
      <c r="J164" s="300">
        <f t="shared" si="90"/>
        <v>1081810</v>
      </c>
      <c r="K164" s="276" t="str">
        <f>'Current Income Tax Expense'!K199</f>
        <v>UT</v>
      </c>
      <c r="L164" s="315">
        <f>SUMIF('Allocation Factors'!$B$3:$B$89,'Deferred Income Tax Expense'!K164,'Allocation Factors'!$P$3:$P$89)</f>
        <v>0</v>
      </c>
      <c r="M164" s="300">
        <f t="shared" si="91"/>
        <v>0</v>
      </c>
      <c r="N164" s="300">
        <f t="shared" si="92"/>
        <v>0</v>
      </c>
      <c r="O164" s="300">
        <f t="shared" si="88"/>
        <v>0</v>
      </c>
    </row>
    <row r="165" spans="1:15">
      <c r="A165" s="90" t="str">
        <f>'Current Income Tax Expense'!A200</f>
        <v>Reg Asset - WY 2017 Protocol - MSP Deferral</v>
      </c>
      <c r="B165" s="276">
        <f>'Current Income Tax Expense'!B200</f>
        <v>286907</v>
      </c>
      <c r="C165" s="314">
        <f>'Current Income Tax Expense'!C200</f>
        <v>415.53199999999998</v>
      </c>
      <c r="D165" s="276" t="str">
        <f>'Current Income Tax Expense'!D200</f>
        <v>- - - - -</v>
      </c>
      <c r="E165" s="276" t="str">
        <f>'Current Income Tax Expense'!E200</f>
        <v>U</v>
      </c>
      <c r="F165" s="300">
        <f>ROUND(-'Current Income Tax Expense'!F200*0.245866,0)</f>
        <v>393385</v>
      </c>
      <c r="G165" s="300">
        <f t="shared" si="81"/>
        <v>393385</v>
      </c>
      <c r="H165" s="300">
        <f t="shared" si="89"/>
        <v>393385</v>
      </c>
      <c r="I165" s="300">
        <f>-ROUND('Current Income Tax Expense'!I200*0.245866,0)</f>
        <v>0</v>
      </c>
      <c r="J165" s="300">
        <f t="shared" si="90"/>
        <v>393385</v>
      </c>
      <c r="K165" s="276" t="str">
        <f>'Current Income Tax Expense'!K200</f>
        <v>WYP</v>
      </c>
      <c r="L165" s="315">
        <f>SUMIF('Allocation Factors'!$B$3:$B$89,'Deferred Income Tax Expense'!K165,'Allocation Factors'!$P$3:$P$89)</f>
        <v>0</v>
      </c>
      <c r="M165" s="300">
        <f t="shared" si="91"/>
        <v>0</v>
      </c>
      <c r="N165" s="300">
        <f t="shared" si="92"/>
        <v>0</v>
      </c>
      <c r="O165" s="300">
        <f t="shared" si="88"/>
        <v>0</v>
      </c>
    </row>
    <row r="166" spans="1:15">
      <c r="A166" s="90" t="str">
        <f>'Current Income Tax Expense'!A201</f>
        <v>Reg Asset - Preferred Stock Redemption Loss UT</v>
      </c>
      <c r="B166" s="276">
        <f>'Current Income Tax Expense'!B201</f>
        <v>287996</v>
      </c>
      <c r="C166" s="314">
        <f>'Current Income Tax Expense'!C201</f>
        <v>415.67500000000001</v>
      </c>
      <c r="D166" s="276" t="str">
        <f>'Current Income Tax Expense'!D201</f>
        <v>- - - - -</v>
      </c>
      <c r="E166" s="276" t="str">
        <f>'Current Income Tax Expense'!E201</f>
        <v>U</v>
      </c>
      <c r="F166" s="300">
        <f>ROUND(-'Current Income Tax Expense'!F201*0.245866,0)</f>
        <v>-20292</v>
      </c>
      <c r="G166" s="300">
        <f t="shared" si="81"/>
        <v>-20292</v>
      </c>
      <c r="H166" s="300">
        <f t="shared" si="89"/>
        <v>-20292</v>
      </c>
      <c r="I166" s="300">
        <f>-ROUND('Current Income Tax Expense'!I201*0.245866,0)</f>
        <v>0</v>
      </c>
      <c r="J166" s="300">
        <f t="shared" si="90"/>
        <v>-20292</v>
      </c>
      <c r="K166" s="276" t="str">
        <f>'Current Income Tax Expense'!K201</f>
        <v>OTHER</v>
      </c>
      <c r="L166" s="315">
        <f>SUMIF('Allocation Factors'!$B$3:$B$89,'Deferred Income Tax Expense'!K166,'Allocation Factors'!$P$3:$P$89)</f>
        <v>0</v>
      </c>
      <c r="M166" s="300">
        <f t="shared" si="91"/>
        <v>0</v>
      </c>
      <c r="N166" s="300">
        <f t="shared" si="92"/>
        <v>0</v>
      </c>
      <c r="O166" s="300">
        <f t="shared" si="88"/>
        <v>0</v>
      </c>
    </row>
    <row r="167" spans="1:15">
      <c r="A167" s="90" t="str">
        <f>'Current Income Tax Expense'!A202</f>
        <v>Reg Asset - Preferred Stock Redemption Loss WY</v>
      </c>
      <c r="B167" s="276">
        <f>'Current Income Tax Expense'!B202</f>
        <v>287858</v>
      </c>
      <c r="C167" s="314">
        <f>'Current Income Tax Expense'!C202</f>
        <v>415.67599999999999</v>
      </c>
      <c r="D167" s="276" t="str">
        <f>'Current Income Tax Expense'!D202</f>
        <v>- - - - -</v>
      </c>
      <c r="E167" s="276" t="str">
        <f>'Current Income Tax Expense'!E202</f>
        <v>U</v>
      </c>
      <c r="F167" s="300">
        <f>ROUND(-'Current Income Tax Expense'!F202*0.245866,0)</f>
        <v>-6993</v>
      </c>
      <c r="G167" s="300">
        <f t="shared" si="81"/>
        <v>-6993</v>
      </c>
      <c r="H167" s="300">
        <f t="shared" si="89"/>
        <v>-6993</v>
      </c>
      <c r="I167" s="300">
        <f>-ROUND('Current Income Tax Expense'!I202*0.245866,0)</f>
        <v>0</v>
      </c>
      <c r="J167" s="300">
        <f t="shared" si="90"/>
        <v>-6993</v>
      </c>
      <c r="K167" s="276" t="str">
        <f>'Current Income Tax Expense'!K202</f>
        <v>OTHER</v>
      </c>
      <c r="L167" s="315">
        <f>SUMIF('Allocation Factors'!$B$3:$B$89,'Deferred Income Tax Expense'!K167,'Allocation Factors'!$P$3:$P$89)</f>
        <v>0</v>
      </c>
      <c r="M167" s="300">
        <f t="shared" si="91"/>
        <v>0</v>
      </c>
      <c r="N167" s="300">
        <f t="shared" si="92"/>
        <v>0</v>
      </c>
      <c r="O167" s="300">
        <f t="shared" si="88"/>
        <v>0</v>
      </c>
    </row>
    <row r="168" spans="1:15">
      <c r="A168" s="90" t="str">
        <f>'Current Income Tax Expense'!A203</f>
        <v>Reg Asset - Pref Stock Redemp Loss WA</v>
      </c>
      <c r="B168" s="276">
        <f>'Current Income Tax Expense'!B203</f>
        <v>287601</v>
      </c>
      <c r="C168" s="314">
        <f>'Current Income Tax Expense'!C203</f>
        <v>415.67700000000002</v>
      </c>
      <c r="D168" s="276" t="str">
        <f>'Current Income Tax Expense'!D203</f>
        <v>- - - - -</v>
      </c>
      <c r="E168" s="276" t="str">
        <f>'Current Income Tax Expense'!E203</f>
        <v>U</v>
      </c>
      <c r="F168" s="300">
        <f>ROUND(-'Current Income Tax Expense'!F203*0.245866,0)</f>
        <v>-3274</v>
      </c>
      <c r="G168" s="300">
        <f t="shared" si="81"/>
        <v>-3274</v>
      </c>
      <c r="H168" s="300">
        <f t="shared" si="89"/>
        <v>-3274</v>
      </c>
      <c r="I168" s="300">
        <f>-ROUND('Current Income Tax Expense'!I203*0.245866,0)</f>
        <v>0</v>
      </c>
      <c r="J168" s="300">
        <f t="shared" si="90"/>
        <v>-3274</v>
      </c>
      <c r="K168" s="276" t="str">
        <f>'Current Income Tax Expense'!K203</f>
        <v>OTHER</v>
      </c>
      <c r="L168" s="315">
        <f>SUMIF('Allocation Factors'!$B$3:$B$89,'Deferred Income Tax Expense'!K168,'Allocation Factors'!$P$3:$P$89)</f>
        <v>0</v>
      </c>
      <c r="M168" s="300">
        <f t="shared" si="91"/>
        <v>0</v>
      </c>
      <c r="N168" s="300">
        <f t="shared" si="92"/>
        <v>0</v>
      </c>
      <c r="O168" s="300">
        <f t="shared" si="88"/>
        <v>0</v>
      </c>
    </row>
    <row r="169" spans="1:15">
      <c r="A169" s="90" t="str">
        <f>'Current Income Tax Expense'!A204</f>
        <v>Reg Asset - Deferred Intervenor Funding Grants - OR</v>
      </c>
      <c r="B169" s="276">
        <f>'Current Income Tax Expense'!B204</f>
        <v>287640</v>
      </c>
      <c r="C169" s="314">
        <f>'Current Income Tax Expense'!C204</f>
        <v>415.68</v>
      </c>
      <c r="D169" s="276" t="str">
        <f>'Current Income Tax Expense'!D204</f>
        <v>- - - - -</v>
      </c>
      <c r="E169" s="276" t="str">
        <f>'Current Income Tax Expense'!E204</f>
        <v>U</v>
      </c>
      <c r="F169" s="300">
        <f>ROUND(-'Current Income Tax Expense'!F204*0.245866,0)</f>
        <v>108892</v>
      </c>
      <c r="G169" s="300">
        <f t="shared" si="81"/>
        <v>108892</v>
      </c>
      <c r="H169" s="300">
        <f t="shared" si="89"/>
        <v>108892</v>
      </c>
      <c r="I169" s="300">
        <f>-ROUND('Current Income Tax Expense'!I204*0.245866,0)</f>
        <v>0</v>
      </c>
      <c r="J169" s="300">
        <f t="shared" si="90"/>
        <v>108892</v>
      </c>
      <c r="K169" s="276" t="str">
        <f>'Current Income Tax Expense'!K204</f>
        <v>OTHER</v>
      </c>
      <c r="L169" s="315">
        <f>SUMIF('Allocation Factors'!$B$3:$B$89,'Deferred Income Tax Expense'!K169,'Allocation Factors'!$P$3:$P$89)</f>
        <v>0</v>
      </c>
      <c r="M169" s="300">
        <f t="shared" si="91"/>
        <v>0</v>
      </c>
      <c r="N169" s="300">
        <f t="shared" si="92"/>
        <v>0</v>
      </c>
      <c r="O169" s="300">
        <f t="shared" si="88"/>
        <v>0</v>
      </c>
    </row>
    <row r="170" spans="1:15">
      <c r="A170" s="90" t="str">
        <f>'Current Income Tax Expense'!A205</f>
        <v>Reg Asset - BPA Balancing Account - OR</v>
      </c>
      <c r="B170" s="276">
        <f>'Current Income Tax Expense'!B205</f>
        <v>287911</v>
      </c>
      <c r="C170" s="314">
        <f>'Current Income Tax Expense'!C205</f>
        <v>415.69900000000001</v>
      </c>
      <c r="D170" s="276" t="str">
        <f>'Current Income Tax Expense'!D205</f>
        <v>- - - - -</v>
      </c>
      <c r="E170" s="276" t="str">
        <f>'Current Income Tax Expense'!E205</f>
        <v>NR</v>
      </c>
      <c r="F170" s="300">
        <f>ROUND(-'Current Income Tax Expense'!F205*0.245866,0)</f>
        <v>296598</v>
      </c>
      <c r="G170" s="300">
        <f t="shared" si="81"/>
        <v>0</v>
      </c>
      <c r="H170" s="300">
        <f t="shared" si="89"/>
        <v>0</v>
      </c>
      <c r="I170" s="300">
        <f>-ROUND('Current Income Tax Expense'!I205*0.245866,0)</f>
        <v>0</v>
      </c>
      <c r="J170" s="300">
        <f t="shared" si="90"/>
        <v>0</v>
      </c>
      <c r="K170" s="276" t="str">
        <f>'Current Income Tax Expense'!K205</f>
        <v>NREG</v>
      </c>
      <c r="L170" s="315">
        <f>SUMIF('Allocation Factors'!$B$3:$B$89,'Deferred Income Tax Expense'!K170,'Allocation Factors'!$P$3:$P$89)</f>
        <v>0</v>
      </c>
      <c r="M170" s="300">
        <f t="shared" si="91"/>
        <v>0</v>
      </c>
      <c r="N170" s="300">
        <f t="shared" si="92"/>
        <v>0</v>
      </c>
      <c r="O170" s="300">
        <f t="shared" si="88"/>
        <v>0</v>
      </c>
    </row>
    <row r="171" spans="1:15">
      <c r="A171" s="90" t="str">
        <f>'Current Income Tax Expense'!A206</f>
        <v>Reg Asset - Deferred Intervenor Funding Grants - CA</v>
      </c>
      <c r="B171" s="276">
        <f>'Current Income Tax Expense'!B206</f>
        <v>287570</v>
      </c>
      <c r="C171" s="314">
        <f>'Current Income Tax Expense'!C206</f>
        <v>415.70100000000002</v>
      </c>
      <c r="D171" s="74" t="str">
        <f>'Current Income Tax Expense'!D206</f>
        <v>- - - - -</v>
      </c>
      <c r="E171" s="276" t="str">
        <f>'Current Income Tax Expense'!E206</f>
        <v>U</v>
      </c>
      <c r="F171" s="300">
        <f>ROUND(-'Current Income Tax Expense'!F206*0.245866,0)</f>
        <v>382</v>
      </c>
      <c r="G171" s="300">
        <f t="shared" si="81"/>
        <v>382</v>
      </c>
      <c r="H171" s="300">
        <f t="shared" si="89"/>
        <v>382</v>
      </c>
      <c r="I171" s="300">
        <f>-ROUND('Current Income Tax Expense'!I206*0.245866,0)</f>
        <v>0</v>
      </c>
      <c r="J171" s="300">
        <f t="shared" si="90"/>
        <v>382</v>
      </c>
      <c r="K171" s="276" t="str">
        <f>'Current Income Tax Expense'!K206</f>
        <v>OTHER</v>
      </c>
      <c r="L171" s="315">
        <f>SUMIF('Allocation Factors'!$B$3:$B$89,'Deferred Income Tax Expense'!K171,'Allocation Factors'!$P$3:$P$89)</f>
        <v>0</v>
      </c>
      <c r="M171" s="300">
        <f t="shared" si="91"/>
        <v>0</v>
      </c>
      <c r="N171" s="300">
        <f t="shared" si="92"/>
        <v>0</v>
      </c>
      <c r="O171" s="300">
        <f t="shared" si="88"/>
        <v>0</v>
      </c>
    </row>
    <row r="172" spans="1:15">
      <c r="A172" s="90" t="str">
        <f>'Current Income Tax Expense'!A207</f>
        <v>Reg Asset - Community Solar - OR</v>
      </c>
      <c r="B172" s="276">
        <f>'Current Income Tax Expense'!B207</f>
        <v>286913</v>
      </c>
      <c r="C172" s="314">
        <f>'Current Income Tax Expense'!C207</f>
        <v>415.72</v>
      </c>
      <c r="D172" s="74" t="str">
        <f>'Current Income Tax Expense'!D207</f>
        <v>- - - - -</v>
      </c>
      <c r="E172" s="276" t="str">
        <f>'Current Income Tax Expense'!E207</f>
        <v>U</v>
      </c>
      <c r="F172" s="300">
        <f>ROUND(-'Current Income Tax Expense'!F207*0.245866,0)</f>
        <v>39352</v>
      </c>
      <c r="G172" s="300">
        <f t="shared" si="81"/>
        <v>39352</v>
      </c>
      <c r="H172" s="300">
        <f t="shared" si="89"/>
        <v>39352</v>
      </c>
      <c r="I172" s="300">
        <f>-ROUND('Current Income Tax Expense'!I207*0.245866,0)</f>
        <v>0</v>
      </c>
      <c r="J172" s="300">
        <f t="shared" si="90"/>
        <v>39352</v>
      </c>
      <c r="K172" s="276" t="str">
        <f>'Current Income Tax Expense'!K207</f>
        <v>OTHER</v>
      </c>
      <c r="L172" s="315">
        <f>SUMIF('Allocation Factors'!$B$3:$B$89,'Deferred Income Tax Expense'!K172,'Allocation Factors'!$P$3:$P$89)</f>
        <v>0</v>
      </c>
      <c r="M172" s="300">
        <f t="shared" si="91"/>
        <v>0</v>
      </c>
      <c r="N172" s="300">
        <f t="shared" ref="N172" si="99">ROUND(SUM(I172:I172)*L172,0)</f>
        <v>0</v>
      </c>
      <c r="O172" s="300">
        <f t="shared" ref="O172" si="100">SUM(M172:N172)</f>
        <v>0</v>
      </c>
    </row>
    <row r="173" spans="1:15">
      <c r="A173" s="90" t="str">
        <f>'Current Income Tax Expense'!A208</f>
        <v>Insurance Reserve</v>
      </c>
      <c r="B173" s="276">
        <f>'Current Income Tax Expense'!B208</f>
        <v>287970</v>
      </c>
      <c r="C173" s="314">
        <f>'Current Income Tax Expense'!C208</f>
        <v>415.815</v>
      </c>
      <c r="D173" s="74" t="str">
        <f>'Current Income Tax Expense'!D208</f>
        <v>- - - - -</v>
      </c>
      <c r="E173" s="276" t="str">
        <f>'Current Income Tax Expense'!E208</f>
        <v>U</v>
      </c>
      <c r="F173" s="300">
        <f>ROUND(-'Current Income Tax Expense'!F208*0.245866,0)</f>
        <v>-56280</v>
      </c>
      <c r="G173" s="300">
        <f t="shared" si="81"/>
        <v>-56280</v>
      </c>
      <c r="H173" s="300">
        <f t="shared" si="89"/>
        <v>-56280</v>
      </c>
      <c r="I173" s="300">
        <f>-ROUND('Current Income Tax Expense'!I208*0.245866,0)</f>
        <v>0</v>
      </c>
      <c r="J173" s="300">
        <f t="shared" si="90"/>
        <v>-56280</v>
      </c>
      <c r="K173" s="276" t="str">
        <f>'Current Income Tax Expense'!K208</f>
        <v>SO</v>
      </c>
      <c r="L173" s="315">
        <f>SUMIF('Allocation Factors'!$B$3:$B$89,'Deferred Income Tax Expense'!K173,'Allocation Factors'!$P$3:$P$89)</f>
        <v>6.7017620954721469E-2</v>
      </c>
      <c r="M173" s="300">
        <f t="shared" si="91"/>
        <v>-3772</v>
      </c>
      <c r="N173" s="300">
        <f t="shared" si="92"/>
        <v>0</v>
      </c>
      <c r="O173" s="300">
        <f t="shared" si="88"/>
        <v>-3772</v>
      </c>
    </row>
    <row r="174" spans="1:15">
      <c r="A174" s="90" t="str">
        <f>'Current Income Tax Expense'!A209</f>
        <v>Contra Pension Reg Asset MMT &amp; CTG - OR</v>
      </c>
      <c r="B174" s="276">
        <f>'Current Income Tax Expense'!B209</f>
        <v>287577</v>
      </c>
      <c r="C174" s="314">
        <f>'Current Income Tax Expense'!C209</f>
        <v>415.82</v>
      </c>
      <c r="D174" s="74" t="str">
        <f>'Current Income Tax Expense'!D209</f>
        <v>- - - - -</v>
      </c>
      <c r="E174" s="276" t="str">
        <f>'Current Income Tax Expense'!E209</f>
        <v>U</v>
      </c>
      <c r="F174" s="300">
        <f>ROUND(-'Current Income Tax Expense'!F209*0.245866,0)</f>
        <v>123856</v>
      </c>
      <c r="G174" s="300">
        <f t="shared" si="81"/>
        <v>123856</v>
      </c>
      <c r="H174" s="300">
        <f t="shared" si="89"/>
        <v>123856</v>
      </c>
      <c r="I174" s="300">
        <f>-ROUND('Current Income Tax Expense'!I209*0.245866,0)</f>
        <v>0</v>
      </c>
      <c r="J174" s="300">
        <f t="shared" si="90"/>
        <v>123856</v>
      </c>
      <c r="K174" s="276" t="str">
        <f>'Current Income Tax Expense'!K209</f>
        <v>OR</v>
      </c>
      <c r="L174" s="315">
        <f>SUMIF('Allocation Factors'!$B$3:$B$89,'Deferred Income Tax Expense'!K174,'Allocation Factors'!$P$3:$P$89)</f>
        <v>0</v>
      </c>
      <c r="M174" s="300">
        <f t="shared" si="91"/>
        <v>0</v>
      </c>
      <c r="N174" s="300">
        <f t="shared" si="92"/>
        <v>0</v>
      </c>
      <c r="O174" s="300">
        <f t="shared" si="88"/>
        <v>0</v>
      </c>
    </row>
    <row r="175" spans="1:15">
      <c r="A175" s="90" t="str">
        <f>'Current Income Tax Expense'!A210</f>
        <v>Contra Pension Reg Asset MMT &amp; CTG - CA</v>
      </c>
      <c r="B175" s="276">
        <f>'Current Income Tax Expense'!B210</f>
        <v>287581</v>
      </c>
      <c r="C175" s="314">
        <f>'Current Income Tax Expense'!C210</f>
        <v>415.82400000000001</v>
      </c>
      <c r="D175" s="276" t="str">
        <f>'Current Income Tax Expense'!D210</f>
        <v>- - - - -</v>
      </c>
      <c r="E175" s="269" t="str">
        <f>'Current Income Tax Expense'!E210</f>
        <v>U</v>
      </c>
      <c r="F175" s="300">
        <f>ROUND(-'Current Income Tax Expense'!F210*0.245866,0)</f>
        <v>11068</v>
      </c>
      <c r="G175" s="300">
        <f t="shared" si="81"/>
        <v>11068</v>
      </c>
      <c r="H175" s="300">
        <f t="shared" si="89"/>
        <v>11068</v>
      </c>
      <c r="I175" s="300">
        <f>-ROUND('Current Income Tax Expense'!I210*0.245866,0)</f>
        <v>0</v>
      </c>
      <c r="J175" s="300">
        <f t="shared" si="90"/>
        <v>11068</v>
      </c>
      <c r="K175" s="276" t="str">
        <f>'Current Income Tax Expense'!K210</f>
        <v>CA</v>
      </c>
      <c r="L175" s="315">
        <f>SUMIF('Allocation Factors'!$B$3:$B$89,'Deferred Income Tax Expense'!K175,'Allocation Factors'!$P$3:$P$89)</f>
        <v>0</v>
      </c>
      <c r="M175" s="300">
        <f t="shared" si="91"/>
        <v>0</v>
      </c>
      <c r="N175" s="300">
        <f t="shared" si="92"/>
        <v>0</v>
      </c>
      <c r="O175" s="300">
        <f t="shared" si="88"/>
        <v>0</v>
      </c>
    </row>
    <row r="176" spans="1:15">
      <c r="A176" s="90" t="str">
        <f>'Current Income Tax Expense'!A211</f>
        <v>Reg Asset - Pension Settlement - WA</v>
      </c>
      <c r="B176" s="276">
        <f>'Current Income Tax Expense'!B211</f>
        <v>287583</v>
      </c>
      <c r="C176" s="314">
        <f>'Current Income Tax Expense'!C211</f>
        <v>415.82600000000002</v>
      </c>
      <c r="D176" s="276" t="str">
        <f>'Current Income Tax Expense'!D211</f>
        <v>- - - - -</v>
      </c>
      <c r="E176" s="269" t="str">
        <f>'Current Income Tax Expense'!E211</f>
        <v>NR</v>
      </c>
      <c r="F176" s="300">
        <f>ROUND(-'Current Income Tax Expense'!F211*0.245866,0)</f>
        <v>357880</v>
      </c>
      <c r="G176" s="300">
        <f t="shared" si="81"/>
        <v>0</v>
      </c>
      <c r="H176" s="300">
        <f t="shared" si="89"/>
        <v>0</v>
      </c>
      <c r="I176" s="300">
        <f>-ROUND('Current Income Tax Expense'!I211*0.245866,0)</f>
        <v>0</v>
      </c>
      <c r="J176" s="300">
        <f t="shared" si="90"/>
        <v>0</v>
      </c>
      <c r="K176" s="276" t="str">
        <f>'Current Income Tax Expense'!K211</f>
        <v>NREG</v>
      </c>
      <c r="L176" s="315">
        <f>SUMIF('Allocation Factors'!$B$3:$B$89,'Deferred Income Tax Expense'!K176,'Allocation Factors'!$P$3:$P$89)</f>
        <v>0</v>
      </c>
      <c r="M176" s="300">
        <f t="shared" si="91"/>
        <v>0</v>
      </c>
      <c r="N176" s="300">
        <f t="shared" ref="N176" si="101">ROUND(SUM(I176:I176)*L176,0)</f>
        <v>0</v>
      </c>
      <c r="O176" s="300">
        <f t="shared" ref="O176" si="102">SUM(M176:N176)</f>
        <v>0</v>
      </c>
    </row>
    <row r="177" spans="1:15">
      <c r="A177" s="90" t="str">
        <f>'Current Income Tax Expense'!A212</f>
        <v>Non Current Asset - Frozen MTM</v>
      </c>
      <c r="B177" s="276">
        <f>'Current Income Tax Expense'!B212</f>
        <v>287966</v>
      </c>
      <c r="C177" s="314">
        <f>'Current Income Tax Expense'!C212</f>
        <v>415.834</v>
      </c>
      <c r="D177" s="276" t="str">
        <f>'Current Income Tax Expense'!D212</f>
        <v>- - - - -</v>
      </c>
      <c r="E177" s="276" t="str">
        <f>'Current Income Tax Expense'!E212</f>
        <v>NR</v>
      </c>
      <c r="F177" s="300">
        <f>ROUND(-'Current Income Tax Expense'!F212*0.245866,0)</f>
        <v>808238</v>
      </c>
      <c r="G177" s="300">
        <f t="shared" si="81"/>
        <v>0</v>
      </c>
      <c r="H177" s="300">
        <f t="shared" si="89"/>
        <v>0</v>
      </c>
      <c r="I177" s="300">
        <f>-ROUND('Current Income Tax Expense'!I212*0.245866,0)</f>
        <v>0</v>
      </c>
      <c r="J177" s="300">
        <f t="shared" si="90"/>
        <v>0</v>
      </c>
      <c r="K177" s="276" t="str">
        <f>'Current Income Tax Expense'!K212</f>
        <v>NREG</v>
      </c>
      <c r="L177" s="315">
        <f>SUMIF('Allocation Factors'!$B$3:$B$89,'Deferred Income Tax Expense'!K177,'Allocation Factors'!$P$3:$P$89)</f>
        <v>0</v>
      </c>
      <c r="M177" s="300">
        <f t="shared" si="91"/>
        <v>0</v>
      </c>
      <c r="N177" s="300">
        <f t="shared" si="92"/>
        <v>0</v>
      </c>
      <c r="O177" s="300">
        <f t="shared" si="88"/>
        <v>0</v>
      </c>
    </row>
    <row r="178" spans="1:15">
      <c r="A178" s="90" t="str">
        <f>'Current Income Tax Expense'!A213</f>
        <v>Reg Asset - Frozen MTM</v>
      </c>
      <c r="B178" s="276">
        <f>'Current Income Tax Expense'!B213</f>
        <v>287886</v>
      </c>
      <c r="C178" s="314">
        <f>'Current Income Tax Expense'!C213</f>
        <v>415.83699999999999</v>
      </c>
      <c r="D178" s="276" t="str">
        <f>'Current Income Tax Expense'!D213</f>
        <v>- - - - -</v>
      </c>
      <c r="E178" s="276" t="str">
        <f>'Current Income Tax Expense'!E213</f>
        <v>NR</v>
      </c>
      <c r="F178" s="300">
        <f>ROUND(-'Current Income Tax Expense'!F213*0.245866,0)</f>
        <v>-3464257</v>
      </c>
      <c r="G178" s="300">
        <f t="shared" si="81"/>
        <v>0</v>
      </c>
      <c r="H178" s="300">
        <f t="shared" si="89"/>
        <v>0</v>
      </c>
      <c r="I178" s="300">
        <f>-ROUND('Current Income Tax Expense'!I213*0.245866,0)</f>
        <v>0</v>
      </c>
      <c r="J178" s="300">
        <f t="shared" si="90"/>
        <v>0</v>
      </c>
      <c r="K178" s="276" t="str">
        <f>'Current Income Tax Expense'!K213</f>
        <v>NREG</v>
      </c>
      <c r="L178" s="315">
        <f>SUMIF('Allocation Factors'!$B$3:$B$89,'Deferred Income Tax Expense'!K178,'Allocation Factors'!$P$3:$P$89)</f>
        <v>0</v>
      </c>
      <c r="M178" s="300">
        <f t="shared" si="91"/>
        <v>0</v>
      </c>
      <c r="N178" s="300">
        <f t="shared" si="92"/>
        <v>0</v>
      </c>
      <c r="O178" s="300">
        <f t="shared" si="88"/>
        <v>0</v>
      </c>
    </row>
    <row r="179" spans="1:15">
      <c r="A179" s="90" t="str">
        <f>'Current Income Tax Expense'!A214</f>
        <v>Reg Asset - CA Mobile Home Park Conversion</v>
      </c>
      <c r="B179" s="276">
        <f>'Current Income Tax Expense'!B214</f>
        <v>287997</v>
      </c>
      <c r="C179" s="314">
        <f>'Current Income Tax Expense'!C214</f>
        <v>415.86200000000002</v>
      </c>
      <c r="D179" s="276" t="str">
        <f>'Current Income Tax Expense'!D214</f>
        <v>- - - - -</v>
      </c>
      <c r="E179" s="276" t="str">
        <f>'Current Income Tax Expense'!E214</f>
        <v>U</v>
      </c>
      <c r="F179" s="300">
        <f>ROUND(-'Current Income Tax Expense'!F214*0.245866,0)</f>
        <v>1622</v>
      </c>
      <c r="G179" s="300">
        <f t="shared" si="81"/>
        <v>1622</v>
      </c>
      <c r="H179" s="300">
        <f t="shared" si="89"/>
        <v>1622</v>
      </c>
      <c r="I179" s="300">
        <f>-ROUND('Current Income Tax Expense'!I214*0.245866,0)</f>
        <v>0</v>
      </c>
      <c r="J179" s="300">
        <f t="shared" si="90"/>
        <v>1622</v>
      </c>
      <c r="K179" s="276" t="str">
        <f>'Current Income Tax Expense'!K214</f>
        <v>OTHER</v>
      </c>
      <c r="L179" s="315">
        <f>SUMIF('Allocation Factors'!$B$3:$B$89,'Deferred Income Tax Expense'!K179,'Allocation Factors'!$P$3:$P$89)</f>
        <v>0</v>
      </c>
      <c r="M179" s="300">
        <f t="shared" si="91"/>
        <v>0</v>
      </c>
      <c r="N179" s="300">
        <f t="shared" si="92"/>
        <v>0</v>
      </c>
      <c r="O179" s="300">
        <f t="shared" si="88"/>
        <v>0</v>
      </c>
    </row>
    <row r="180" spans="1:15">
      <c r="A180" s="90" t="str">
        <f>'Current Income Tax Expense'!A215</f>
        <v>Reg Asset - UT Subscriber Solar Program</v>
      </c>
      <c r="B180" s="276">
        <f>'Current Income Tax Expense'!B215</f>
        <v>287906</v>
      </c>
      <c r="C180" s="314">
        <f>'Current Income Tax Expense'!C215</f>
        <v>415.863</v>
      </c>
      <c r="D180" s="276" t="str">
        <f>'Current Income Tax Expense'!D215</f>
        <v>- - - - -</v>
      </c>
      <c r="E180" s="276" t="str">
        <f>'Current Income Tax Expense'!E215</f>
        <v>U</v>
      </c>
      <c r="F180" s="300">
        <f>ROUND(-'Current Income Tax Expense'!F215*0.245866,0)</f>
        <v>26361</v>
      </c>
      <c r="G180" s="300">
        <f t="shared" si="81"/>
        <v>26361</v>
      </c>
      <c r="H180" s="300">
        <f t="shared" ref="H180:H211" si="103">IF(E180="U",G180,0)</f>
        <v>26361</v>
      </c>
      <c r="I180" s="300">
        <f>-ROUND('Current Income Tax Expense'!I215*0.245866,0)</f>
        <v>0</v>
      </c>
      <c r="J180" s="300">
        <f t="shared" ref="J180:J211" si="104">SUM(H180:I180)</f>
        <v>26361</v>
      </c>
      <c r="K180" s="276" t="str">
        <f>'Current Income Tax Expense'!K215</f>
        <v>UT</v>
      </c>
      <c r="L180" s="315">
        <f>SUMIF('Allocation Factors'!$B$3:$B$89,'Deferred Income Tax Expense'!K180,'Allocation Factors'!$P$3:$P$89)</f>
        <v>0</v>
      </c>
      <c r="M180" s="300">
        <f t="shared" ref="M180:M211" si="105">ROUND(H180*L180,0)</f>
        <v>0</v>
      </c>
      <c r="N180" s="300">
        <f t="shared" si="92"/>
        <v>0</v>
      </c>
      <c r="O180" s="300">
        <f t="shared" si="88"/>
        <v>0</v>
      </c>
    </row>
    <row r="181" spans="1:15">
      <c r="A181" s="90" t="str">
        <f>'Current Income Tax Expense'!A216</f>
        <v>Reg Asset - Solar Feed-In Tariff Deferral - OR - Noncurrent</v>
      </c>
      <c r="B181" s="276">
        <f>'Current Income Tax Expense'!B216</f>
        <v>287871</v>
      </c>
      <c r="C181" s="314">
        <f>'Current Income Tax Expense'!C216</f>
        <v>415.86599999999999</v>
      </c>
      <c r="D181" s="276" t="str">
        <f>'Current Income Tax Expense'!D216</f>
        <v>- - - - -</v>
      </c>
      <c r="E181" s="276" t="str">
        <f>'Current Income Tax Expense'!E216</f>
        <v>U</v>
      </c>
      <c r="F181" s="300">
        <f>ROUND(-'Current Income Tax Expense'!F216*0.245866,0)</f>
        <v>-17169</v>
      </c>
      <c r="G181" s="300">
        <f t="shared" si="81"/>
        <v>-17169</v>
      </c>
      <c r="H181" s="300">
        <f t="shared" si="103"/>
        <v>-17169</v>
      </c>
      <c r="I181" s="300">
        <f>-ROUND('Current Income Tax Expense'!I216*0.245866,0)</f>
        <v>0</v>
      </c>
      <c r="J181" s="300">
        <f t="shared" si="104"/>
        <v>-17169</v>
      </c>
      <c r="K181" s="276" t="str">
        <f>'Current Income Tax Expense'!K216</f>
        <v>OTHER</v>
      </c>
      <c r="L181" s="315">
        <f>SUMIF('Allocation Factors'!$B$3:$B$89,'Deferred Income Tax Expense'!K181,'Allocation Factors'!$P$3:$P$89)</f>
        <v>0</v>
      </c>
      <c r="M181" s="300">
        <f t="shared" si="105"/>
        <v>0</v>
      </c>
      <c r="N181" s="300">
        <f t="shared" si="92"/>
        <v>0</v>
      </c>
      <c r="O181" s="300">
        <f t="shared" si="88"/>
        <v>0</v>
      </c>
    </row>
    <row r="182" spans="1:15">
      <c r="A182" s="90" t="str">
        <f>'Current Income Tax Expense'!A217</f>
        <v>Reg Asset - Deferred Excess NPC - CA - Noncurrent</v>
      </c>
      <c r="B182" s="276">
        <f>'Current Income Tax Expense'!B217</f>
        <v>287781</v>
      </c>
      <c r="C182" s="314">
        <f>'Current Income Tax Expense'!C217</f>
        <v>415.87</v>
      </c>
      <c r="D182" s="276" t="str">
        <f>'Current Income Tax Expense'!D217</f>
        <v>- - - - -</v>
      </c>
      <c r="E182" s="276" t="str">
        <f>'Current Income Tax Expense'!E217</f>
        <v>U</v>
      </c>
      <c r="F182" s="300">
        <f>ROUND(-'Current Income Tax Expense'!F217*0.245866,0)</f>
        <v>483113</v>
      </c>
      <c r="G182" s="300">
        <f t="shared" si="81"/>
        <v>483113</v>
      </c>
      <c r="H182" s="300">
        <f t="shared" si="103"/>
        <v>483113</v>
      </c>
      <c r="I182" s="300">
        <f>-ROUND('Current Income Tax Expense'!I217*0.245866,0)</f>
        <v>0</v>
      </c>
      <c r="J182" s="300">
        <f t="shared" si="104"/>
        <v>483113</v>
      </c>
      <c r="K182" s="276" t="str">
        <f>'Current Income Tax Expense'!K217</f>
        <v>CA</v>
      </c>
      <c r="L182" s="315">
        <f>SUMIF('Allocation Factors'!$B$3:$B$89,'Deferred Income Tax Expense'!K182,'Allocation Factors'!$P$3:$P$89)</f>
        <v>0</v>
      </c>
      <c r="M182" s="300">
        <f t="shared" si="105"/>
        <v>0</v>
      </c>
      <c r="N182" s="300">
        <f t="shared" si="92"/>
        <v>0</v>
      </c>
      <c r="O182" s="300">
        <f t="shared" si="88"/>
        <v>0</v>
      </c>
    </row>
    <row r="183" spans="1:15">
      <c r="A183" s="90" t="str">
        <f>'Current Income Tax Expense'!A218</f>
        <v>Reg Asset - Deferred Excess NPC - WY '09 &amp; After - Noncurrent</v>
      </c>
      <c r="B183" s="276">
        <f>'Current Income Tax Expense'!B218</f>
        <v>287593</v>
      </c>
      <c r="C183" s="314">
        <f>'Current Income Tax Expense'!C218</f>
        <v>415.87400000000002</v>
      </c>
      <c r="D183" s="276" t="str">
        <f>'Current Income Tax Expense'!D218</f>
        <v>- - - - -</v>
      </c>
      <c r="E183" s="276" t="str">
        <f>'Current Income Tax Expense'!E218</f>
        <v>U</v>
      </c>
      <c r="F183" s="300">
        <f>ROUND(-'Current Income Tax Expense'!F218*0.245866,0)</f>
        <v>1795552</v>
      </c>
      <c r="G183" s="300">
        <f t="shared" si="81"/>
        <v>1795552</v>
      </c>
      <c r="H183" s="300">
        <f t="shared" si="103"/>
        <v>1795552</v>
      </c>
      <c r="I183" s="300">
        <f>-ROUND('Current Income Tax Expense'!I218*0.245866,0)</f>
        <v>0</v>
      </c>
      <c r="J183" s="300">
        <f t="shared" si="104"/>
        <v>1795552</v>
      </c>
      <c r="K183" s="276" t="str">
        <f>'Current Income Tax Expense'!K218</f>
        <v>OTHER</v>
      </c>
      <c r="L183" s="315">
        <f>SUMIF('Allocation Factors'!$B$3:$B$89,'Deferred Income Tax Expense'!K183,'Allocation Factors'!$P$3:$P$89)</f>
        <v>0</v>
      </c>
      <c r="M183" s="300">
        <f t="shared" si="105"/>
        <v>0</v>
      </c>
      <c r="N183" s="300">
        <f t="shared" ref="N183" si="106">ROUND(SUM(I183:I183)*L183,0)</f>
        <v>0</v>
      </c>
      <c r="O183" s="300">
        <f t="shared" ref="O183" si="107">SUM(M183:N183)</f>
        <v>0</v>
      </c>
    </row>
    <row r="184" spans="1:15">
      <c r="A184" s="90" t="str">
        <f>'Current Income Tax Expense'!A219</f>
        <v>Reg Asset - Deferred Excess NPC - UT - Noncurrent</v>
      </c>
      <c r="B184" s="276">
        <f>'Current Income Tax Expense'!B219</f>
        <v>287896</v>
      </c>
      <c r="C184" s="314">
        <f>'Current Income Tax Expense'!C219</f>
        <v>415.875</v>
      </c>
      <c r="D184" s="276" t="str">
        <f>'Current Income Tax Expense'!D219</f>
        <v>- - - - -</v>
      </c>
      <c r="E184" s="276" t="str">
        <f>'Current Income Tax Expense'!E219</f>
        <v>U</v>
      </c>
      <c r="F184" s="300">
        <f>ROUND(-'Current Income Tax Expense'!F219*0.245866,0)</f>
        <v>8090477</v>
      </c>
      <c r="G184" s="300">
        <f t="shared" si="81"/>
        <v>8090477</v>
      </c>
      <c r="H184" s="300">
        <f t="shared" si="103"/>
        <v>8090477</v>
      </c>
      <c r="I184" s="300">
        <f>-ROUND('Current Income Tax Expense'!I219*0.245866,0)</f>
        <v>0</v>
      </c>
      <c r="J184" s="300">
        <f t="shared" si="104"/>
        <v>8090477</v>
      </c>
      <c r="K184" s="276" t="str">
        <f>'Current Income Tax Expense'!K219</f>
        <v>OTHER</v>
      </c>
      <c r="L184" s="315">
        <f>SUMIF('Allocation Factors'!$B$3:$B$89,'Deferred Income Tax Expense'!K184,'Allocation Factors'!$P$3:$P$89)</f>
        <v>0</v>
      </c>
      <c r="M184" s="300">
        <f t="shared" si="105"/>
        <v>0</v>
      </c>
      <c r="N184" s="300">
        <f t="shared" si="92"/>
        <v>0</v>
      </c>
      <c r="O184" s="300">
        <f t="shared" si="88"/>
        <v>0</v>
      </c>
    </row>
    <row r="185" spans="1:15">
      <c r="A185" s="90" t="str">
        <f>'Current Income Tax Expense'!A220</f>
        <v>Reg Asset - UT - Liquidation Damages JB4, N1&amp;2</v>
      </c>
      <c r="B185" s="276">
        <f>'Current Income Tax Expense'!B220</f>
        <v>287899</v>
      </c>
      <c r="C185" s="314">
        <f>'Current Income Tax Expense'!C220</f>
        <v>415.87799999999999</v>
      </c>
      <c r="D185" s="276" t="str">
        <f>'Current Income Tax Expense'!D220</f>
        <v>- - - - -</v>
      </c>
      <c r="E185" s="276" t="str">
        <f>'Current Income Tax Expense'!E220</f>
        <v>U</v>
      </c>
      <c r="F185" s="300">
        <f>ROUND(-'Current Income Tax Expense'!F220*0.245866,0)</f>
        <v>-8605</v>
      </c>
      <c r="G185" s="300">
        <f t="shared" si="81"/>
        <v>-8605</v>
      </c>
      <c r="H185" s="300">
        <f t="shared" si="103"/>
        <v>-8605</v>
      </c>
      <c r="I185" s="300">
        <f>-ROUND('Current Income Tax Expense'!I220*0.245866,0)</f>
        <v>0</v>
      </c>
      <c r="J185" s="300">
        <f t="shared" si="104"/>
        <v>-8605</v>
      </c>
      <c r="K185" s="276" t="str">
        <f>'Current Income Tax Expense'!K220</f>
        <v>UT</v>
      </c>
      <c r="L185" s="315">
        <f>SUMIF('Allocation Factors'!$B$3:$B$89,'Deferred Income Tax Expense'!K185,'Allocation Factors'!$P$3:$P$89)</f>
        <v>0</v>
      </c>
      <c r="M185" s="300">
        <f t="shared" si="105"/>
        <v>0</v>
      </c>
      <c r="N185" s="300">
        <f t="shared" ref="N185:N220" si="108">ROUND(SUM(I185:I185)*L185,0)</f>
        <v>0</v>
      </c>
      <c r="O185" s="300">
        <f t="shared" si="88"/>
        <v>0</v>
      </c>
    </row>
    <row r="186" spans="1:15">
      <c r="A186" s="90" t="str">
        <f>'Current Income Tax Expense'!A221</f>
        <v>Reg Asset - WY Liquidation Damages N2</v>
      </c>
      <c r="B186" s="276">
        <f>'Current Income Tax Expense'!B221</f>
        <v>287903</v>
      </c>
      <c r="C186" s="314">
        <f>'Current Income Tax Expense'!C221</f>
        <v>415.87900000000002</v>
      </c>
      <c r="D186" s="276" t="str">
        <f>'Current Income Tax Expense'!D221</f>
        <v>- - - - -</v>
      </c>
      <c r="E186" s="276" t="str">
        <f>'Current Income Tax Expense'!E221</f>
        <v>U</v>
      </c>
      <c r="F186" s="300">
        <f>ROUND(-'Current Income Tax Expense'!F221*0.245866,0)</f>
        <v>-1403</v>
      </c>
      <c r="G186" s="300">
        <f t="shared" ref="G186:G233" si="109">IF(E186="U",F186,0)</f>
        <v>-1403</v>
      </c>
      <c r="H186" s="300">
        <f t="shared" si="103"/>
        <v>-1403</v>
      </c>
      <c r="I186" s="300">
        <f>-ROUND('Current Income Tax Expense'!I221*0.245866,0)</f>
        <v>0</v>
      </c>
      <c r="J186" s="300">
        <f t="shared" si="104"/>
        <v>-1403</v>
      </c>
      <c r="K186" s="276" t="str">
        <f>'Current Income Tax Expense'!K221</f>
        <v>WYP</v>
      </c>
      <c r="L186" s="315">
        <f>SUMIF('Allocation Factors'!$B$3:$B$89,'Deferred Income Tax Expense'!K186,'Allocation Factors'!$P$3:$P$89)</f>
        <v>0</v>
      </c>
      <c r="M186" s="300">
        <f t="shared" si="105"/>
        <v>0</v>
      </c>
      <c r="N186" s="300">
        <f t="shared" si="108"/>
        <v>0</v>
      </c>
      <c r="O186" s="300">
        <f t="shared" si="88"/>
        <v>0</v>
      </c>
    </row>
    <row r="187" spans="1:15">
      <c r="A187" s="90" t="str">
        <f>'Current Income Tax Expense'!A222</f>
        <v>Reg Asset - Deferred Independent Evaluator Fee - UT</v>
      </c>
      <c r="B187" s="276">
        <f>'Current Income Tax Expense'!B222</f>
        <v>287783</v>
      </c>
      <c r="C187" s="314">
        <f>'Current Income Tax Expense'!C222</f>
        <v>415.88</v>
      </c>
      <c r="D187" s="276" t="str">
        <f>'Current Income Tax Expense'!D222</f>
        <v>- - - - -</v>
      </c>
      <c r="E187" s="276" t="str">
        <f>'Current Income Tax Expense'!E222</f>
        <v>NR</v>
      </c>
      <c r="F187" s="300">
        <f>ROUND(-'Current Income Tax Expense'!F222*0.245866,0)</f>
        <v>3682</v>
      </c>
      <c r="G187" s="300">
        <f t="shared" si="109"/>
        <v>0</v>
      </c>
      <c r="H187" s="300">
        <f t="shared" si="103"/>
        <v>0</v>
      </c>
      <c r="I187" s="300">
        <f>-ROUND('Current Income Tax Expense'!I222*0.245866,0)</f>
        <v>0</v>
      </c>
      <c r="J187" s="300">
        <f t="shared" si="104"/>
        <v>0</v>
      </c>
      <c r="K187" s="276" t="str">
        <f>'Current Income Tax Expense'!K222</f>
        <v>NREG</v>
      </c>
      <c r="L187" s="315">
        <f>SUMIF('Allocation Factors'!$B$3:$B$89,'Deferred Income Tax Expense'!K187,'Allocation Factors'!$P$3:$P$89)</f>
        <v>0</v>
      </c>
      <c r="M187" s="300">
        <f t="shared" si="105"/>
        <v>0</v>
      </c>
      <c r="N187" s="300">
        <f t="shared" si="108"/>
        <v>0</v>
      </c>
      <c r="O187" s="300">
        <f t="shared" si="88"/>
        <v>0</v>
      </c>
    </row>
    <row r="188" spans="1:15">
      <c r="A188" s="90" t="str">
        <f>'Current Income Tax Expense'!A223</f>
        <v>Reg Asset - REC Sales Deferral - WA - Noncurrent</v>
      </c>
      <c r="B188" s="276">
        <f>'Current Income Tax Expense'!B223</f>
        <v>287888</v>
      </c>
      <c r="C188" s="314">
        <f>'Current Income Tax Expense'!C223</f>
        <v>415.88200000000001</v>
      </c>
      <c r="D188" s="276" t="str">
        <f>'Current Income Tax Expense'!D223</f>
        <v>- - - - -</v>
      </c>
      <c r="E188" s="276" t="str">
        <f>'Current Income Tax Expense'!E223</f>
        <v>U</v>
      </c>
      <c r="F188" s="300">
        <f>ROUND(-'Current Income Tax Expense'!F223*0.245866,0)</f>
        <v>-5199</v>
      </c>
      <c r="G188" s="300">
        <f t="shared" si="109"/>
        <v>-5199</v>
      </c>
      <c r="H188" s="300">
        <f t="shared" si="103"/>
        <v>-5199</v>
      </c>
      <c r="I188" s="300">
        <f>-ROUND('Current Income Tax Expense'!I223*0.245866,0)</f>
        <v>0</v>
      </c>
      <c r="J188" s="300">
        <f t="shared" si="104"/>
        <v>-5199</v>
      </c>
      <c r="K188" s="276" t="str">
        <f>'Current Income Tax Expense'!K223</f>
        <v>OTHER</v>
      </c>
      <c r="L188" s="315">
        <f>SUMIF('Allocation Factors'!$B$3:$B$89,'Deferred Income Tax Expense'!K188,'Allocation Factors'!$P$3:$P$89)</f>
        <v>0</v>
      </c>
      <c r="M188" s="300">
        <f t="shared" si="105"/>
        <v>0</v>
      </c>
      <c r="N188" s="300">
        <f t="shared" si="108"/>
        <v>0</v>
      </c>
      <c r="O188" s="300">
        <f t="shared" si="88"/>
        <v>0</v>
      </c>
    </row>
    <row r="189" spans="1:15">
      <c r="A189" s="90" t="str">
        <f>'Current Income Tax Expense'!A224</f>
        <v>Reg Asset - Noncurrent Reclass - Other</v>
      </c>
      <c r="B189" s="276">
        <f>'Current Income Tax Expense'!B224</f>
        <v>287977</v>
      </c>
      <c r="C189" s="314">
        <f>'Current Income Tax Expense'!C224</f>
        <v>415.88499999999999</v>
      </c>
      <c r="D189" s="276" t="str">
        <f>'Current Income Tax Expense'!D224</f>
        <v>- - - - -</v>
      </c>
      <c r="E189" s="276" t="str">
        <f>'Current Income Tax Expense'!E224</f>
        <v>U</v>
      </c>
      <c r="F189" s="300">
        <f>ROUND(-'Current Income Tax Expense'!F224*0.245866,0)</f>
        <v>-3682</v>
      </c>
      <c r="G189" s="300">
        <f t="shared" si="109"/>
        <v>-3682</v>
      </c>
      <c r="H189" s="300">
        <f t="shared" si="103"/>
        <v>-3682</v>
      </c>
      <c r="I189" s="300">
        <f>-ROUND('Current Income Tax Expense'!I224*0.245866,0)</f>
        <v>0</v>
      </c>
      <c r="J189" s="300">
        <f t="shared" si="104"/>
        <v>-3682</v>
      </c>
      <c r="K189" s="276" t="str">
        <f>'Current Income Tax Expense'!K224</f>
        <v>OTHER</v>
      </c>
      <c r="L189" s="315">
        <f>SUMIF('Allocation Factors'!$B$3:$B$89,'Deferred Income Tax Expense'!K189,'Allocation Factors'!$P$3:$P$89)</f>
        <v>0</v>
      </c>
      <c r="M189" s="300">
        <f t="shared" si="105"/>
        <v>0</v>
      </c>
      <c r="N189" s="300">
        <f t="shared" si="108"/>
        <v>0</v>
      </c>
      <c r="O189" s="300">
        <f t="shared" si="88"/>
        <v>0</v>
      </c>
    </row>
    <row r="190" spans="1:15">
      <c r="A190" s="90" t="str">
        <f>'Current Income Tax Expense'!A225</f>
        <v>Reg Asset - Deferred Excess NPC - ID - Noncurrent</v>
      </c>
      <c r="B190" s="276">
        <f>'Current Income Tax Expense'!B225</f>
        <v>287596</v>
      </c>
      <c r="C190" s="314">
        <f>'Current Income Tax Expense'!C225</f>
        <v>415.892</v>
      </c>
      <c r="D190" s="276" t="str">
        <f>'Current Income Tax Expense'!D225</f>
        <v>- - - - -</v>
      </c>
      <c r="E190" s="276" t="str">
        <f>'Current Income Tax Expense'!E225</f>
        <v>U</v>
      </c>
      <c r="F190" s="300">
        <f>ROUND(-'Current Income Tax Expense'!F225*0.245866,0)</f>
        <v>2958571</v>
      </c>
      <c r="G190" s="300">
        <f t="shared" si="109"/>
        <v>2958571</v>
      </c>
      <c r="H190" s="300">
        <f t="shared" si="103"/>
        <v>2958571</v>
      </c>
      <c r="I190" s="300">
        <f>-ROUND('Current Income Tax Expense'!I225*0.245866,0)</f>
        <v>0</v>
      </c>
      <c r="J190" s="300">
        <f t="shared" si="104"/>
        <v>2958571</v>
      </c>
      <c r="K190" s="276" t="str">
        <f>'Current Income Tax Expense'!K225</f>
        <v>OTHER</v>
      </c>
      <c r="L190" s="315">
        <f>SUMIF('Allocation Factors'!$B$3:$B$89,'Deferred Income Tax Expense'!K190,'Allocation Factors'!$P$3:$P$89)</f>
        <v>0</v>
      </c>
      <c r="M190" s="300">
        <f t="shared" si="105"/>
        <v>0</v>
      </c>
      <c r="N190" s="300">
        <f t="shared" si="108"/>
        <v>0</v>
      </c>
      <c r="O190" s="300">
        <f t="shared" ref="O190:O233" si="110">SUM(M190:N190)</f>
        <v>0</v>
      </c>
    </row>
    <row r="191" spans="1:15">
      <c r="A191" s="90" t="str">
        <f>'Current Income Tax Expense'!A226</f>
        <v>Reg Asset - REC Sales Deferral - OR - Noncurrent</v>
      </c>
      <c r="B191" s="276">
        <f>'Current Income Tax Expense'!B226</f>
        <v>287978</v>
      </c>
      <c r="C191" s="314">
        <f>'Current Income Tax Expense'!C226</f>
        <v>415.90600000000001</v>
      </c>
      <c r="D191" s="276" t="str">
        <f>'Current Income Tax Expense'!D226</f>
        <v>- - - - -</v>
      </c>
      <c r="E191" s="276" t="str">
        <f>'Current Income Tax Expense'!E226</f>
        <v>U</v>
      </c>
      <c r="F191" s="300">
        <f>ROUND(-'Current Income Tax Expense'!F226*0.245866,0)</f>
        <v>-44014</v>
      </c>
      <c r="G191" s="300">
        <f t="shared" si="109"/>
        <v>-44014</v>
      </c>
      <c r="H191" s="300">
        <f t="shared" si="103"/>
        <v>-44014</v>
      </c>
      <c r="I191" s="300">
        <f>-ROUND('Current Income Tax Expense'!I226*0.245866,0)</f>
        <v>0</v>
      </c>
      <c r="J191" s="300">
        <f t="shared" si="104"/>
        <v>-44014</v>
      </c>
      <c r="K191" s="276" t="str">
        <f>'Current Income Tax Expense'!K226</f>
        <v>OTHER</v>
      </c>
      <c r="L191" s="315">
        <f>SUMIF('Allocation Factors'!$B$3:$B$89,'Deferred Income Tax Expense'!K191,'Allocation Factors'!$P$3:$P$89)</f>
        <v>0</v>
      </c>
      <c r="M191" s="300">
        <f t="shared" si="105"/>
        <v>0</v>
      </c>
      <c r="N191" s="300">
        <f t="shared" si="108"/>
        <v>0</v>
      </c>
      <c r="O191" s="300">
        <f t="shared" si="110"/>
        <v>0</v>
      </c>
    </row>
    <row r="192" spans="1:15">
      <c r="A192" s="90" t="str">
        <f>'Current Income Tax Expense'!A227</f>
        <v>Reg Asset - Depreciation Increase - ID</v>
      </c>
      <c r="B192" s="276">
        <f>'Current Income Tax Expense'!B227</f>
        <v>287981</v>
      </c>
      <c r="C192" s="314">
        <f>'Current Income Tax Expense'!C227</f>
        <v>415.92</v>
      </c>
      <c r="D192" s="276" t="str">
        <f>'Current Income Tax Expense'!D227</f>
        <v>- - - - -</v>
      </c>
      <c r="E192" s="276" t="str">
        <f>'Current Income Tax Expense'!E227</f>
        <v>U</v>
      </c>
      <c r="F192" s="300">
        <f>ROUND(-'Current Income Tax Expense'!F227*0.245866,0)</f>
        <v>18043</v>
      </c>
      <c r="G192" s="300">
        <f t="shared" si="109"/>
        <v>18043</v>
      </c>
      <c r="H192" s="300">
        <f t="shared" si="103"/>
        <v>18043</v>
      </c>
      <c r="I192" s="300">
        <f>-ROUND('Current Income Tax Expense'!I227*0.245866,0)</f>
        <v>0</v>
      </c>
      <c r="J192" s="300">
        <f t="shared" si="104"/>
        <v>18043</v>
      </c>
      <c r="K192" s="276" t="str">
        <f>'Current Income Tax Expense'!K227</f>
        <v>IDU</v>
      </c>
      <c r="L192" s="315">
        <f>SUMIF('Allocation Factors'!$B$3:$B$89,'Deferred Income Tax Expense'!K192,'Allocation Factors'!$P$3:$P$89)</f>
        <v>0</v>
      </c>
      <c r="M192" s="300">
        <f t="shared" si="105"/>
        <v>0</v>
      </c>
      <c r="N192" s="300">
        <f t="shared" si="108"/>
        <v>0</v>
      </c>
      <c r="O192" s="300">
        <f t="shared" si="110"/>
        <v>0</v>
      </c>
    </row>
    <row r="193" spans="1:15">
      <c r="A193" s="90" t="str">
        <f>'Current Income Tax Expense'!A228</f>
        <v>Reg Asset - Depreciation Increase - UT</v>
      </c>
      <c r="B193" s="276">
        <f>'Current Income Tax Expense'!B228</f>
        <v>287982</v>
      </c>
      <c r="C193" s="314">
        <f>'Current Income Tax Expense'!C228</f>
        <v>415.92099999999999</v>
      </c>
      <c r="D193" s="276" t="str">
        <f>'Current Income Tax Expense'!D228</f>
        <v>- - - - -</v>
      </c>
      <c r="E193" s="276" t="str">
        <f>'Current Income Tax Expense'!E228</f>
        <v>U</v>
      </c>
      <c r="F193" s="300">
        <f>ROUND(-'Current Income Tax Expense'!F228*0.245866,0)</f>
        <v>-31481</v>
      </c>
      <c r="G193" s="300">
        <f t="shared" si="109"/>
        <v>-31481</v>
      </c>
      <c r="H193" s="300">
        <f t="shared" si="103"/>
        <v>-31481</v>
      </c>
      <c r="I193" s="300">
        <f>-ROUND('Current Income Tax Expense'!I228*0.245866,0)</f>
        <v>0</v>
      </c>
      <c r="J193" s="300">
        <f t="shared" si="104"/>
        <v>-31481</v>
      </c>
      <c r="K193" s="276" t="str">
        <f>'Current Income Tax Expense'!K228</f>
        <v>UT</v>
      </c>
      <c r="L193" s="315">
        <f>SUMIF('Allocation Factors'!$B$3:$B$89,'Deferred Income Tax Expense'!K193,'Allocation Factors'!$P$3:$P$89)</f>
        <v>0</v>
      </c>
      <c r="M193" s="300">
        <f t="shared" si="105"/>
        <v>0</v>
      </c>
      <c r="N193" s="300">
        <f t="shared" si="108"/>
        <v>0</v>
      </c>
      <c r="O193" s="300">
        <f t="shared" si="110"/>
        <v>0</v>
      </c>
    </row>
    <row r="194" spans="1:15">
      <c r="A194" s="90" t="str">
        <f>'Current Income Tax Expense'!A229</f>
        <v>Reg Asset - Depreciation Increase - WY</v>
      </c>
      <c r="B194" s="276">
        <f>'Current Income Tax Expense'!B229</f>
        <v>287983</v>
      </c>
      <c r="C194" s="314">
        <f>'Current Income Tax Expense'!C229</f>
        <v>415.92200000000003</v>
      </c>
      <c r="D194" s="276" t="str">
        <f>'Current Income Tax Expense'!D229</f>
        <v>- - - - -</v>
      </c>
      <c r="E194" s="276" t="str">
        <f>'Current Income Tax Expense'!E229</f>
        <v>U</v>
      </c>
      <c r="F194" s="300">
        <f>ROUND(-'Current Income Tax Expense'!F229*0.245866,0)</f>
        <v>-108720</v>
      </c>
      <c r="G194" s="300">
        <f t="shared" si="109"/>
        <v>-108720</v>
      </c>
      <c r="H194" s="300">
        <f t="shared" si="103"/>
        <v>-108720</v>
      </c>
      <c r="I194" s="300">
        <f>-ROUND('Current Income Tax Expense'!I229*0.245866,0)</f>
        <v>0</v>
      </c>
      <c r="J194" s="300">
        <f t="shared" si="104"/>
        <v>-108720</v>
      </c>
      <c r="K194" s="276" t="str">
        <f>'Current Income Tax Expense'!K229</f>
        <v>WYP</v>
      </c>
      <c r="L194" s="315">
        <f>SUMIF('Allocation Factors'!$B$3:$B$89,'Deferred Income Tax Expense'!K194,'Allocation Factors'!$P$3:$P$89)</f>
        <v>0</v>
      </c>
      <c r="M194" s="300">
        <f t="shared" si="105"/>
        <v>0</v>
      </c>
      <c r="N194" s="300">
        <f t="shared" si="108"/>
        <v>0</v>
      </c>
      <c r="O194" s="300">
        <f t="shared" si="110"/>
        <v>0</v>
      </c>
    </row>
    <row r="195" spans="1:15">
      <c r="A195" s="90" t="str">
        <f>'Current Income Tax Expense'!A230</f>
        <v>Reg Asset - Carbon Unrecovered Plant - ID</v>
      </c>
      <c r="B195" s="276">
        <f>'Current Income Tax Expense'!B230</f>
        <v>287984</v>
      </c>
      <c r="C195" s="314">
        <f>'Current Income Tax Expense'!C230</f>
        <v>415.923</v>
      </c>
      <c r="D195" s="276" t="str">
        <f>'Current Income Tax Expense'!D230</f>
        <v>- - - - -</v>
      </c>
      <c r="E195" s="276" t="str">
        <f>'Current Income Tax Expense'!E230</f>
        <v>U</v>
      </c>
      <c r="F195" s="300">
        <f>ROUND(-'Current Income Tax Expense'!F230*0.245866,0)</f>
        <v>-117681</v>
      </c>
      <c r="G195" s="300">
        <f t="shared" si="109"/>
        <v>-117681</v>
      </c>
      <c r="H195" s="300">
        <f t="shared" si="103"/>
        <v>-117681</v>
      </c>
      <c r="I195" s="300">
        <f>-ROUND('Current Income Tax Expense'!I230*0.245866,0)</f>
        <v>0</v>
      </c>
      <c r="J195" s="300">
        <f t="shared" si="104"/>
        <v>-117681</v>
      </c>
      <c r="K195" s="276" t="str">
        <f>'Current Income Tax Expense'!K230</f>
        <v>IDU</v>
      </c>
      <c r="L195" s="315">
        <f>SUMIF('Allocation Factors'!$B$3:$B$89,'Deferred Income Tax Expense'!K195,'Allocation Factors'!$P$3:$P$89)</f>
        <v>0</v>
      </c>
      <c r="M195" s="300">
        <f t="shared" si="105"/>
        <v>0</v>
      </c>
      <c r="N195" s="300">
        <f t="shared" si="108"/>
        <v>0</v>
      </c>
      <c r="O195" s="300">
        <f t="shared" si="110"/>
        <v>0</v>
      </c>
    </row>
    <row r="196" spans="1:15">
      <c r="A196" s="90" t="str">
        <f>'Current Income Tax Expense'!A231</f>
        <v>Reg Asset - Carbon Unrecovered Plant - UT</v>
      </c>
      <c r="B196" s="276">
        <f>'Current Income Tax Expense'!B231</f>
        <v>287985</v>
      </c>
      <c r="C196" s="314">
        <f>'Current Income Tax Expense'!C231</f>
        <v>415.92399999999998</v>
      </c>
      <c r="D196" s="276" t="str">
        <f>'Current Income Tax Expense'!D231</f>
        <v>- - - - -</v>
      </c>
      <c r="E196" s="276" t="str">
        <f>'Current Income Tax Expense'!E231</f>
        <v>U</v>
      </c>
      <c r="F196" s="300">
        <f>ROUND(-'Current Income Tax Expense'!F231*0.245866,0)</f>
        <v>-846920</v>
      </c>
      <c r="G196" s="300">
        <f t="shared" si="109"/>
        <v>-846920</v>
      </c>
      <c r="H196" s="300">
        <f t="shared" si="103"/>
        <v>-846920</v>
      </c>
      <c r="I196" s="300">
        <f>-ROUND('Current Income Tax Expense'!I231*0.245866,0)</f>
        <v>0</v>
      </c>
      <c r="J196" s="300">
        <f t="shared" si="104"/>
        <v>-846920</v>
      </c>
      <c r="K196" s="276" t="str">
        <f>'Current Income Tax Expense'!K231</f>
        <v>UT</v>
      </c>
      <c r="L196" s="315">
        <f>SUMIF('Allocation Factors'!$B$3:$B$89,'Deferred Income Tax Expense'!K196,'Allocation Factors'!$P$3:$P$89)</f>
        <v>0</v>
      </c>
      <c r="M196" s="300">
        <f t="shared" si="105"/>
        <v>0</v>
      </c>
      <c r="N196" s="300">
        <f t="shared" si="108"/>
        <v>0</v>
      </c>
      <c r="O196" s="300">
        <f t="shared" si="110"/>
        <v>0</v>
      </c>
    </row>
    <row r="197" spans="1:15">
      <c r="A197" s="90" t="str">
        <f>'Current Income Tax Expense'!A232</f>
        <v>Reg Asset - Carbon Unrecovered Plant - WY</v>
      </c>
      <c r="B197" s="276">
        <f>'Current Income Tax Expense'!B232</f>
        <v>287986</v>
      </c>
      <c r="C197" s="314">
        <f>'Current Income Tax Expense'!C232</f>
        <v>415.92500000000001</v>
      </c>
      <c r="D197" s="276" t="str">
        <f>'Current Income Tax Expense'!D232</f>
        <v>- - - - -</v>
      </c>
      <c r="E197" s="276" t="str">
        <f>'Current Income Tax Expense'!E232</f>
        <v>U</v>
      </c>
      <c r="F197" s="300">
        <f>ROUND(-'Current Income Tax Expense'!F232*0.245866,0)</f>
        <v>-284759</v>
      </c>
      <c r="G197" s="300">
        <f t="shared" si="109"/>
        <v>-284759</v>
      </c>
      <c r="H197" s="300">
        <f t="shared" si="103"/>
        <v>-284759</v>
      </c>
      <c r="I197" s="300">
        <f>-ROUND('Current Income Tax Expense'!I232*0.245866,0)</f>
        <v>0</v>
      </c>
      <c r="J197" s="300">
        <f t="shared" si="104"/>
        <v>-284759</v>
      </c>
      <c r="K197" s="276" t="str">
        <f>'Current Income Tax Expense'!K232</f>
        <v>WYP</v>
      </c>
      <c r="L197" s="315">
        <f>SUMIF('Allocation Factors'!$B$3:$B$89,'Deferred Income Tax Expense'!K197,'Allocation Factors'!$P$3:$P$89)</f>
        <v>0</v>
      </c>
      <c r="M197" s="300">
        <f t="shared" si="105"/>
        <v>0</v>
      </c>
      <c r="N197" s="300">
        <f t="shared" si="108"/>
        <v>0</v>
      </c>
      <c r="O197" s="300">
        <f t="shared" si="110"/>
        <v>0</v>
      </c>
    </row>
    <row r="198" spans="1:15">
      <c r="A198" s="90" t="str">
        <f>'Current Income Tax Expense'!A233</f>
        <v>Reg Liability - Contra - Carbon Decommissioning - ID</v>
      </c>
      <c r="B198" s="276">
        <f>'Current Income Tax Expense'!B233</f>
        <v>287221</v>
      </c>
      <c r="C198" s="314">
        <f>'Current Income Tax Expense'!C233</f>
        <v>415.93299999999999</v>
      </c>
      <c r="D198" s="276" t="str">
        <f>'Current Income Tax Expense'!D233</f>
        <v>- - - - -</v>
      </c>
      <c r="E198" s="276" t="str">
        <f>'Current Income Tax Expense'!E233</f>
        <v>U</v>
      </c>
      <c r="F198" s="300">
        <f>ROUND(-'Current Income Tax Expense'!F233*0.245866,0)</f>
        <v>-8512</v>
      </c>
      <c r="G198" s="300">
        <f t="shared" si="109"/>
        <v>-8512</v>
      </c>
      <c r="H198" s="300">
        <f t="shared" si="103"/>
        <v>-8512</v>
      </c>
      <c r="I198" s="300">
        <f>-ROUND('Current Income Tax Expense'!I233*0.245866,0)</f>
        <v>0</v>
      </c>
      <c r="J198" s="300">
        <f t="shared" si="104"/>
        <v>-8512</v>
      </c>
      <c r="K198" s="276" t="str">
        <f>'Current Income Tax Expense'!K233</f>
        <v>IDU</v>
      </c>
      <c r="L198" s="315">
        <f>SUMIF('Allocation Factors'!$B$3:$B$89,'Deferred Income Tax Expense'!K198,'Allocation Factors'!$P$3:$P$89)</f>
        <v>0</v>
      </c>
      <c r="M198" s="300">
        <f t="shared" si="105"/>
        <v>0</v>
      </c>
      <c r="N198" s="300">
        <f t="shared" ref="N198:N199" si="111">ROUND(SUM(I198:I198)*L198,0)</f>
        <v>0</v>
      </c>
      <c r="O198" s="300">
        <f t="shared" ref="O198:O199" si="112">SUM(M198:N198)</f>
        <v>0</v>
      </c>
    </row>
    <row r="199" spans="1:15">
      <c r="A199" s="90" t="str">
        <f>'Current Income Tax Expense'!A234</f>
        <v>Reg Liability - Contra - Carbon Decommissioning - UT</v>
      </c>
      <c r="B199" s="276">
        <f>'Current Income Tax Expense'!B234</f>
        <v>287222</v>
      </c>
      <c r="C199" s="314">
        <f>'Current Income Tax Expense'!C234</f>
        <v>415.93400000000003</v>
      </c>
      <c r="D199" s="276" t="str">
        <f>'Current Income Tax Expense'!D234</f>
        <v>- - - - -</v>
      </c>
      <c r="E199" s="276" t="str">
        <f>'Current Income Tax Expense'!E234</f>
        <v>U</v>
      </c>
      <c r="F199" s="300">
        <f>ROUND(-'Current Income Tax Expense'!F234*0.245866,0)</f>
        <v>-61575</v>
      </c>
      <c r="G199" s="300">
        <f t="shared" si="109"/>
        <v>-61575</v>
      </c>
      <c r="H199" s="300">
        <f t="shared" si="103"/>
        <v>-61575</v>
      </c>
      <c r="I199" s="300">
        <f>-ROUND('Current Income Tax Expense'!I234*0.245866,0)</f>
        <v>0</v>
      </c>
      <c r="J199" s="300">
        <f t="shared" si="104"/>
        <v>-61575</v>
      </c>
      <c r="K199" s="276" t="str">
        <f>'Current Income Tax Expense'!K234</f>
        <v>UT</v>
      </c>
      <c r="L199" s="315">
        <f>SUMIF('Allocation Factors'!$B$3:$B$89,'Deferred Income Tax Expense'!K199,'Allocation Factors'!$P$3:$P$89)</f>
        <v>0</v>
      </c>
      <c r="M199" s="300">
        <f t="shared" si="105"/>
        <v>0</v>
      </c>
      <c r="N199" s="300">
        <f t="shared" si="111"/>
        <v>0</v>
      </c>
      <c r="O199" s="300">
        <f t="shared" si="112"/>
        <v>0</v>
      </c>
    </row>
    <row r="200" spans="1:15">
      <c r="A200" s="90" t="str">
        <f>'Current Income Tax Expense'!A235</f>
        <v>Reg Liability - Contra - Carbon Decommissioning - WY</v>
      </c>
      <c r="B200" s="276">
        <f>'Current Income Tax Expense'!B235</f>
        <v>287223</v>
      </c>
      <c r="C200" s="314">
        <f>'Current Income Tax Expense'!C235</f>
        <v>415.935</v>
      </c>
      <c r="D200" s="276" t="str">
        <f>'Current Income Tax Expense'!D235</f>
        <v>- - - - -</v>
      </c>
      <c r="E200" s="276" t="str">
        <f>'Current Income Tax Expense'!E235</f>
        <v>U</v>
      </c>
      <c r="F200" s="300">
        <f>ROUND(-'Current Income Tax Expense'!F235*0.245866,0)</f>
        <v>-153407</v>
      </c>
      <c r="G200" s="300">
        <f t="shared" si="109"/>
        <v>-153407</v>
      </c>
      <c r="H200" s="300">
        <f t="shared" si="103"/>
        <v>-153407</v>
      </c>
      <c r="I200" s="300">
        <f>-ROUND('Current Income Tax Expense'!I235*0.245866,0)</f>
        <v>0</v>
      </c>
      <c r="J200" s="300">
        <f t="shared" si="104"/>
        <v>-153407</v>
      </c>
      <c r="K200" s="276" t="str">
        <f>'Current Income Tax Expense'!K235</f>
        <v>WYP</v>
      </c>
      <c r="L200" s="315">
        <f>SUMIF('Allocation Factors'!$B$3:$B$89,'Deferred Income Tax Expense'!K200,'Allocation Factors'!$P$3:$P$89)</f>
        <v>0</v>
      </c>
      <c r="M200" s="300">
        <f t="shared" si="105"/>
        <v>0</v>
      </c>
      <c r="N200" s="300">
        <f t="shared" si="108"/>
        <v>0</v>
      </c>
      <c r="O200" s="300">
        <f t="shared" si="110"/>
        <v>0</v>
      </c>
    </row>
    <row r="201" spans="1:15">
      <c r="A201" s="90" t="str">
        <f>'Current Income Tax Expense'!A236</f>
        <v>Reg Asset - Deferred Intervenor Funding Grants - ID</v>
      </c>
      <c r="B201" s="276">
        <f>'Current Income Tax Expense'!B236</f>
        <v>287647</v>
      </c>
      <c r="C201" s="314">
        <f>'Current Income Tax Expense'!C236</f>
        <v>425.1</v>
      </c>
      <c r="D201" s="276" t="str">
        <f>'Current Income Tax Expense'!D236</f>
        <v>- - - - -</v>
      </c>
      <c r="E201" s="276" t="str">
        <f>'Current Income Tax Expense'!E236</f>
        <v>U</v>
      </c>
      <c r="F201" s="300">
        <f>ROUND(-'Current Income Tax Expense'!F236*0.245866,0)</f>
        <v>9835</v>
      </c>
      <c r="G201" s="300">
        <f t="shared" si="109"/>
        <v>9835</v>
      </c>
      <c r="H201" s="300">
        <f t="shared" si="103"/>
        <v>9835</v>
      </c>
      <c r="I201" s="300">
        <f>-ROUND('Current Income Tax Expense'!I236*0.245866,0)</f>
        <v>0</v>
      </c>
      <c r="J201" s="300">
        <f t="shared" si="104"/>
        <v>9835</v>
      </c>
      <c r="K201" s="276" t="str">
        <f>'Current Income Tax Expense'!K236</f>
        <v>IDU</v>
      </c>
      <c r="L201" s="315">
        <f>SUMIF('Allocation Factors'!$B$3:$B$89,'Deferred Income Tax Expense'!K201,'Allocation Factors'!$P$3:$P$89)</f>
        <v>0</v>
      </c>
      <c r="M201" s="300">
        <f t="shared" si="105"/>
        <v>0</v>
      </c>
      <c r="N201" s="300">
        <f t="shared" ref="N201" si="113">ROUND(SUM(I201:I201)*L201,0)</f>
        <v>0</v>
      </c>
      <c r="O201" s="300">
        <f t="shared" ref="O201" si="114">SUM(M201:N201)</f>
        <v>0</v>
      </c>
    </row>
    <row r="202" spans="1:15">
      <c r="A202" s="90" t="str">
        <f>'Current Income Tax Expense'!A237</f>
        <v>Tenant Lease Allowances</v>
      </c>
      <c r="B202" s="276">
        <f>'Current Income Tax Expense'!B237</f>
        <v>287393</v>
      </c>
      <c r="C202" s="314">
        <f>'Current Income Tax Expense'!C237</f>
        <v>425.11</v>
      </c>
      <c r="D202" s="276" t="str">
        <f>'Current Income Tax Expense'!D237</f>
        <v>- - - - -</v>
      </c>
      <c r="E202" s="269" t="str">
        <f>'Current Income Tax Expense'!E237</f>
        <v>NR</v>
      </c>
      <c r="F202" s="300">
        <f>ROUND(-'Current Income Tax Expense'!F237*0.245866,0)</f>
        <v>123270</v>
      </c>
      <c r="G202" s="300">
        <f t="shared" si="109"/>
        <v>0</v>
      </c>
      <c r="H202" s="300">
        <f t="shared" si="103"/>
        <v>0</v>
      </c>
      <c r="I202" s="300">
        <f>-ROUND('Current Income Tax Expense'!I237*0.245866,0)</f>
        <v>0</v>
      </c>
      <c r="J202" s="300">
        <f t="shared" si="104"/>
        <v>0</v>
      </c>
      <c r="K202" s="276" t="str">
        <f>'Current Income Tax Expense'!K237</f>
        <v>NREG</v>
      </c>
      <c r="L202" s="315">
        <f>SUMIF('Allocation Factors'!$B$3:$B$89,'Deferred Income Tax Expense'!K202,'Allocation Factors'!$P$3:$P$89)</f>
        <v>0</v>
      </c>
      <c r="M202" s="300">
        <f t="shared" si="105"/>
        <v>0</v>
      </c>
      <c r="N202" s="300">
        <f t="shared" si="108"/>
        <v>0</v>
      </c>
      <c r="O202" s="300">
        <f t="shared" si="110"/>
        <v>0</v>
      </c>
    </row>
    <row r="203" spans="1:15">
      <c r="A203" s="90" t="str">
        <f>'Current Income Tax Expense'!A238</f>
        <v>ROU Asset (Operating Lease)</v>
      </c>
      <c r="B203" s="276">
        <f>'Current Income Tax Expense'!B238</f>
        <v>286915</v>
      </c>
      <c r="C203" s="314">
        <f>'Current Income Tax Expense'!C238</f>
        <v>425.15499999999997</v>
      </c>
      <c r="D203" s="276" t="str">
        <f>'Current Income Tax Expense'!D238</f>
        <v>- - - - -</v>
      </c>
      <c r="E203" s="269" t="str">
        <f>'Current Income Tax Expense'!E238</f>
        <v>NR</v>
      </c>
      <c r="F203" s="300">
        <f>ROUND(-'Current Income Tax Expense'!F238*0.245866,0)</f>
        <v>3409384</v>
      </c>
      <c r="G203" s="300">
        <f t="shared" si="109"/>
        <v>0</v>
      </c>
      <c r="H203" s="300">
        <f t="shared" si="103"/>
        <v>0</v>
      </c>
      <c r="I203" s="300">
        <f>-ROUND('Current Income Tax Expense'!I238*0.245866,0)</f>
        <v>0</v>
      </c>
      <c r="J203" s="300">
        <f t="shared" si="104"/>
        <v>0</v>
      </c>
      <c r="K203" s="276" t="str">
        <f>'Current Income Tax Expense'!K238</f>
        <v>NREG</v>
      </c>
      <c r="L203" s="315">
        <f>SUMIF('Allocation Factors'!$B$3:$B$89,'Deferred Income Tax Expense'!K203,'Allocation Factors'!$P$3:$P$89)</f>
        <v>0</v>
      </c>
      <c r="M203" s="300">
        <f t="shared" si="105"/>
        <v>0</v>
      </c>
      <c r="N203" s="300">
        <f t="shared" ref="N203" si="115">ROUND(SUM(I203:I203)*L203,0)</f>
        <v>0</v>
      </c>
      <c r="O203" s="300">
        <f t="shared" ref="O203" si="116">SUM(M203:N203)</f>
        <v>0</v>
      </c>
    </row>
    <row r="204" spans="1:15">
      <c r="A204" s="90" t="str">
        <f>'Current Income Tax Expense'!A239</f>
        <v>Unearned Joint Use Pole Contact Revenue</v>
      </c>
      <c r="B204" s="276">
        <f>'Current Income Tax Expense'!B239</f>
        <v>287370</v>
      </c>
      <c r="C204" s="314">
        <f>'Current Income Tax Expense'!C239</f>
        <v>425.21499999999997</v>
      </c>
      <c r="D204" s="276" t="str">
        <f>'Current Income Tax Expense'!D239</f>
        <v>- - - - -</v>
      </c>
      <c r="E204" s="269" t="str">
        <f>'Current Income Tax Expense'!E239</f>
        <v>U</v>
      </c>
      <c r="F204" s="300">
        <f>ROUND(-'Current Income Tax Expense'!F239*0.245866,0)</f>
        <v>-5410</v>
      </c>
      <c r="G204" s="300">
        <f t="shared" si="109"/>
        <v>-5410</v>
      </c>
      <c r="H204" s="300">
        <f t="shared" si="103"/>
        <v>-5410</v>
      </c>
      <c r="I204" s="300">
        <f>-ROUND('Current Income Tax Expense'!I239*0.245866,0)</f>
        <v>0</v>
      </c>
      <c r="J204" s="300">
        <f t="shared" si="104"/>
        <v>-5410</v>
      </c>
      <c r="K204" s="276" t="str">
        <f>'Current Income Tax Expense'!K239</f>
        <v>SNPD</v>
      </c>
      <c r="L204" s="315">
        <f>SUMIF('Allocation Factors'!$B$3:$B$89,'Deferred Income Tax Expense'!K204,'Allocation Factors'!$P$3:$P$89)</f>
        <v>6.4409240866138473E-2</v>
      </c>
      <c r="M204" s="300">
        <f t="shared" si="105"/>
        <v>-348</v>
      </c>
      <c r="N204" s="300">
        <f t="shared" si="108"/>
        <v>0</v>
      </c>
      <c r="O204" s="300">
        <f t="shared" si="110"/>
        <v>-348</v>
      </c>
    </row>
    <row r="205" spans="1:15">
      <c r="A205" s="90" t="str">
        <f>'Current Income Tax Expense'!A240</f>
        <v>Reg Asset - Klamath Hydroelectric Relicensing Costs - UT</v>
      </c>
      <c r="B205" s="276">
        <f>'Current Income Tax Expense'!B240</f>
        <v>287897</v>
      </c>
      <c r="C205" s="314">
        <f>'Current Income Tax Expense'!C240</f>
        <v>425.4</v>
      </c>
      <c r="D205" s="276" t="str">
        <f>'Current Income Tax Expense'!D240</f>
        <v>- - - - -</v>
      </c>
      <c r="E205" s="269" t="str">
        <f>'Current Income Tax Expense'!E240</f>
        <v>U</v>
      </c>
      <c r="F205" s="300">
        <f>ROUND(-'Current Income Tax Expense'!F240*0.245866,0)</f>
        <v>-885733</v>
      </c>
      <c r="G205" s="300">
        <f t="shared" si="109"/>
        <v>-885733</v>
      </c>
      <c r="H205" s="300">
        <f t="shared" si="103"/>
        <v>-885733</v>
      </c>
      <c r="I205" s="300">
        <f>-ROUND('Current Income Tax Expense'!I240*0.245866,0)</f>
        <v>0</v>
      </c>
      <c r="J205" s="300">
        <f t="shared" si="104"/>
        <v>-885733</v>
      </c>
      <c r="K205" s="276" t="str">
        <f>'Current Income Tax Expense'!K240</f>
        <v>OTHER</v>
      </c>
      <c r="L205" s="315">
        <f>SUMIF('Allocation Factors'!$B$3:$B$89,'Deferred Income Tax Expense'!K205,'Allocation Factors'!$P$3:$P$89)</f>
        <v>0</v>
      </c>
      <c r="M205" s="300">
        <f t="shared" si="105"/>
        <v>0</v>
      </c>
      <c r="N205" s="300">
        <f t="shared" si="108"/>
        <v>0</v>
      </c>
      <c r="O205" s="300">
        <f t="shared" si="110"/>
        <v>0</v>
      </c>
    </row>
    <row r="206" spans="1:15">
      <c r="A206" s="90" t="str">
        <f>'Current Income Tax Expense'!A241</f>
        <v>Reg Asset - DSM Balance Reclass</v>
      </c>
      <c r="B206" s="276">
        <f>'Current Income Tax Expense'!B241</f>
        <v>287576</v>
      </c>
      <c r="C206" s="314">
        <f>'Current Income Tax Expense'!C241</f>
        <v>430.11</v>
      </c>
      <c r="D206" s="276" t="str">
        <f>'Current Income Tax Expense'!D241</f>
        <v>- - - - -</v>
      </c>
      <c r="E206" s="276" t="str">
        <f>'Current Income Tax Expense'!E241</f>
        <v>U</v>
      </c>
      <c r="F206" s="300">
        <f>ROUND(-'Current Income Tax Expense'!F241*0.245866,0)</f>
        <v>5691096</v>
      </c>
      <c r="G206" s="300">
        <f t="shared" si="109"/>
        <v>5691096</v>
      </c>
      <c r="H206" s="300">
        <f t="shared" si="103"/>
        <v>5691096</v>
      </c>
      <c r="I206" s="300">
        <f>-ROUND('Current Income Tax Expense'!I241*0.245866,0)</f>
        <v>0</v>
      </c>
      <c r="J206" s="300">
        <f t="shared" si="104"/>
        <v>5691096</v>
      </c>
      <c r="K206" s="276" t="str">
        <f>'Current Income Tax Expense'!K241</f>
        <v>OTHER</v>
      </c>
      <c r="L206" s="315">
        <f>SUMIF('Allocation Factors'!$B$3:$B$89,'Deferred Income Tax Expense'!K206,'Allocation Factors'!$P$3:$P$89)</f>
        <v>0</v>
      </c>
      <c r="M206" s="300">
        <f t="shared" si="105"/>
        <v>0</v>
      </c>
      <c r="N206" s="300">
        <f t="shared" si="108"/>
        <v>0</v>
      </c>
      <c r="O206" s="300">
        <f t="shared" si="110"/>
        <v>0</v>
      </c>
    </row>
    <row r="207" spans="1:15">
      <c r="A207" s="90" t="str">
        <f>'Current Income Tax Expense'!A242</f>
        <v>Reg Asset - Other - Balance Reclass</v>
      </c>
      <c r="B207" s="276">
        <f>'Current Income Tax Expense'!B242</f>
        <v>287942</v>
      </c>
      <c r="C207" s="314">
        <f>'Current Income Tax Expense'!C242</f>
        <v>430.11200000000002</v>
      </c>
      <c r="D207" s="276" t="str">
        <f>'Current Income Tax Expense'!D242</f>
        <v>- - - - -</v>
      </c>
      <c r="E207" s="276" t="str">
        <f>'Current Income Tax Expense'!E242</f>
        <v>U</v>
      </c>
      <c r="F207" s="300">
        <f>ROUND(-'Current Income Tax Expense'!F242*0.245866,0)</f>
        <v>244456</v>
      </c>
      <c r="G207" s="300">
        <f t="shared" si="109"/>
        <v>244456</v>
      </c>
      <c r="H207" s="300">
        <f t="shared" si="103"/>
        <v>244456</v>
      </c>
      <c r="I207" s="300">
        <f>-ROUND('Current Income Tax Expense'!I242*0.245866,0)</f>
        <v>0</v>
      </c>
      <c r="J207" s="300">
        <f t="shared" si="104"/>
        <v>244456</v>
      </c>
      <c r="K207" s="276" t="str">
        <f>'Current Income Tax Expense'!K242</f>
        <v>OTHER</v>
      </c>
      <c r="L207" s="315">
        <f>SUMIF('Allocation Factors'!$B$3:$B$89,'Deferred Income Tax Expense'!K207,'Allocation Factors'!$P$3:$P$89)</f>
        <v>0</v>
      </c>
      <c r="M207" s="300">
        <f t="shared" si="105"/>
        <v>0</v>
      </c>
      <c r="N207" s="300">
        <f t="shared" si="108"/>
        <v>0</v>
      </c>
      <c r="O207" s="300">
        <f t="shared" si="110"/>
        <v>0</v>
      </c>
    </row>
    <row r="208" spans="1:15">
      <c r="A208" s="90" t="str">
        <f>'Current Income Tax Expense'!A243</f>
        <v>Misc. Current and Accrued Liability</v>
      </c>
      <c r="B208" s="276">
        <f>'Current Income Tax Expense'!B243</f>
        <v>287354</v>
      </c>
      <c r="C208" s="314">
        <f>'Current Income Tax Expense'!C243</f>
        <v>505.15</v>
      </c>
      <c r="D208" s="276" t="str">
        <f>'Current Income Tax Expense'!D243</f>
        <v>- - - - -</v>
      </c>
      <c r="E208" s="276" t="str">
        <f>'Current Income Tax Expense'!E243</f>
        <v>NR</v>
      </c>
      <c r="F208" s="300">
        <f>ROUND(-'Current Income Tax Expense'!F243*0.245866,0)</f>
        <v>-1718968</v>
      </c>
      <c r="G208" s="300">
        <f t="shared" si="109"/>
        <v>0</v>
      </c>
      <c r="H208" s="300">
        <f t="shared" si="103"/>
        <v>0</v>
      </c>
      <c r="I208" s="300">
        <f>-ROUND('Current Income Tax Expense'!I243*0.245866,0)</f>
        <v>0</v>
      </c>
      <c r="J208" s="300">
        <f t="shared" si="104"/>
        <v>0</v>
      </c>
      <c r="K208" s="276" t="str">
        <f>'Current Income Tax Expense'!K243</f>
        <v>NREG</v>
      </c>
      <c r="L208" s="315">
        <f>SUMIF('Allocation Factors'!$B$3:$B$89,'Deferred Income Tax Expense'!K208,'Allocation Factors'!$P$3:$P$89)</f>
        <v>0</v>
      </c>
      <c r="M208" s="300">
        <f t="shared" si="105"/>
        <v>0</v>
      </c>
      <c r="N208" s="300">
        <f t="shared" si="108"/>
        <v>0</v>
      </c>
      <c r="O208" s="300">
        <f t="shared" si="110"/>
        <v>0</v>
      </c>
    </row>
    <row r="209" spans="1:15">
      <c r="A209" s="90" t="str">
        <f>'Current Income Tax Expense'!A244</f>
        <v>Deferred Revenue</v>
      </c>
      <c r="B209" s="276">
        <f>'Current Income Tax Expense'!B244</f>
        <v>287297</v>
      </c>
      <c r="C209" s="314">
        <f>'Current Income Tax Expense'!C244</f>
        <v>505.15499999999997</v>
      </c>
      <c r="D209" s="276" t="str">
        <f>'Current Income Tax Expense'!D244</f>
        <v>- - - - -</v>
      </c>
      <c r="E209" s="276" t="str">
        <f>'Current Income Tax Expense'!E244</f>
        <v>NR</v>
      </c>
      <c r="F209" s="300">
        <f>ROUND(-'Current Income Tax Expense'!F244*0.245866,0)</f>
        <v>-28798</v>
      </c>
      <c r="G209" s="300">
        <f t="shared" si="109"/>
        <v>0</v>
      </c>
      <c r="H209" s="300">
        <f t="shared" si="103"/>
        <v>0</v>
      </c>
      <c r="I209" s="300">
        <f>-ROUND('Current Income Tax Expense'!I244*0.245866,0)</f>
        <v>0</v>
      </c>
      <c r="J209" s="300">
        <f t="shared" si="104"/>
        <v>0</v>
      </c>
      <c r="K209" s="276" t="str">
        <f>'Current Income Tax Expense'!K244</f>
        <v>NREG</v>
      </c>
      <c r="L209" s="315">
        <f>SUMIF('Allocation Factors'!$B$3:$B$89,'Deferred Income Tax Expense'!K209,'Allocation Factors'!$P$3:$P$89)</f>
        <v>0</v>
      </c>
      <c r="M209" s="300">
        <f t="shared" si="105"/>
        <v>0</v>
      </c>
      <c r="N209" s="300">
        <f t="shared" ref="N209" si="117">ROUND(SUM(I209:I209)*L209,0)</f>
        <v>0</v>
      </c>
      <c r="O209" s="300">
        <f t="shared" ref="O209" si="118">SUM(M209:N209)</f>
        <v>0</v>
      </c>
    </row>
    <row r="210" spans="1:15">
      <c r="A210" s="90" t="str">
        <f>'Current Income Tax Expense'!A245</f>
        <v>Vacation Accrual - PMI</v>
      </c>
      <c r="B210" s="276">
        <f>'Current Income Tax Expense'!B245</f>
        <v>287722</v>
      </c>
      <c r="C210" s="314">
        <f>'Current Income Tax Expense'!C245</f>
        <v>505.51</v>
      </c>
      <c r="D210" s="276" t="str">
        <f>'Current Income Tax Expense'!D245</f>
        <v>- - - - -</v>
      </c>
      <c r="E210" s="276" t="str">
        <f>'Current Income Tax Expense'!E245</f>
        <v>U</v>
      </c>
      <c r="F210" s="300">
        <f>ROUND(-'Current Income Tax Expense'!F245*0.245866,0)</f>
        <v>2718</v>
      </c>
      <c r="G210" s="300">
        <f t="shared" si="109"/>
        <v>2718</v>
      </c>
      <c r="H210" s="300">
        <f t="shared" si="103"/>
        <v>2718</v>
      </c>
      <c r="I210" s="300">
        <f>-ROUND('Current Income Tax Expense'!I245*0.245866,0)</f>
        <v>0</v>
      </c>
      <c r="J210" s="300">
        <f t="shared" si="104"/>
        <v>2718</v>
      </c>
      <c r="K210" s="276" t="str">
        <f>'Current Income Tax Expense'!K245</f>
        <v>JBE</v>
      </c>
      <c r="L210" s="315">
        <f>SUMIF('Allocation Factors'!$B$3:$B$89,'Deferred Income Tax Expense'!K210,'Allocation Factors'!$P$3:$P$89)</f>
        <v>0.22591574269314921</v>
      </c>
      <c r="M210" s="300">
        <f t="shared" si="105"/>
        <v>614</v>
      </c>
      <c r="N210" s="300">
        <f t="shared" si="108"/>
        <v>0</v>
      </c>
      <c r="O210" s="300">
        <f t="shared" si="110"/>
        <v>614</v>
      </c>
    </row>
    <row r="211" spans="1:15">
      <c r="A211" s="90" t="str">
        <f>'Current Income Tax Expense'!A246</f>
        <v>ARO/Reg Diff - Trojan - WA</v>
      </c>
      <c r="B211" s="276">
        <f>'Current Income Tax Expense'!B246</f>
        <v>287225</v>
      </c>
      <c r="C211" s="314">
        <f>'Current Income Tax Expense'!C246</f>
        <v>605.10299999999995</v>
      </c>
      <c r="D211" s="276" t="str">
        <f>'Current Income Tax Expense'!D248</f>
        <v>- - - - -</v>
      </c>
      <c r="E211" s="276" t="str">
        <f>'Current Income Tax Expense'!E246</f>
        <v>NR</v>
      </c>
      <c r="F211" s="300">
        <f>ROUND(-'Current Income Tax Expense'!F246*0.245866,0)</f>
        <v>-626</v>
      </c>
      <c r="G211" s="300">
        <f t="shared" si="109"/>
        <v>0</v>
      </c>
      <c r="H211" s="300">
        <f t="shared" si="103"/>
        <v>0</v>
      </c>
      <c r="I211" s="300">
        <f>-ROUND('Current Income Tax Expense'!I246*0.245866,0)</f>
        <v>0</v>
      </c>
      <c r="J211" s="300">
        <f t="shared" si="104"/>
        <v>0</v>
      </c>
      <c r="K211" s="276" t="str">
        <f>'Current Income Tax Expense'!K246</f>
        <v>NREG</v>
      </c>
      <c r="L211" s="315">
        <f>SUMIF('Allocation Factors'!$B$3:$B$89,'Deferred Income Tax Expense'!K211,'Allocation Factors'!$P$3:$P$89)</f>
        <v>0</v>
      </c>
      <c r="M211" s="300">
        <f t="shared" si="105"/>
        <v>0</v>
      </c>
      <c r="N211" s="300">
        <f t="shared" si="108"/>
        <v>0</v>
      </c>
      <c r="O211" s="300">
        <f t="shared" si="110"/>
        <v>0</v>
      </c>
    </row>
    <row r="212" spans="1:15">
      <c r="A212" s="90" t="str">
        <f>'Current Income Tax Expense'!A247</f>
        <v>PMI Development Cost Amortization</v>
      </c>
      <c r="B212" s="276">
        <f>'Current Income Tax Expense'!B247</f>
        <v>287720</v>
      </c>
      <c r="C212" s="314">
        <f>'Current Income Tax Expense'!C247</f>
        <v>610.1</v>
      </c>
      <c r="D212" s="276" t="str">
        <f>'Current Income Tax Expense'!D247</f>
        <v>- - - - -</v>
      </c>
      <c r="E212" s="276" t="str">
        <f>'Current Income Tax Expense'!E247</f>
        <v>U</v>
      </c>
      <c r="F212" s="300">
        <f>ROUND(-'Current Income Tax Expense'!F247*0.245866,0)</f>
        <v>-93293</v>
      </c>
      <c r="G212" s="300">
        <f t="shared" si="109"/>
        <v>-93293</v>
      </c>
      <c r="H212" s="300">
        <f t="shared" ref="H212:H233" si="119">IF(E212="U",G212,0)</f>
        <v>-93293</v>
      </c>
      <c r="I212" s="300">
        <f>-ROUND('Current Income Tax Expense'!I247*0.245866,0)</f>
        <v>0</v>
      </c>
      <c r="J212" s="300">
        <f t="shared" ref="J212:J246" si="120">SUM(H212:I212)</f>
        <v>-93293</v>
      </c>
      <c r="K212" s="276" t="str">
        <f>'Current Income Tax Expense'!K247</f>
        <v>JBE</v>
      </c>
      <c r="L212" s="315">
        <f>SUMIF('Allocation Factors'!$B$3:$B$89,'Deferred Income Tax Expense'!K212,'Allocation Factors'!$P$3:$P$89)</f>
        <v>0.22591574269314921</v>
      </c>
      <c r="M212" s="300">
        <f t="shared" ref="M212:M233" si="121">ROUND(H212*L212,0)</f>
        <v>-21076</v>
      </c>
      <c r="N212" s="300">
        <f t="shared" si="108"/>
        <v>0</v>
      </c>
      <c r="O212" s="300">
        <f t="shared" si="110"/>
        <v>-21076</v>
      </c>
    </row>
    <row r="213" spans="1:15">
      <c r="A213" s="90" t="str">
        <f>'Current Income Tax Expense'!A248</f>
        <v>Amortization NOPAs 99-00 RAR</v>
      </c>
      <c r="B213" s="276">
        <f>'Current Income Tax Expense'!B248</f>
        <v>287766</v>
      </c>
      <c r="C213" s="314" t="str">
        <f>'Current Income Tax Expense'!C248</f>
        <v>610.100N</v>
      </c>
      <c r="D213" s="276" t="str">
        <f>'Current Income Tax Expense'!D248</f>
        <v>- - - - -</v>
      </c>
      <c r="E213" s="276" t="str">
        <f>'Current Income Tax Expense'!E248</f>
        <v>U</v>
      </c>
      <c r="F213" s="300">
        <f>ROUND(-'Current Income Tax Expense'!F248*0.245866,0)</f>
        <v>9499</v>
      </c>
      <c r="G213" s="300">
        <f t="shared" si="109"/>
        <v>9499</v>
      </c>
      <c r="H213" s="300">
        <f t="shared" si="119"/>
        <v>9499</v>
      </c>
      <c r="I213" s="300">
        <f>-ROUND('Current Income Tax Expense'!I248*0.245866,0)</f>
        <v>0</v>
      </c>
      <c r="J213" s="300">
        <f t="shared" si="120"/>
        <v>9499</v>
      </c>
      <c r="K213" s="276" t="str">
        <f>'Current Income Tax Expense'!K248</f>
        <v>SO</v>
      </c>
      <c r="L213" s="315">
        <f>SUMIF('Allocation Factors'!$B$3:$B$89,'Deferred Income Tax Expense'!K213,'Allocation Factors'!$P$3:$P$89)</f>
        <v>6.7017620954721469E-2</v>
      </c>
      <c r="M213" s="300">
        <f t="shared" si="121"/>
        <v>637</v>
      </c>
      <c r="N213" s="300">
        <f t="shared" si="108"/>
        <v>0</v>
      </c>
      <c r="O213" s="300">
        <f t="shared" si="110"/>
        <v>637</v>
      </c>
    </row>
    <row r="214" spans="1:15">
      <c r="A214" s="90" t="str">
        <f>'Current Income Tax Expense'!A249</f>
        <v>Bridger Coal Company Gain/Loss on Assets Disposed</v>
      </c>
      <c r="B214" s="276">
        <f>'Current Income Tax Expense'!B249</f>
        <v>287726</v>
      </c>
      <c r="C214" s="314">
        <f>'Current Income Tax Expense'!C249</f>
        <v>610.11099999999999</v>
      </c>
      <c r="D214" s="276" t="str">
        <f>'Current Income Tax Expense'!D249</f>
        <v>- - - - -</v>
      </c>
      <c r="E214" s="276" t="str">
        <f>'Current Income Tax Expense'!E249</f>
        <v>U</v>
      </c>
      <c r="F214" s="300">
        <f>ROUND(-'Current Income Tax Expense'!F249*0.245866,0)</f>
        <v>31715</v>
      </c>
      <c r="G214" s="300">
        <f t="shared" si="109"/>
        <v>31715</v>
      </c>
      <c r="H214" s="300">
        <f t="shared" si="119"/>
        <v>31715</v>
      </c>
      <c r="I214" s="300">
        <f>-ROUND('Current Income Tax Expense'!I249*0.245866,0)</f>
        <v>0</v>
      </c>
      <c r="J214" s="300">
        <f t="shared" si="120"/>
        <v>31715</v>
      </c>
      <c r="K214" s="276" t="str">
        <f>'Current Income Tax Expense'!K249</f>
        <v>JBE</v>
      </c>
      <c r="L214" s="315">
        <f>SUMIF('Allocation Factors'!$B$3:$B$89,'Deferred Income Tax Expense'!K214,'Allocation Factors'!$P$3:$P$89)</f>
        <v>0.22591574269314921</v>
      </c>
      <c r="M214" s="300">
        <f t="shared" si="121"/>
        <v>7165</v>
      </c>
      <c r="N214" s="300">
        <f t="shared" si="108"/>
        <v>0</v>
      </c>
      <c r="O214" s="300">
        <f t="shared" si="110"/>
        <v>7165</v>
      </c>
    </row>
    <row r="215" spans="1:15">
      <c r="A215" s="90" t="str">
        <f>'Current Income Tax Expense'!A250</f>
        <v>PMI EITF04-06 Pre-Stripping Cost</v>
      </c>
      <c r="B215" s="276">
        <f>'Current Income Tax Expense'!B250</f>
        <v>287302</v>
      </c>
      <c r="C215" s="314">
        <f>'Current Income Tax Expense'!C250</f>
        <v>610.11400000000003</v>
      </c>
      <c r="D215" s="276" t="str">
        <f>'Current Income Tax Expense'!D251</f>
        <v>- - - - -</v>
      </c>
      <c r="E215" s="276" t="str">
        <f>'Current Income Tax Expense'!E250</f>
        <v>U</v>
      </c>
      <c r="F215" s="300">
        <f>ROUND(-'Current Income Tax Expense'!F250*0.245866,0)</f>
        <v>-810818</v>
      </c>
      <c r="G215" s="300">
        <f t="shared" si="109"/>
        <v>-810818</v>
      </c>
      <c r="H215" s="300">
        <f t="shared" si="119"/>
        <v>-810818</v>
      </c>
      <c r="I215" s="300">
        <f>-ROUND('Current Income Tax Expense'!I250*0.245866,0)</f>
        <v>0</v>
      </c>
      <c r="J215" s="300">
        <f t="shared" si="120"/>
        <v>-810818</v>
      </c>
      <c r="K215" s="276" t="str">
        <f>'Current Income Tax Expense'!K250</f>
        <v>JBE</v>
      </c>
      <c r="L215" s="315">
        <f>SUMIF('Allocation Factors'!$B$3:$B$89,'Deferred Income Tax Expense'!K215,'Allocation Factors'!$P$3:$P$89)</f>
        <v>0.22591574269314921</v>
      </c>
      <c r="M215" s="300">
        <f t="shared" si="121"/>
        <v>-183177</v>
      </c>
      <c r="N215" s="300">
        <f t="shared" si="108"/>
        <v>0</v>
      </c>
      <c r="O215" s="300">
        <f t="shared" si="110"/>
        <v>-183177</v>
      </c>
    </row>
    <row r="216" spans="1:15">
      <c r="A216" s="90" t="str">
        <f>'Current Income Tax Expense'!A251</f>
        <v>Reg Liability - UT Home Energy Lifeline</v>
      </c>
      <c r="B216" s="276">
        <f>'Current Income Tax Expense'!B251</f>
        <v>287445</v>
      </c>
      <c r="C216" s="314">
        <f>'Current Income Tax Expense'!C251</f>
        <v>610.14200000000005</v>
      </c>
      <c r="D216" s="276" t="str">
        <f>'Current Income Tax Expense'!D251</f>
        <v>- - - - -</v>
      </c>
      <c r="E216" s="276" t="str">
        <f>'Current Income Tax Expense'!E251</f>
        <v>U</v>
      </c>
      <c r="F216" s="300">
        <f>ROUND(-'Current Income Tax Expense'!F251*0.245866,0)</f>
        <v>21727</v>
      </c>
      <c r="G216" s="300">
        <f t="shared" si="109"/>
        <v>21727</v>
      </c>
      <c r="H216" s="300">
        <f t="shared" si="119"/>
        <v>21727</v>
      </c>
      <c r="I216" s="300">
        <f>-ROUND('Current Income Tax Expense'!I251*0.245866,0)</f>
        <v>0</v>
      </c>
      <c r="J216" s="300">
        <f t="shared" si="120"/>
        <v>21727</v>
      </c>
      <c r="K216" s="276" t="str">
        <f>'Current Income Tax Expense'!K251</f>
        <v>UT</v>
      </c>
      <c r="L216" s="315">
        <f>SUMIF('Allocation Factors'!$B$3:$B$89,'Deferred Income Tax Expense'!K216,'Allocation Factors'!$P$3:$P$89)</f>
        <v>0</v>
      </c>
      <c r="M216" s="300">
        <f t="shared" si="121"/>
        <v>0</v>
      </c>
      <c r="N216" s="300">
        <f t="shared" si="108"/>
        <v>0</v>
      </c>
      <c r="O216" s="300">
        <f t="shared" si="110"/>
        <v>0</v>
      </c>
    </row>
    <row r="217" spans="1:15">
      <c r="A217" s="90" t="str">
        <f>'Current Income Tax Expense'!A252</f>
        <v>OR Reg Asset/Liability Consolidation Account</v>
      </c>
      <c r="B217" s="276">
        <f>'Current Income Tax Expense'!B252</f>
        <v>287304</v>
      </c>
      <c r="C217" s="314">
        <f>'Current Income Tax Expense'!C252</f>
        <v>610.14599999999996</v>
      </c>
      <c r="D217" s="276" t="str">
        <f>'Current Income Tax Expense'!D252</f>
        <v>- - - - -</v>
      </c>
      <c r="E217" s="276" t="str">
        <f>'Current Income Tax Expense'!E252</f>
        <v>U</v>
      </c>
      <c r="F217" s="300">
        <f>ROUND(-'Current Income Tax Expense'!F252*0.245866,0)</f>
        <v>73</v>
      </c>
      <c r="G217" s="300">
        <f t="shared" si="109"/>
        <v>73</v>
      </c>
      <c r="H217" s="300">
        <f t="shared" si="119"/>
        <v>73</v>
      </c>
      <c r="I217" s="300">
        <f>-ROUND('Current Income Tax Expense'!I252*0.245866,0)</f>
        <v>0</v>
      </c>
      <c r="J217" s="300">
        <f t="shared" si="120"/>
        <v>73</v>
      </c>
      <c r="K217" s="276" t="str">
        <f>'Current Income Tax Expense'!K252</f>
        <v>OR</v>
      </c>
      <c r="L217" s="315">
        <f>SUMIF('Allocation Factors'!$B$3:$B$89,'Deferred Income Tax Expense'!K217,'Allocation Factors'!$P$3:$P$89)</f>
        <v>0</v>
      </c>
      <c r="M217" s="300">
        <f t="shared" si="121"/>
        <v>0</v>
      </c>
      <c r="N217" s="300">
        <f t="shared" si="108"/>
        <v>0</v>
      </c>
      <c r="O217" s="300">
        <f t="shared" si="110"/>
        <v>0</v>
      </c>
    </row>
    <row r="218" spans="1:15">
      <c r="A218" s="90" t="str">
        <f>'Current Income Tax Expense'!A253</f>
        <v>Reg Liability - OR Energy Conservation Charge</v>
      </c>
      <c r="B218" s="276">
        <f>'Current Income Tax Expense'!B253</f>
        <v>287299</v>
      </c>
      <c r="C218" s="314">
        <f>'Current Income Tax Expense'!C253</f>
        <v>705.26499999999999</v>
      </c>
      <c r="D218" s="276" t="str">
        <f>'Current Income Tax Expense'!D253</f>
        <v>- - - - -</v>
      </c>
      <c r="E218" s="276" t="str">
        <f>'Current Income Tax Expense'!E253</f>
        <v>U</v>
      </c>
      <c r="F218" s="300">
        <f>ROUND(-'Current Income Tax Expense'!F253*0.245866,0)</f>
        <v>-32250</v>
      </c>
      <c r="G218" s="300">
        <f t="shared" si="109"/>
        <v>-32250</v>
      </c>
      <c r="H218" s="300">
        <f t="shared" si="119"/>
        <v>-32250</v>
      </c>
      <c r="I218" s="300">
        <f>-ROUND('Current Income Tax Expense'!I253*0.245866,0)</f>
        <v>0</v>
      </c>
      <c r="J218" s="300">
        <f t="shared" si="120"/>
        <v>-32250</v>
      </c>
      <c r="K218" s="276" t="str">
        <f>'Current Income Tax Expense'!K253</f>
        <v>OTHER</v>
      </c>
      <c r="L218" s="315">
        <f>SUMIF('Allocation Factors'!$B$3:$B$89,'Deferred Income Tax Expense'!K218,'Allocation Factors'!$P$3:$P$89)</f>
        <v>0</v>
      </c>
      <c r="M218" s="300">
        <f t="shared" si="121"/>
        <v>0</v>
      </c>
      <c r="N218" s="300">
        <f t="shared" si="108"/>
        <v>0</v>
      </c>
      <c r="O218" s="300">
        <f t="shared" si="110"/>
        <v>0</v>
      </c>
    </row>
    <row r="219" spans="1:15">
      <c r="A219" s="90" t="str">
        <f>'Current Income Tax Expense'!A254</f>
        <v>Reg Liability - Sale of REC - WY - Noncurrent</v>
      </c>
      <c r="B219" s="276">
        <f>'Current Income Tax Expense'!B254</f>
        <v>287272</v>
      </c>
      <c r="C219" s="314">
        <f>'Current Income Tax Expense'!C254</f>
        <v>705.33699999999999</v>
      </c>
      <c r="D219" s="276" t="str">
        <f>'Current Income Tax Expense'!D254</f>
        <v>- - - - -</v>
      </c>
      <c r="E219" s="276" t="str">
        <f>'Current Income Tax Expense'!E254</f>
        <v>U</v>
      </c>
      <c r="F219" s="300">
        <f>ROUND(-'Current Income Tax Expense'!F254*0.245866,0)</f>
        <v>-21210</v>
      </c>
      <c r="G219" s="300">
        <f t="shared" si="109"/>
        <v>-21210</v>
      </c>
      <c r="H219" s="300">
        <f t="shared" si="119"/>
        <v>-21210</v>
      </c>
      <c r="I219" s="300">
        <f>-ROUND('Current Income Tax Expense'!I254*0.245866,0)</f>
        <v>0</v>
      </c>
      <c r="J219" s="300">
        <f t="shared" si="120"/>
        <v>-21210</v>
      </c>
      <c r="K219" s="276" t="str">
        <f>'Current Income Tax Expense'!K254</f>
        <v>OTHER</v>
      </c>
      <c r="L219" s="315">
        <f>SUMIF('Allocation Factors'!$B$3:$B$89,'Deferred Income Tax Expense'!K219,'Allocation Factors'!$P$3:$P$89)</f>
        <v>0</v>
      </c>
      <c r="M219" s="300">
        <f t="shared" si="121"/>
        <v>0</v>
      </c>
      <c r="N219" s="300">
        <f t="shared" ref="N219" si="122">ROUND(SUM(I219:I219)*L219,0)</f>
        <v>0</v>
      </c>
      <c r="O219" s="300">
        <f t="shared" ref="O219" si="123">SUM(M219:N219)</f>
        <v>0</v>
      </c>
    </row>
    <row r="220" spans="1:15">
      <c r="A220" s="90" t="str">
        <f>'Current Income Tax Expense'!A255</f>
        <v>Reg Liability - Property Insurance Reserve - UT</v>
      </c>
      <c r="B220" s="276">
        <f>'Current Income Tax Expense'!B255</f>
        <v>287258</v>
      </c>
      <c r="C220" s="314">
        <f>'Current Income Tax Expense'!C255</f>
        <v>705.45399999999995</v>
      </c>
      <c r="D220" s="276" t="str">
        <f>'Current Income Tax Expense'!D255</f>
        <v>- - - - -</v>
      </c>
      <c r="E220" s="276" t="str">
        <f>'Current Income Tax Expense'!E255</f>
        <v>U</v>
      </c>
      <c r="F220" s="300">
        <f>ROUND(-'Current Income Tax Expense'!F255*0.245866,0)</f>
        <v>-296617</v>
      </c>
      <c r="G220" s="300">
        <f t="shared" si="109"/>
        <v>-296617</v>
      </c>
      <c r="H220" s="300">
        <f t="shared" si="119"/>
        <v>-296617</v>
      </c>
      <c r="I220" s="300">
        <f>-ROUND('Current Income Tax Expense'!I255*0.245866,0)</f>
        <v>0</v>
      </c>
      <c r="J220" s="300">
        <f t="shared" si="120"/>
        <v>-296617</v>
      </c>
      <c r="K220" s="276" t="str">
        <f>'Current Income Tax Expense'!K255</f>
        <v>UT</v>
      </c>
      <c r="L220" s="315">
        <f>SUMIF('Allocation Factors'!$B$3:$B$89,'Deferred Income Tax Expense'!K220,'Allocation Factors'!$P$3:$P$89)</f>
        <v>0</v>
      </c>
      <c r="M220" s="300">
        <f t="shared" si="121"/>
        <v>0</v>
      </c>
      <c r="N220" s="300">
        <f t="shared" si="108"/>
        <v>0</v>
      </c>
      <c r="O220" s="300">
        <f t="shared" si="110"/>
        <v>0</v>
      </c>
    </row>
    <row r="221" spans="1:15">
      <c r="A221" s="90" t="str">
        <f>'Current Income Tax Expense'!A256</f>
        <v>Reg Liability - Noncurrent Reclass - Other</v>
      </c>
      <c r="B221" s="276">
        <f>'Current Income Tax Expense'!B256</f>
        <v>287237</v>
      </c>
      <c r="C221" s="314">
        <f>'Current Income Tax Expense'!C256</f>
        <v>705.755</v>
      </c>
      <c r="D221" s="276" t="str">
        <f>'Current Income Tax Expense'!D256</f>
        <v>- - - - -</v>
      </c>
      <c r="E221" s="276" t="str">
        <f>'Current Income Tax Expense'!E256</f>
        <v>U</v>
      </c>
      <c r="F221" s="300">
        <f>ROUND(-'Current Income Tax Expense'!F256*0.245866,0)</f>
        <v>3682</v>
      </c>
      <c r="G221" s="300">
        <f t="shared" si="109"/>
        <v>3682</v>
      </c>
      <c r="H221" s="300">
        <f t="shared" si="119"/>
        <v>3682</v>
      </c>
      <c r="I221" s="300">
        <f>-ROUND('Current Income Tax Expense'!I256*0.245866,0)</f>
        <v>0</v>
      </c>
      <c r="J221" s="300">
        <f t="shared" si="120"/>
        <v>3682</v>
      </c>
      <c r="K221" s="276" t="str">
        <f>'Current Income Tax Expense'!K256</f>
        <v>OTHER</v>
      </c>
      <c r="L221" s="315">
        <f>SUMIF('Allocation Factors'!$B$3:$B$89,'Deferred Income Tax Expense'!K221,'Allocation Factors'!$P$3:$P$89)</f>
        <v>0</v>
      </c>
      <c r="M221" s="300">
        <f t="shared" si="121"/>
        <v>0</v>
      </c>
      <c r="N221" s="300">
        <f t="shared" ref="N221:N233" si="124">ROUND(SUM(I221:I221)*L221,0)</f>
        <v>0</v>
      </c>
      <c r="O221" s="300">
        <f t="shared" si="110"/>
        <v>0</v>
      </c>
    </row>
    <row r="222" spans="1:15">
      <c r="A222" s="90" t="str">
        <f>'Current Income Tax Expense'!A257</f>
        <v>Reg Asset - BPA Balancing Account - WA</v>
      </c>
      <c r="B222" s="276">
        <f>'Current Income Tax Expense'!B257</f>
        <v>287914</v>
      </c>
      <c r="C222" s="314">
        <f>'Current Income Tax Expense'!C257</f>
        <v>715.721</v>
      </c>
      <c r="D222" s="276" t="str">
        <f>'Current Income Tax Expense'!D257</f>
        <v>- - - - -</v>
      </c>
      <c r="E222" s="276" t="str">
        <f>'Current Income Tax Expense'!E257</f>
        <v>NR</v>
      </c>
      <c r="F222" s="300">
        <f>ROUND(-'Current Income Tax Expense'!F257*0.245866,0)</f>
        <v>46852</v>
      </c>
      <c r="G222" s="300">
        <f t="shared" si="109"/>
        <v>0</v>
      </c>
      <c r="H222" s="300">
        <f t="shared" si="119"/>
        <v>0</v>
      </c>
      <c r="I222" s="300">
        <f>-ROUND('Current Income Tax Expense'!I257*0.245866,0)</f>
        <v>0</v>
      </c>
      <c r="J222" s="300">
        <f t="shared" si="120"/>
        <v>0</v>
      </c>
      <c r="K222" s="276" t="str">
        <f>'Current Income Tax Expense'!K257</f>
        <v>NREG</v>
      </c>
      <c r="L222" s="315">
        <f>SUMIF('Allocation Factors'!$B$3:$B$89,'Deferred Income Tax Expense'!K222,'Allocation Factors'!$P$3:$P$89)</f>
        <v>0</v>
      </c>
      <c r="M222" s="300">
        <f t="shared" si="121"/>
        <v>0</v>
      </c>
      <c r="N222" s="300">
        <f t="shared" ref="N222" si="125">ROUND(SUM(I222:I222)*L222,0)</f>
        <v>0</v>
      </c>
      <c r="O222" s="300">
        <f t="shared" ref="O222" si="126">SUM(M222:N222)</f>
        <v>0</v>
      </c>
    </row>
    <row r="223" spans="1:15">
      <c r="A223" s="90" t="str">
        <f>'Current Income Tax Expense'!A258</f>
        <v>Deferred Compensation Plan Benefits - PPL</v>
      </c>
      <c r="B223" s="276">
        <f>'Current Income Tax Expense'!B258</f>
        <v>287324</v>
      </c>
      <c r="C223" s="314">
        <f>'Current Income Tax Expense'!C258</f>
        <v>720.2</v>
      </c>
      <c r="D223" s="276" t="str">
        <f>'Current Income Tax Expense'!D258</f>
        <v>- - - - -</v>
      </c>
      <c r="E223" s="276" t="str">
        <f>'Current Income Tax Expense'!E258</f>
        <v>U</v>
      </c>
      <c r="F223" s="300">
        <f>ROUND(-'Current Income Tax Expense'!F258*0.245866,0)</f>
        <v>-17161</v>
      </c>
      <c r="G223" s="300">
        <f t="shared" si="109"/>
        <v>-17161</v>
      </c>
      <c r="H223" s="300">
        <f t="shared" si="119"/>
        <v>-17161</v>
      </c>
      <c r="I223" s="300">
        <f>-ROUND('Current Income Tax Expense'!I258*0.245866,0)</f>
        <v>0</v>
      </c>
      <c r="J223" s="300">
        <f t="shared" si="120"/>
        <v>-17161</v>
      </c>
      <c r="K223" s="276" t="str">
        <f>'Current Income Tax Expense'!K258</f>
        <v>SO</v>
      </c>
      <c r="L223" s="315">
        <f>SUMIF('Allocation Factors'!$B$3:$B$89,'Deferred Income Tax Expense'!K223,'Allocation Factors'!$P$3:$P$89)</f>
        <v>6.7017620954721469E-2</v>
      </c>
      <c r="M223" s="300">
        <f t="shared" si="121"/>
        <v>-1150</v>
      </c>
      <c r="N223" s="300">
        <f t="shared" si="124"/>
        <v>0</v>
      </c>
      <c r="O223" s="300">
        <f t="shared" si="110"/>
        <v>-1150</v>
      </c>
    </row>
    <row r="224" spans="1:15">
      <c r="A224" s="90" t="str">
        <f>'Current Income Tax Expense'!A259</f>
        <v>Accrued Severance</v>
      </c>
      <c r="B224" s="276">
        <f>'Current Income Tax Expense'!B259</f>
        <v>287326</v>
      </c>
      <c r="C224" s="314">
        <f>'Current Income Tax Expense'!C259</f>
        <v>720.5</v>
      </c>
      <c r="D224" s="276" t="str">
        <f>'Current Income Tax Expense'!D259</f>
        <v>- - - - -</v>
      </c>
      <c r="E224" s="276" t="str">
        <f>'Current Income Tax Expense'!E259</f>
        <v>U</v>
      </c>
      <c r="F224" s="300">
        <f>ROUND(-'Current Income Tax Expense'!F259*0.245866,0)</f>
        <v>63285</v>
      </c>
      <c r="G224" s="300">
        <f t="shared" si="109"/>
        <v>63285</v>
      </c>
      <c r="H224" s="300">
        <f t="shared" si="119"/>
        <v>63285</v>
      </c>
      <c r="I224" s="300">
        <f>-ROUND('Current Income Tax Expense'!I259*0.245866,0)</f>
        <v>0</v>
      </c>
      <c r="J224" s="300">
        <f t="shared" si="120"/>
        <v>63285</v>
      </c>
      <c r="K224" s="276" t="str">
        <f>'Current Income Tax Expense'!K259</f>
        <v>SO</v>
      </c>
      <c r="L224" s="315">
        <f>SUMIF('Allocation Factors'!$B$3:$B$89,'Deferred Income Tax Expense'!K224,'Allocation Factors'!$P$3:$P$89)</f>
        <v>6.7017620954721469E-2</v>
      </c>
      <c r="M224" s="300">
        <f t="shared" si="121"/>
        <v>4241</v>
      </c>
      <c r="N224" s="300">
        <f t="shared" si="124"/>
        <v>0</v>
      </c>
      <c r="O224" s="300">
        <f t="shared" si="110"/>
        <v>4241</v>
      </c>
    </row>
    <row r="225" spans="1:15">
      <c r="A225" s="90" t="str">
        <f>'Current Income Tax Expense'!A260</f>
        <v>FAS 158 Pension Liability</v>
      </c>
      <c r="B225" s="276">
        <f>'Current Income Tax Expense'!B260</f>
        <v>287460</v>
      </c>
      <c r="C225" s="314">
        <f>'Current Income Tax Expense'!C260</f>
        <v>720.8</v>
      </c>
      <c r="D225" s="276" t="str">
        <f>'Current Income Tax Expense'!D260</f>
        <v>- - - - -</v>
      </c>
      <c r="E225" s="276" t="str">
        <f>'Current Income Tax Expense'!E260</f>
        <v>NR</v>
      </c>
      <c r="F225" s="300">
        <f>ROUND(-'Current Income Tax Expense'!F260*0.245866,0)</f>
        <v>6872395</v>
      </c>
      <c r="G225" s="300">
        <f t="shared" si="109"/>
        <v>0</v>
      </c>
      <c r="H225" s="300">
        <f t="shared" si="119"/>
        <v>0</v>
      </c>
      <c r="I225" s="300">
        <f>-ROUND('Current Income Tax Expense'!I260*0.245866,0)</f>
        <v>0</v>
      </c>
      <c r="J225" s="300">
        <f t="shared" si="120"/>
        <v>0</v>
      </c>
      <c r="K225" s="276" t="str">
        <f>'Current Income Tax Expense'!K260</f>
        <v>NREG</v>
      </c>
      <c r="L225" s="315">
        <f>SUMIF('Allocation Factors'!$B$3:$B$89,'Deferred Income Tax Expense'!K225,'Allocation Factors'!$P$3:$P$89)</f>
        <v>0</v>
      </c>
      <c r="M225" s="300">
        <f t="shared" si="121"/>
        <v>0</v>
      </c>
      <c r="N225" s="300">
        <f t="shared" si="124"/>
        <v>0</v>
      </c>
      <c r="O225" s="300">
        <f t="shared" si="110"/>
        <v>0</v>
      </c>
    </row>
    <row r="226" spans="1:15">
      <c r="A226" s="90" t="str">
        <f>'Current Income Tax Expense'!A261</f>
        <v>FAS 158 Post-Retirement Liability</v>
      </c>
      <c r="B226" s="276">
        <f>'Current Income Tax Expense'!B261</f>
        <v>287461</v>
      </c>
      <c r="C226" s="314">
        <f>'Current Income Tax Expense'!C261</f>
        <v>720.81</v>
      </c>
      <c r="D226" s="276" t="str">
        <f>'Current Income Tax Expense'!D261</f>
        <v>- - - - -</v>
      </c>
      <c r="E226" s="276" t="str">
        <f>'Current Income Tax Expense'!E261</f>
        <v>NR</v>
      </c>
      <c r="F226" s="300">
        <f>ROUND(-'Current Income Tax Expense'!F261*0.245866,0)</f>
        <v>2365426</v>
      </c>
      <c r="G226" s="300">
        <f t="shared" si="109"/>
        <v>0</v>
      </c>
      <c r="H226" s="300">
        <f t="shared" si="119"/>
        <v>0</v>
      </c>
      <c r="I226" s="300">
        <f>-ROUND('Current Income Tax Expense'!I261*0.245866,0)</f>
        <v>0</v>
      </c>
      <c r="J226" s="300">
        <f t="shared" si="120"/>
        <v>0</v>
      </c>
      <c r="K226" s="276" t="str">
        <f>'Current Income Tax Expense'!K261</f>
        <v>NREG</v>
      </c>
      <c r="L226" s="315">
        <f>SUMIF('Allocation Factors'!$B$3:$B$89,'Deferred Income Tax Expense'!K226,'Allocation Factors'!$P$3:$P$89)</f>
        <v>0</v>
      </c>
      <c r="M226" s="300">
        <f t="shared" si="121"/>
        <v>0</v>
      </c>
      <c r="N226" s="300">
        <f t="shared" si="124"/>
        <v>0</v>
      </c>
      <c r="O226" s="300">
        <f t="shared" si="110"/>
        <v>0</v>
      </c>
    </row>
    <row r="227" spans="1:15">
      <c r="A227" s="90" t="str">
        <f>'Current Income Tax Expense'!A262</f>
        <v>FAS 158 Post-Retirement Asset</v>
      </c>
      <c r="B227" s="276">
        <f>+'Current Income Tax Expense'!B262</f>
        <v>286909</v>
      </c>
      <c r="C227" s="276">
        <f>+'Current Income Tax Expense'!C262</f>
        <v>720.81500000000005</v>
      </c>
      <c r="D227" s="276" t="str">
        <f>+'Current Income Tax Expense'!D262</f>
        <v>- - - - -</v>
      </c>
      <c r="E227" s="276" t="str">
        <f>+'Current Income Tax Expense'!E262</f>
        <v>NR</v>
      </c>
      <c r="F227" s="300">
        <f>ROUND(-'Current Income Tax Expense'!F262*0.245866,0)</f>
        <v>-414464</v>
      </c>
      <c r="G227" s="300">
        <f t="shared" si="109"/>
        <v>0</v>
      </c>
      <c r="H227" s="300">
        <f t="shared" si="119"/>
        <v>0</v>
      </c>
      <c r="I227" s="300">
        <f>-ROUND('Current Income Tax Expense'!I262*0.245866,0)</f>
        <v>0</v>
      </c>
      <c r="J227" s="300">
        <f t="shared" si="120"/>
        <v>0</v>
      </c>
      <c r="K227" s="276" t="str">
        <f>'Current Income Tax Expense'!K262</f>
        <v>NREG</v>
      </c>
      <c r="L227" s="315">
        <f>SUMIF('Allocation Factors'!$B$3:$B$89,'Deferred Income Tax Expense'!K227,'Allocation Factors'!$P$3:$P$89)</f>
        <v>0</v>
      </c>
      <c r="M227" s="300">
        <f t="shared" si="121"/>
        <v>0</v>
      </c>
      <c r="N227" s="300">
        <f t="shared" si="124"/>
        <v>0</v>
      </c>
      <c r="O227" s="300">
        <f t="shared" ref="O227" si="127">SUM(M227:N227)</f>
        <v>0</v>
      </c>
    </row>
    <row r="228" spans="1:15">
      <c r="A228" s="90" t="str">
        <f>'Current Income Tax Expense'!A263</f>
        <v>FAS 158 SERP Liability</v>
      </c>
      <c r="B228" s="276">
        <f>'Current Income Tax Expense'!B263</f>
        <v>287462</v>
      </c>
      <c r="C228" s="314">
        <f>'Current Income Tax Expense'!C263</f>
        <v>720.82</v>
      </c>
      <c r="D228" s="276" t="str">
        <f>'Current Income Tax Expense'!D263</f>
        <v>- - - - -</v>
      </c>
      <c r="E228" s="276" t="str">
        <f>'Current Income Tax Expense'!E263</f>
        <v>NR</v>
      </c>
      <c r="F228" s="300">
        <f>ROUND(-'Current Income Tax Expense'!F263*0.245866,0)</f>
        <v>360489</v>
      </c>
      <c r="G228" s="300">
        <f t="shared" si="109"/>
        <v>0</v>
      </c>
      <c r="H228" s="300">
        <f t="shared" si="119"/>
        <v>0</v>
      </c>
      <c r="I228" s="300">
        <f>-ROUND('Current Income Tax Expense'!I263*0.245866,0)</f>
        <v>0</v>
      </c>
      <c r="J228" s="300">
        <f t="shared" si="120"/>
        <v>0</v>
      </c>
      <c r="K228" s="276" t="str">
        <f>'Current Income Tax Expense'!K263</f>
        <v>NREG</v>
      </c>
      <c r="L228" s="315">
        <f>SUMIF('Allocation Factors'!$B$3:$B$89,'Deferred Income Tax Expense'!K228,'Allocation Factors'!$P$3:$P$89)</f>
        <v>0</v>
      </c>
      <c r="M228" s="300">
        <f t="shared" si="121"/>
        <v>0</v>
      </c>
      <c r="N228" s="300">
        <f t="shared" si="124"/>
        <v>0</v>
      </c>
      <c r="O228" s="300">
        <f t="shared" si="110"/>
        <v>0</v>
      </c>
    </row>
    <row r="229" spans="1:15">
      <c r="A229" s="90" t="str">
        <f>'Current Income Tax Expense'!A264</f>
        <v>Reg Asset - FAS133 Unrealized Gain/Loss</v>
      </c>
      <c r="B229" s="276">
        <f>'Current Income Tax Expense'!B264</f>
        <v>287649</v>
      </c>
      <c r="C229" s="314">
        <f>'Current Income Tax Expense'!C264</f>
        <v>730.17</v>
      </c>
      <c r="D229" s="276" t="str">
        <f>'Current Income Tax Expense'!D264</f>
        <v>- - - - -</v>
      </c>
      <c r="E229" s="276" t="str">
        <f>'Current Income Tax Expense'!E264</f>
        <v>NR</v>
      </c>
      <c r="F229" s="300">
        <f>ROUND(-'Current Income Tax Expense'!F264*0.245866,0)</f>
        <v>-3743862</v>
      </c>
      <c r="G229" s="300">
        <f t="shared" si="109"/>
        <v>0</v>
      </c>
      <c r="H229" s="300">
        <f t="shared" si="119"/>
        <v>0</v>
      </c>
      <c r="I229" s="300">
        <f>-ROUND('Current Income Tax Expense'!I264*0.245866,0)</f>
        <v>0</v>
      </c>
      <c r="J229" s="300">
        <f t="shared" si="120"/>
        <v>0</v>
      </c>
      <c r="K229" s="276" t="str">
        <f>'Current Income Tax Expense'!K264</f>
        <v>NREG</v>
      </c>
      <c r="L229" s="315">
        <f>SUMIF('Allocation Factors'!$B$3:$B$89,'Deferred Income Tax Expense'!K229,'Allocation Factors'!$P$3:$P$89)</f>
        <v>0</v>
      </c>
      <c r="M229" s="300">
        <f t="shared" si="121"/>
        <v>0</v>
      </c>
      <c r="N229" s="300">
        <f t="shared" si="124"/>
        <v>0</v>
      </c>
      <c r="O229" s="300">
        <f t="shared" si="110"/>
        <v>0</v>
      </c>
    </row>
    <row r="230" spans="1:15">
      <c r="A230" s="90" t="str">
        <f>'Current Income Tax Expense'!A265</f>
        <v>Injuries and Damages Reserve</v>
      </c>
      <c r="B230" s="276">
        <f>'Current Income Tax Expense'!B265</f>
        <v>287341</v>
      </c>
      <c r="C230" s="314">
        <f>'Current Income Tax Expense'!C265</f>
        <v>910.53</v>
      </c>
      <c r="D230" s="276" t="str">
        <f>'Current Income Tax Expense'!D265</f>
        <v>- - - - -</v>
      </c>
      <c r="E230" s="276" t="str">
        <f>'Current Income Tax Expense'!E265</f>
        <v>U</v>
      </c>
      <c r="F230" s="300">
        <f>ROUND(-'Current Income Tax Expense'!F265*0.245866,0)</f>
        <v>-2536315</v>
      </c>
      <c r="G230" s="300">
        <f t="shared" si="109"/>
        <v>-2536315</v>
      </c>
      <c r="H230" s="300">
        <f t="shared" si="119"/>
        <v>-2536315</v>
      </c>
      <c r="I230" s="300">
        <f>-ROUND('Current Income Tax Expense'!I265*0.245866,0)</f>
        <v>0</v>
      </c>
      <c r="J230" s="300">
        <f t="shared" si="120"/>
        <v>-2536315</v>
      </c>
      <c r="K230" s="276" t="str">
        <f>'Current Income Tax Expense'!K265</f>
        <v>SO</v>
      </c>
      <c r="L230" s="315">
        <f>SUMIF('Allocation Factors'!$B$3:$B$89,'Deferred Income Tax Expense'!K230,'Allocation Factors'!$P$3:$P$89)</f>
        <v>6.7017620954721469E-2</v>
      </c>
      <c r="M230" s="300">
        <f t="shared" si="121"/>
        <v>-169978</v>
      </c>
      <c r="N230" s="300">
        <f t="shared" si="124"/>
        <v>0</v>
      </c>
      <c r="O230" s="300">
        <f t="shared" si="110"/>
        <v>-169978</v>
      </c>
    </row>
    <row r="231" spans="1:15">
      <c r="A231" s="90" t="str">
        <f>'Current Income Tax Expense'!A266</f>
        <v xml:space="preserve">Wasatch Workers Comp Reserve </v>
      </c>
      <c r="B231" s="276">
        <f>'Current Income Tax Expense'!B266</f>
        <v>287373</v>
      </c>
      <c r="C231" s="314">
        <f>'Current Income Tax Expense'!C266</f>
        <v>910.58</v>
      </c>
      <c r="D231" s="276" t="str">
        <f>'Current Income Tax Expense'!D266</f>
        <v>- - - - -</v>
      </c>
      <c r="E231" s="276" t="str">
        <f>'Current Income Tax Expense'!E266</f>
        <v>NR</v>
      </c>
      <c r="F231" s="300">
        <f>ROUND(-'Current Income Tax Expense'!F266*0.245866,0)</f>
        <v>15943</v>
      </c>
      <c r="G231" s="300">
        <f t="shared" si="109"/>
        <v>0</v>
      </c>
      <c r="H231" s="300">
        <f t="shared" si="119"/>
        <v>0</v>
      </c>
      <c r="I231" s="300">
        <f>-ROUND('Current Income Tax Expense'!I266*0.245866,0)</f>
        <v>0</v>
      </c>
      <c r="J231" s="300">
        <f t="shared" si="120"/>
        <v>0</v>
      </c>
      <c r="K231" s="276" t="str">
        <f>'Current Income Tax Expense'!K266</f>
        <v>NREG</v>
      </c>
      <c r="L231" s="315">
        <f>SUMIF('Allocation Factors'!$B$3:$B$89,'Deferred Income Tax Expense'!K231,'Allocation Factors'!$P$3:$P$89)</f>
        <v>0</v>
      </c>
      <c r="M231" s="300">
        <f t="shared" si="121"/>
        <v>0</v>
      </c>
      <c r="N231" s="300">
        <f t="shared" si="124"/>
        <v>0</v>
      </c>
      <c r="O231" s="300">
        <f t="shared" si="110"/>
        <v>0</v>
      </c>
    </row>
    <row r="232" spans="1:15">
      <c r="A232" s="90" t="str">
        <f>'Current Income Tax Expense'!A267</f>
        <v>Realized Gain/Loss from Trading Securities</v>
      </c>
      <c r="B232" s="276">
        <f>'Current Income Tax Expense'!B267</f>
        <v>287915</v>
      </c>
      <c r="C232" s="314">
        <f>'Current Income Tax Expense'!C267</f>
        <v>910.93600000000004</v>
      </c>
      <c r="D232" s="276" t="str">
        <f>'Current Income Tax Expense'!D267</f>
        <v>- - - - -</v>
      </c>
      <c r="E232" s="276" t="str">
        <f>'Current Income Tax Expense'!E267</f>
        <v>NR</v>
      </c>
      <c r="F232" s="300">
        <f>ROUND(-'Current Income Tax Expense'!F267*0.245866,0)</f>
        <v>258</v>
      </c>
      <c r="G232" s="300">
        <f t="shared" si="109"/>
        <v>0</v>
      </c>
      <c r="H232" s="300">
        <f t="shared" si="119"/>
        <v>0</v>
      </c>
      <c r="I232" s="300">
        <f>-ROUND('Current Income Tax Expense'!I267*0.245866,0)</f>
        <v>0</v>
      </c>
      <c r="J232" s="300">
        <f t="shared" si="120"/>
        <v>0</v>
      </c>
      <c r="K232" s="276" t="str">
        <f>'Current Income Tax Expense'!K267</f>
        <v>NREG</v>
      </c>
      <c r="L232" s="315">
        <f>SUMIF('Allocation Factors'!$B$3:$B$89,'Deferred Income Tax Expense'!K232,'Allocation Factors'!$P$3:$P$89)</f>
        <v>0</v>
      </c>
      <c r="M232" s="300">
        <f t="shared" si="121"/>
        <v>0</v>
      </c>
      <c r="N232" s="300">
        <f t="shared" si="124"/>
        <v>0</v>
      </c>
      <c r="O232" s="300">
        <f t="shared" si="110"/>
        <v>0</v>
      </c>
    </row>
    <row r="233" spans="1:15">
      <c r="A233" s="90" t="str">
        <f>'Current Income Tax Expense'!A268</f>
        <v>Bridger Coal Company Mine Reclamation Costs</v>
      </c>
      <c r="B233" s="276">
        <f>'Current Income Tax Expense'!B268</f>
        <v>287266</v>
      </c>
      <c r="C233" s="314">
        <f>'Current Income Tax Expense'!C268</f>
        <v>920.11500000000001</v>
      </c>
      <c r="D233" s="276" t="str">
        <f>'Current Income Tax Expense'!D268</f>
        <v>- - - - -</v>
      </c>
      <c r="E233" s="276" t="str">
        <f>'Current Income Tax Expense'!E268</f>
        <v>NR</v>
      </c>
      <c r="F233" s="300">
        <f>ROUND(-'Current Income Tax Expense'!F268*0.245866,0)</f>
        <v>-2405032</v>
      </c>
      <c r="G233" s="300">
        <f t="shared" si="109"/>
        <v>0</v>
      </c>
      <c r="H233" s="300">
        <f t="shared" si="119"/>
        <v>0</v>
      </c>
      <c r="I233" s="300">
        <f>-ROUND('Current Income Tax Expense'!I268*0.245866,0)</f>
        <v>0</v>
      </c>
      <c r="J233" s="300">
        <f t="shared" si="120"/>
        <v>0</v>
      </c>
      <c r="K233" s="276" t="str">
        <f>'Current Income Tax Expense'!K268</f>
        <v>NREG</v>
      </c>
      <c r="L233" s="315">
        <f>SUMIF('Allocation Factors'!$B$3:$B$89,'Deferred Income Tax Expense'!K233,'Allocation Factors'!$P$3:$P$89)</f>
        <v>0</v>
      </c>
      <c r="M233" s="300">
        <f t="shared" si="121"/>
        <v>0</v>
      </c>
      <c r="N233" s="300">
        <f t="shared" si="124"/>
        <v>0</v>
      </c>
      <c r="O233" s="300">
        <f t="shared" si="110"/>
        <v>0</v>
      </c>
    </row>
    <row r="234" spans="1:15">
      <c r="A234" s="90" t="str">
        <f>+'Current Income Tax Expense'!A136</f>
        <v>PP&amp;E Adjustment - CA</v>
      </c>
      <c r="B234" s="276" t="str">
        <f>+'Current Income Tax Expense'!B136</f>
        <v>- - - - -</v>
      </c>
      <c r="C234" s="314" t="str">
        <f>+'Current Income Tax Expense'!C136</f>
        <v>- - - - -</v>
      </c>
      <c r="D234" s="276" t="s">
        <v>721</v>
      </c>
      <c r="E234" s="276" t="str">
        <f>+'Current Income Tax Expense'!E136</f>
        <v>U</v>
      </c>
      <c r="F234" s="300">
        <f>+'Current Income Tax Expense'!F136</f>
        <v>0</v>
      </c>
      <c r="G234" s="300">
        <f>+'Current Income Tax Expense'!G136</f>
        <v>0</v>
      </c>
      <c r="H234" s="300">
        <f>+'Current Income Tax Expense'!H136</f>
        <v>0</v>
      </c>
      <c r="I234" s="300">
        <f>+'41010'!M5</f>
        <v>173351</v>
      </c>
      <c r="J234" s="300">
        <f t="shared" si="120"/>
        <v>173351</v>
      </c>
      <c r="K234" s="276" t="str">
        <f>+'Current Income Tax Expense'!K136</f>
        <v>CA</v>
      </c>
      <c r="L234" s="315">
        <f>SUMIF('Allocation Factors'!$B$3:$B$89,'Deferred Income Tax Expense'!K234,'Allocation Factors'!$P$3:$P$89)</f>
        <v>0</v>
      </c>
      <c r="M234" s="300">
        <f t="shared" ref="M234" si="128">ROUND(H234*L234,0)</f>
        <v>0</v>
      </c>
      <c r="N234" s="300">
        <f t="shared" ref="N234" si="129">ROUND(SUM(I234:I234)*L234,0)</f>
        <v>0</v>
      </c>
      <c r="O234" s="300">
        <f t="shared" ref="O234" si="130">SUM(M234:N234)</f>
        <v>0</v>
      </c>
    </row>
    <row r="235" spans="1:15">
      <c r="A235" s="90" t="str">
        <f>+'Current Income Tax Expense'!A137</f>
        <v>PP&amp;E Adjustment - CAEE</v>
      </c>
      <c r="B235" s="276" t="str">
        <f>+'Current Income Tax Expense'!B137</f>
        <v>- - - - -</v>
      </c>
      <c r="C235" s="314" t="str">
        <f>+'Current Income Tax Expense'!C137</f>
        <v>- - - - -</v>
      </c>
      <c r="D235" s="276" t="s">
        <v>721</v>
      </c>
      <c r="E235" s="276" t="str">
        <f>+'Current Income Tax Expense'!E137</f>
        <v>U</v>
      </c>
      <c r="F235" s="300">
        <f>+'Current Income Tax Expense'!F137</f>
        <v>0</v>
      </c>
      <c r="G235" s="300">
        <f>+'Current Income Tax Expense'!G137</f>
        <v>0</v>
      </c>
      <c r="H235" s="300">
        <f>+'Current Income Tax Expense'!H137</f>
        <v>0</v>
      </c>
      <c r="I235" s="300">
        <f>+'41010'!M6</f>
        <v>-5125</v>
      </c>
      <c r="J235" s="300">
        <f t="shared" si="120"/>
        <v>-5125</v>
      </c>
      <c r="K235" s="276" t="str">
        <f>+'Current Income Tax Expense'!K137</f>
        <v>CAEE</v>
      </c>
      <c r="L235" s="315">
        <f>SUMIF('Allocation Factors'!$B$3:$B$89,'Deferred Income Tax Expense'!K235,'Allocation Factors'!$P$3:$P$89)</f>
        <v>0</v>
      </c>
      <c r="M235" s="300">
        <f t="shared" ref="M235:M246" si="131">ROUND(H235*L235,0)</f>
        <v>0</v>
      </c>
      <c r="N235" s="300">
        <f t="shared" ref="N235:N246" si="132">ROUND(SUM(I235:I235)*L235,0)</f>
        <v>0</v>
      </c>
      <c r="O235" s="300">
        <f t="shared" ref="O235:O246" si="133">SUM(M235:N235)</f>
        <v>0</v>
      </c>
    </row>
    <row r="236" spans="1:15">
      <c r="A236" s="90" t="str">
        <f>+'Current Income Tax Expense'!A138</f>
        <v>PP&amp;E Adjustment - CAGE</v>
      </c>
      <c r="B236" s="276" t="str">
        <f>+'Current Income Tax Expense'!B138</f>
        <v>- - - - -</v>
      </c>
      <c r="C236" s="314" t="str">
        <f>+'Current Income Tax Expense'!C138</f>
        <v>- - - - -</v>
      </c>
      <c r="D236" s="276" t="s">
        <v>721</v>
      </c>
      <c r="E236" s="276" t="str">
        <f>+'Current Income Tax Expense'!E138</f>
        <v>U</v>
      </c>
      <c r="F236" s="300">
        <f>+'Current Income Tax Expense'!F138</f>
        <v>0</v>
      </c>
      <c r="G236" s="300">
        <f>+'Current Income Tax Expense'!G138</f>
        <v>0</v>
      </c>
      <c r="H236" s="300">
        <f>+'Current Income Tax Expense'!H138</f>
        <v>0</v>
      </c>
      <c r="I236" s="300">
        <f>+'41010'!M7</f>
        <v>-33267159</v>
      </c>
      <c r="J236" s="300">
        <f t="shared" si="120"/>
        <v>-33267159</v>
      </c>
      <c r="K236" s="276" t="str">
        <f>+'Current Income Tax Expense'!K138</f>
        <v>CAGE</v>
      </c>
      <c r="L236" s="315">
        <f>SUMIF('Allocation Factors'!$B$3:$B$89,'Deferred Income Tax Expense'!K236,'Allocation Factors'!$P$3:$P$89)</f>
        <v>0</v>
      </c>
      <c r="M236" s="300">
        <f t="shared" si="131"/>
        <v>0</v>
      </c>
      <c r="N236" s="300">
        <f t="shared" si="132"/>
        <v>0</v>
      </c>
      <c r="O236" s="300">
        <f t="shared" si="133"/>
        <v>0</v>
      </c>
    </row>
    <row r="237" spans="1:15">
      <c r="A237" s="90" t="str">
        <f>+'Current Income Tax Expense'!A139</f>
        <v>PP&amp;E Adjustment - CAGW</v>
      </c>
      <c r="B237" s="276" t="str">
        <f>+'Current Income Tax Expense'!B139</f>
        <v>- - - - -</v>
      </c>
      <c r="C237" s="314" t="str">
        <f>+'Current Income Tax Expense'!C139</f>
        <v>- - - - -</v>
      </c>
      <c r="D237" s="276" t="s">
        <v>721</v>
      </c>
      <c r="E237" s="276" t="str">
        <f>+'Current Income Tax Expense'!E139</f>
        <v>U</v>
      </c>
      <c r="F237" s="300">
        <f>+'Current Income Tax Expense'!F139</f>
        <v>0</v>
      </c>
      <c r="G237" s="300">
        <f>+'Current Income Tax Expense'!G139</f>
        <v>0</v>
      </c>
      <c r="H237" s="300">
        <f>+'Current Income Tax Expense'!H139</f>
        <v>0</v>
      </c>
      <c r="I237" s="300">
        <f>+'41010'!M8</f>
        <v>2589685</v>
      </c>
      <c r="J237" s="300">
        <f t="shared" si="120"/>
        <v>2589685</v>
      </c>
      <c r="K237" s="276" t="str">
        <f>+'Current Income Tax Expense'!K139</f>
        <v>CAGW</v>
      </c>
      <c r="L237" s="315">
        <f>SUMIF('Allocation Factors'!$B$3:$B$89,'Deferred Income Tax Expense'!K237,'Allocation Factors'!$P$3:$P$89)</f>
        <v>0.21577192756641544</v>
      </c>
      <c r="M237" s="300">
        <f t="shared" si="131"/>
        <v>0</v>
      </c>
      <c r="N237" s="300">
        <f t="shared" si="132"/>
        <v>558781</v>
      </c>
      <c r="O237" s="300">
        <f t="shared" si="133"/>
        <v>558781</v>
      </c>
    </row>
    <row r="238" spans="1:15">
      <c r="A238" s="90" t="str">
        <f>+'Current Income Tax Expense'!A140</f>
        <v>PP&amp;E Adjustment - CN</v>
      </c>
      <c r="B238" s="276" t="str">
        <f>+'Current Income Tax Expense'!B140</f>
        <v>- - - - -</v>
      </c>
      <c r="C238" s="314" t="str">
        <f>+'Current Income Tax Expense'!C140</f>
        <v>- - - - -</v>
      </c>
      <c r="D238" s="276" t="s">
        <v>721</v>
      </c>
      <c r="E238" s="276" t="str">
        <f>+'Current Income Tax Expense'!E140</f>
        <v>U</v>
      </c>
      <c r="F238" s="300">
        <f>+'Current Income Tax Expense'!F140</f>
        <v>0</v>
      </c>
      <c r="G238" s="300">
        <f>+'Current Income Tax Expense'!G140</f>
        <v>0</v>
      </c>
      <c r="H238" s="300">
        <f>+'Current Income Tax Expense'!H140</f>
        <v>0</v>
      </c>
      <c r="I238" s="300">
        <f>+'41010'!M9</f>
        <v>-179212</v>
      </c>
      <c r="J238" s="300">
        <f t="shared" si="120"/>
        <v>-179212</v>
      </c>
      <c r="K238" s="276" t="str">
        <f>+'Current Income Tax Expense'!K140</f>
        <v>CN</v>
      </c>
      <c r="L238" s="315">
        <f>SUMIF('Allocation Factors'!$B$3:$B$89,'Deferred Income Tax Expense'!K238,'Allocation Factors'!$P$3:$P$89)</f>
        <v>6.9360885492844845E-2</v>
      </c>
      <c r="M238" s="300">
        <f t="shared" si="131"/>
        <v>0</v>
      </c>
      <c r="N238" s="300">
        <f t="shared" si="132"/>
        <v>-12430</v>
      </c>
      <c r="O238" s="300">
        <f t="shared" si="133"/>
        <v>-12430</v>
      </c>
    </row>
    <row r="239" spans="1:15">
      <c r="A239" s="90" t="str">
        <f>+'Current Income Tax Expense'!A141</f>
        <v>PP&amp;E Adjustment - IDU</v>
      </c>
      <c r="B239" s="276" t="str">
        <f>+'Current Income Tax Expense'!B141</f>
        <v>- - - - -</v>
      </c>
      <c r="C239" s="314" t="str">
        <f>+'Current Income Tax Expense'!C141</f>
        <v>- - - - -</v>
      </c>
      <c r="D239" s="276" t="s">
        <v>721</v>
      </c>
      <c r="E239" s="276" t="str">
        <f>+'Current Income Tax Expense'!E141</f>
        <v>U</v>
      </c>
      <c r="F239" s="300">
        <f>+'Current Income Tax Expense'!F141</f>
        <v>0</v>
      </c>
      <c r="G239" s="300">
        <f>+'Current Income Tax Expense'!G141</f>
        <v>0</v>
      </c>
      <c r="H239" s="300">
        <f>+'Current Income Tax Expense'!H141</f>
        <v>0</v>
      </c>
      <c r="I239" s="300">
        <f>+'41010'!M10</f>
        <v>-451232</v>
      </c>
      <c r="J239" s="300">
        <f t="shared" si="120"/>
        <v>-451232</v>
      </c>
      <c r="K239" s="276" t="str">
        <f>+'Current Income Tax Expense'!K141</f>
        <v>IDU</v>
      </c>
      <c r="L239" s="315">
        <f>SUMIF('Allocation Factors'!$B$3:$B$89,'Deferred Income Tax Expense'!K239,'Allocation Factors'!$P$3:$P$89)</f>
        <v>0</v>
      </c>
      <c r="M239" s="300">
        <f t="shared" si="131"/>
        <v>0</v>
      </c>
      <c r="N239" s="300">
        <f t="shared" si="132"/>
        <v>0</v>
      </c>
      <c r="O239" s="300">
        <f t="shared" si="133"/>
        <v>0</v>
      </c>
    </row>
    <row r="240" spans="1:15">
      <c r="A240" s="90" t="str">
        <f>+'Current Income Tax Expense'!A142</f>
        <v>PP&amp;E Adjustment - JBG</v>
      </c>
      <c r="B240" s="276" t="str">
        <f>+'Current Income Tax Expense'!B142</f>
        <v>- - - - -</v>
      </c>
      <c r="C240" s="314" t="str">
        <f>+'Current Income Tax Expense'!C142</f>
        <v>- - - - -</v>
      </c>
      <c r="D240" s="276" t="s">
        <v>721</v>
      </c>
      <c r="E240" s="276" t="str">
        <f>+'Current Income Tax Expense'!E142</f>
        <v>U</v>
      </c>
      <c r="F240" s="300">
        <f>+'Current Income Tax Expense'!F142</f>
        <v>0</v>
      </c>
      <c r="G240" s="300">
        <f>+'Current Income Tax Expense'!G142</f>
        <v>0</v>
      </c>
      <c r="H240" s="300">
        <f>+'Current Income Tax Expense'!H142</f>
        <v>0</v>
      </c>
      <c r="I240" s="300">
        <f>+'41010'!M11</f>
        <v>10046019</v>
      </c>
      <c r="J240" s="300">
        <f t="shared" si="120"/>
        <v>10046019</v>
      </c>
      <c r="K240" s="276" t="str">
        <f>+'Current Income Tax Expense'!K142</f>
        <v>JBG</v>
      </c>
      <c r="L240" s="315">
        <f>SUMIF('Allocation Factors'!$B$3:$B$89,'Deferred Income Tax Expense'!K240,'Allocation Factors'!$P$3:$P$89)</f>
        <v>0.21577192756641544</v>
      </c>
      <c r="M240" s="300">
        <f t="shared" si="131"/>
        <v>0</v>
      </c>
      <c r="N240" s="300">
        <f t="shared" si="132"/>
        <v>2167649</v>
      </c>
      <c r="O240" s="300">
        <f t="shared" si="133"/>
        <v>2167649</v>
      </c>
    </row>
    <row r="241" spans="1:15">
      <c r="A241" s="90" t="str">
        <f>+'Current Income Tax Expense'!A143</f>
        <v>PP&amp;E Adjustment - OR</v>
      </c>
      <c r="B241" s="276" t="str">
        <f>+'Current Income Tax Expense'!B143</f>
        <v>- - - - -</v>
      </c>
      <c r="C241" s="314" t="str">
        <f>+'Current Income Tax Expense'!C143</f>
        <v>- - - - -</v>
      </c>
      <c r="D241" s="276" t="s">
        <v>721</v>
      </c>
      <c r="E241" s="276" t="str">
        <f>+'Current Income Tax Expense'!E143</f>
        <v>U</v>
      </c>
      <c r="F241" s="300">
        <f>+'Current Income Tax Expense'!F143</f>
        <v>0</v>
      </c>
      <c r="G241" s="300">
        <f>+'Current Income Tax Expense'!G143</f>
        <v>0</v>
      </c>
      <c r="H241" s="300">
        <f>+'Current Income Tax Expense'!H143</f>
        <v>0</v>
      </c>
      <c r="I241" s="300">
        <f>+'41010'!M12</f>
        <v>-26851</v>
      </c>
      <c r="J241" s="300">
        <f t="shared" si="120"/>
        <v>-26851</v>
      </c>
      <c r="K241" s="276" t="str">
        <f>+'Current Income Tax Expense'!K143</f>
        <v>OR</v>
      </c>
      <c r="L241" s="315">
        <f>SUMIF('Allocation Factors'!$B$3:$B$89,'Deferred Income Tax Expense'!K241,'Allocation Factors'!$P$3:$P$89)</f>
        <v>0</v>
      </c>
      <c r="M241" s="300">
        <f t="shared" si="131"/>
        <v>0</v>
      </c>
      <c r="N241" s="300">
        <f t="shared" si="132"/>
        <v>0</v>
      </c>
      <c r="O241" s="300">
        <f t="shared" si="133"/>
        <v>0</v>
      </c>
    </row>
    <row r="242" spans="1:15">
      <c r="A242" s="90" t="str">
        <f>+'Current Income Tax Expense'!A144</f>
        <v>PP&amp;E Adjustment - SG</v>
      </c>
      <c r="B242" s="276" t="str">
        <f>+'Current Income Tax Expense'!B144</f>
        <v>- - - - -</v>
      </c>
      <c r="C242" s="314" t="str">
        <f>+'Current Income Tax Expense'!C144</f>
        <v>- - - - -</v>
      </c>
      <c r="D242" s="276" t="s">
        <v>721</v>
      </c>
      <c r="E242" s="276" t="str">
        <f>+'Current Income Tax Expense'!E144</f>
        <v>U</v>
      </c>
      <c r="F242" s="300">
        <f>+'Current Income Tax Expense'!F144</f>
        <v>0</v>
      </c>
      <c r="G242" s="300">
        <f>+'Current Income Tax Expense'!G144</f>
        <v>0</v>
      </c>
      <c r="H242" s="300">
        <f>+'Current Income Tax Expense'!H144</f>
        <v>0</v>
      </c>
      <c r="I242" s="300">
        <f>+'41010'!M13</f>
        <v>65768866</v>
      </c>
      <c r="J242" s="300">
        <f t="shared" si="120"/>
        <v>65768866</v>
      </c>
      <c r="K242" s="276" t="str">
        <f>+'Current Income Tax Expense'!K144</f>
        <v>SG</v>
      </c>
      <c r="L242" s="315">
        <f>SUMIF('Allocation Factors'!$B$3:$B$89,'Deferred Income Tax Expense'!K242,'Allocation Factors'!$P$3:$P$89)</f>
        <v>7.8111041399714837E-2</v>
      </c>
      <c r="M242" s="300">
        <f t="shared" si="131"/>
        <v>0</v>
      </c>
      <c r="N242" s="300">
        <f t="shared" si="132"/>
        <v>5137275</v>
      </c>
      <c r="O242" s="300">
        <f t="shared" si="133"/>
        <v>5137275</v>
      </c>
    </row>
    <row r="243" spans="1:15">
      <c r="A243" s="90" t="str">
        <f>+'Current Income Tax Expense'!A145</f>
        <v>PP&amp;E Adjustment - SO</v>
      </c>
      <c r="B243" s="276" t="str">
        <f>+'Current Income Tax Expense'!B145</f>
        <v>- - - - -</v>
      </c>
      <c r="C243" s="314" t="str">
        <f>+'Current Income Tax Expense'!C145</f>
        <v>- - - - -</v>
      </c>
      <c r="D243" s="276" t="s">
        <v>721</v>
      </c>
      <c r="E243" s="276" t="str">
        <f>+'Current Income Tax Expense'!E145</f>
        <v>U</v>
      </c>
      <c r="F243" s="300">
        <f>+'Current Income Tax Expense'!F145</f>
        <v>0</v>
      </c>
      <c r="G243" s="300">
        <f>+'Current Income Tax Expense'!G145</f>
        <v>0</v>
      </c>
      <c r="H243" s="300">
        <f>+'Current Income Tax Expense'!H145</f>
        <v>0</v>
      </c>
      <c r="I243" s="300">
        <f>+'41010'!M14</f>
        <v>1673369</v>
      </c>
      <c r="J243" s="300">
        <f t="shared" si="120"/>
        <v>1673369</v>
      </c>
      <c r="K243" s="276" t="str">
        <f>+'Current Income Tax Expense'!K145</f>
        <v>SO</v>
      </c>
      <c r="L243" s="315">
        <f>SUMIF('Allocation Factors'!$B$3:$B$89,'Deferred Income Tax Expense'!K243,'Allocation Factors'!$P$3:$P$89)</f>
        <v>6.7017620954721469E-2</v>
      </c>
      <c r="M243" s="300">
        <f t="shared" si="131"/>
        <v>0</v>
      </c>
      <c r="N243" s="300">
        <f t="shared" si="132"/>
        <v>112145</v>
      </c>
      <c r="O243" s="300">
        <f t="shared" si="133"/>
        <v>112145</v>
      </c>
    </row>
    <row r="244" spans="1:15">
      <c r="A244" s="90" t="str">
        <f>+'Current Income Tax Expense'!A146</f>
        <v>PP&amp;E Adjustment - UT</v>
      </c>
      <c r="B244" s="276" t="str">
        <f>+'Current Income Tax Expense'!B146</f>
        <v>- - - - -</v>
      </c>
      <c r="C244" s="314" t="str">
        <f>+'Current Income Tax Expense'!C146</f>
        <v>- - - - -</v>
      </c>
      <c r="D244" s="276" t="s">
        <v>721</v>
      </c>
      <c r="E244" s="276" t="str">
        <f>+'Current Income Tax Expense'!E146</f>
        <v>U</v>
      </c>
      <c r="F244" s="300">
        <f>+'Current Income Tax Expense'!F146</f>
        <v>0</v>
      </c>
      <c r="G244" s="300">
        <f>+'Current Income Tax Expense'!G146</f>
        <v>0</v>
      </c>
      <c r="H244" s="300">
        <f>+'Current Income Tax Expense'!H146</f>
        <v>0</v>
      </c>
      <c r="I244" s="300">
        <f>+'41010'!M15</f>
        <v>-4270008</v>
      </c>
      <c r="J244" s="300">
        <f t="shared" si="120"/>
        <v>-4270008</v>
      </c>
      <c r="K244" s="276" t="str">
        <f>+'Current Income Tax Expense'!K146</f>
        <v>UT</v>
      </c>
      <c r="L244" s="315">
        <f>SUMIF('Allocation Factors'!$B$3:$B$89,'Deferred Income Tax Expense'!K244,'Allocation Factors'!$P$3:$P$89)</f>
        <v>0</v>
      </c>
      <c r="M244" s="300">
        <f t="shared" si="131"/>
        <v>0</v>
      </c>
      <c r="N244" s="300">
        <f t="shared" si="132"/>
        <v>0</v>
      </c>
      <c r="O244" s="300">
        <f t="shared" si="133"/>
        <v>0</v>
      </c>
    </row>
    <row r="245" spans="1:15">
      <c r="A245" s="90" t="str">
        <f>+'Current Income Tax Expense'!A147</f>
        <v>PP&amp;E Adjustment - WA</v>
      </c>
      <c r="B245" s="276" t="str">
        <f>+'Current Income Tax Expense'!B279</f>
        <v>- - - - -</v>
      </c>
      <c r="C245" s="314" t="str">
        <f>+'Current Income Tax Expense'!C279</f>
        <v>- - - - -</v>
      </c>
      <c r="D245" s="276" t="s">
        <v>721</v>
      </c>
      <c r="E245" s="276" t="str">
        <f>+'Current Income Tax Expense'!E279</f>
        <v>U</v>
      </c>
      <c r="F245" s="300">
        <f>+'Current Income Tax Expense'!F279</f>
        <v>0</v>
      </c>
      <c r="G245" s="300">
        <f>+'Current Income Tax Expense'!G279</f>
        <v>0</v>
      </c>
      <c r="H245" s="300">
        <f>+'Current Income Tax Expense'!H279</f>
        <v>0</v>
      </c>
      <c r="I245" s="300">
        <f>+'41010'!M16</f>
        <v>79214</v>
      </c>
      <c r="J245" s="300">
        <f t="shared" si="120"/>
        <v>79214</v>
      </c>
      <c r="K245" s="276" t="str">
        <f>+'Current Income Tax Expense'!K147</f>
        <v>WA</v>
      </c>
      <c r="L245" s="315">
        <f>SUMIF('Allocation Factors'!$B$3:$B$89,'Deferred Income Tax Expense'!K245,'Allocation Factors'!$P$3:$P$89)</f>
        <v>1</v>
      </c>
      <c r="M245" s="300">
        <f t="shared" si="131"/>
        <v>0</v>
      </c>
      <c r="N245" s="300">
        <f t="shared" si="132"/>
        <v>79214</v>
      </c>
      <c r="O245" s="300">
        <f t="shared" si="133"/>
        <v>79214</v>
      </c>
    </row>
    <row r="246" spans="1:15">
      <c r="A246" s="90" t="str">
        <f>+'Current Income Tax Expense'!A148</f>
        <v>PP&amp;E Adjustment - WYP</v>
      </c>
      <c r="B246" s="276" t="str">
        <f>+'Current Income Tax Expense'!B280</f>
        <v>- - - - -</v>
      </c>
      <c r="C246" s="314" t="str">
        <f>+'Current Income Tax Expense'!C280</f>
        <v>- - - - -</v>
      </c>
      <c r="D246" s="276" t="s">
        <v>721</v>
      </c>
      <c r="E246" s="276" t="str">
        <f>+'Current Income Tax Expense'!E280</f>
        <v>U</v>
      </c>
      <c r="F246" s="300">
        <f>+'Current Income Tax Expense'!F280</f>
        <v>0</v>
      </c>
      <c r="G246" s="300">
        <f>+'Current Income Tax Expense'!G280</f>
        <v>0</v>
      </c>
      <c r="H246" s="300">
        <f>+'Current Income Tax Expense'!H280</f>
        <v>0</v>
      </c>
      <c r="I246" s="300">
        <f>+'41010'!M17</f>
        <v>-70450</v>
      </c>
      <c r="J246" s="300">
        <f t="shared" si="120"/>
        <v>-70450</v>
      </c>
      <c r="K246" s="276" t="str">
        <f>+'Current Income Tax Expense'!K148</f>
        <v>WYP</v>
      </c>
      <c r="L246" s="315">
        <f>SUMIF('Allocation Factors'!$B$3:$B$89,'Deferred Income Tax Expense'!K246,'Allocation Factors'!$P$3:$P$89)</f>
        <v>0</v>
      </c>
      <c r="M246" s="300">
        <f t="shared" si="131"/>
        <v>0</v>
      </c>
      <c r="N246" s="300">
        <f t="shared" si="132"/>
        <v>0</v>
      </c>
      <c r="O246" s="300">
        <f t="shared" si="133"/>
        <v>0</v>
      </c>
    </row>
    <row r="247" spans="1:15" s="187" customFormat="1">
      <c r="A247" s="182" t="s">
        <v>745</v>
      </c>
      <c r="B247" s="183"/>
      <c r="C247" s="319"/>
      <c r="D247" s="215"/>
      <c r="E247" s="161"/>
      <c r="F247" s="186">
        <f>SUBTOTAL(9,F117:F246)</f>
        <v>226620088</v>
      </c>
      <c r="G247" s="186">
        <f>SUBTOTAL(9,G117:G246)</f>
        <v>233177436</v>
      </c>
      <c r="H247" s="186">
        <f>SUBTOTAL(9,H117:H246)</f>
        <v>233177436</v>
      </c>
      <c r="I247" s="186">
        <f>SUBTOTAL(9,I117:I246)</f>
        <v>110060131</v>
      </c>
      <c r="J247" s="186">
        <f>SUBTOTAL(9,J117:J246)</f>
        <v>343237567</v>
      </c>
      <c r="K247" s="183"/>
      <c r="L247" s="161"/>
      <c r="M247" s="186">
        <f>SUBTOTAL(9,M117:M246)</f>
        <v>14331493</v>
      </c>
      <c r="N247" s="186">
        <f>SUBTOTAL(9,N117:N246)</f>
        <v>12417679</v>
      </c>
      <c r="O247" s="186">
        <f>SUBTOTAL(9,O117:O246)</f>
        <v>26749172</v>
      </c>
    </row>
    <row r="248" spans="1:15" s="187" customFormat="1">
      <c r="A248" s="182" t="s">
        <v>287</v>
      </c>
      <c r="B248" s="183"/>
      <c r="C248" s="319"/>
      <c r="D248" s="215"/>
      <c r="E248" s="161"/>
      <c r="F248" s="186">
        <f>SUBTOTAL(9,F3:F247)</f>
        <v>-62354465</v>
      </c>
      <c r="G248" s="186">
        <f>SUBTOTAL(9,G3:G247)</f>
        <v>-57574637</v>
      </c>
      <c r="H248" s="186">
        <f>SUBTOTAL(9,H3:H247)</f>
        <v>-57574637</v>
      </c>
      <c r="I248" s="186">
        <f>SUBTOTAL(9,I3:I247)</f>
        <v>76023418</v>
      </c>
      <c r="J248" s="186">
        <f>SUBTOTAL(9,J3:J247)</f>
        <v>18448781</v>
      </c>
      <c r="K248" s="183"/>
      <c r="L248" s="161"/>
      <c r="M248" s="186">
        <f>SUBTOTAL(9,M3:M247)</f>
        <v>-8173958</v>
      </c>
      <c r="N248" s="186">
        <f>SUBTOTAL(9,N3:N247)</f>
        <v>-2605583</v>
      </c>
      <c r="O248" s="186">
        <f>SUBTOTAL(9,O3:O247)</f>
        <v>-10779541</v>
      </c>
    </row>
    <row r="249" spans="1:15">
      <c r="A249" s="295" t="s">
        <v>81</v>
      </c>
      <c r="B249" s="296">
        <v>287374</v>
      </c>
      <c r="C249" s="312">
        <v>100.105</v>
      </c>
      <c r="D249" s="296" t="s">
        <v>8</v>
      </c>
      <c r="E249" s="296" t="s">
        <v>9</v>
      </c>
      <c r="F249" s="299">
        <v>389048</v>
      </c>
      <c r="G249" s="300">
        <f t="shared" ref="G249:G290" si="134">IF(E249="U",F249,0)</f>
        <v>389048</v>
      </c>
      <c r="H249" s="300">
        <f t="shared" ref="H249:H290" si="135">IF(E249="U",G249,0)</f>
        <v>389048</v>
      </c>
      <c r="I249" s="299">
        <v>0</v>
      </c>
      <c r="J249" s="299">
        <f t="shared" ref="J249:J290" si="136">SUM(H249:I249)</f>
        <v>389048</v>
      </c>
      <c r="K249" s="296" t="s">
        <v>15</v>
      </c>
      <c r="L249" s="315">
        <f>SUMIF('Allocation Factors'!$B$3:$B$89,'Deferred Income Tax Expense'!K249,'Allocation Factors'!$P$3:$P$89)</f>
        <v>0</v>
      </c>
      <c r="M249" s="300">
        <f t="shared" ref="M249:M287" si="137">ROUND(H249*L249,0)</f>
        <v>0</v>
      </c>
      <c r="N249" s="299">
        <f t="shared" ref="N249:N277" si="138">ROUND(I249*L249,0)</f>
        <v>0</v>
      </c>
      <c r="O249" s="299">
        <f t="shared" ref="O249:O277" si="139">SUM(M249:N249)</f>
        <v>0</v>
      </c>
    </row>
    <row r="250" spans="1:15">
      <c r="A250" s="90" t="s">
        <v>71</v>
      </c>
      <c r="B250" s="276">
        <v>287605</v>
      </c>
      <c r="C250" s="523">
        <v>105.11499999999999</v>
      </c>
      <c r="D250" s="276" t="s">
        <v>8</v>
      </c>
      <c r="E250" s="276" t="s">
        <v>9</v>
      </c>
      <c r="F250" s="300">
        <v>-180699.74412733549</v>
      </c>
      <c r="G250" s="300">
        <f t="shared" si="134"/>
        <v>-180699.74412733549</v>
      </c>
      <c r="H250" s="300">
        <f t="shared" si="135"/>
        <v>-180699.74412733549</v>
      </c>
      <c r="I250" s="300">
        <v>0</v>
      </c>
      <c r="J250" s="300">
        <f t="shared" si="136"/>
        <v>-180699.74412733549</v>
      </c>
      <c r="K250" s="276" t="s">
        <v>17</v>
      </c>
      <c r="L250" s="315">
        <f>SUMIF('Allocation Factors'!$B$3:$B$89,'Deferred Income Tax Expense'!K250,'Allocation Factors'!$P$3:$P$89)</f>
        <v>0</v>
      </c>
      <c r="M250" s="300">
        <f t="shared" si="137"/>
        <v>0</v>
      </c>
      <c r="N250" s="300">
        <f t="shared" si="138"/>
        <v>0</v>
      </c>
      <c r="O250" s="300">
        <f t="shared" si="139"/>
        <v>0</v>
      </c>
    </row>
    <row r="251" spans="1:15">
      <c r="A251" s="90" t="s">
        <v>73</v>
      </c>
      <c r="B251" s="276">
        <v>287605</v>
      </c>
      <c r="C251" s="523">
        <v>105.11499999999999</v>
      </c>
      <c r="D251" s="276" t="s">
        <v>8</v>
      </c>
      <c r="E251" s="276" t="s">
        <v>9</v>
      </c>
      <c r="F251" s="300">
        <v>-9457.025726621534</v>
      </c>
      <c r="G251" s="300">
        <f t="shared" ref="G251:G260" si="140">IF(E251="U",F251,0)</f>
        <v>-9457.025726621534</v>
      </c>
      <c r="H251" s="300">
        <f t="shared" ref="H251:H260" si="141">IF(E251="U",G251,0)</f>
        <v>-9457.025726621534</v>
      </c>
      <c r="I251" s="300">
        <v>0</v>
      </c>
      <c r="J251" s="300">
        <f t="shared" ref="J251:J260" si="142">SUM(H251:I251)</f>
        <v>-9457.025726621534</v>
      </c>
      <c r="K251" s="276" t="s">
        <v>29</v>
      </c>
      <c r="L251" s="315">
        <f>SUMIF('Allocation Factors'!$B$3:$B$89,'Deferred Income Tax Expense'!K251,'Allocation Factors'!$P$3:$P$89)</f>
        <v>0</v>
      </c>
      <c r="M251" s="300">
        <f t="shared" ref="M251:M258" si="143">ROUND(H251*L251,0)</f>
        <v>0</v>
      </c>
      <c r="N251" s="300">
        <f t="shared" ref="N251:N258" si="144">ROUND(I251*L251,0)</f>
        <v>0</v>
      </c>
      <c r="O251" s="300">
        <f t="shared" ref="O251:O258" si="145">SUM(M251:N251)</f>
        <v>0</v>
      </c>
    </row>
    <row r="252" spans="1:15">
      <c r="A252" s="90" t="s">
        <v>74</v>
      </c>
      <c r="B252" s="276">
        <v>287605</v>
      </c>
      <c r="C252" s="523">
        <v>105.11499999999999</v>
      </c>
      <c r="D252" s="276" t="s">
        <v>8</v>
      </c>
      <c r="E252" s="276" t="s">
        <v>9</v>
      </c>
      <c r="F252" s="300">
        <v>-2338032.1132779191</v>
      </c>
      <c r="G252" s="300">
        <f t="shared" si="140"/>
        <v>-2338032.1132779191</v>
      </c>
      <c r="H252" s="300">
        <f t="shared" si="141"/>
        <v>-2338032.1132779191</v>
      </c>
      <c r="I252" s="300">
        <v>0</v>
      </c>
      <c r="J252" s="300">
        <f t="shared" si="142"/>
        <v>-2338032.1132779191</v>
      </c>
      <c r="K252" s="276" t="s">
        <v>30</v>
      </c>
      <c r="L252" s="315">
        <f>SUMIF('Allocation Factors'!$B$3:$B$89,'Deferred Income Tax Expense'!K252,'Allocation Factors'!$P$3:$P$89)</f>
        <v>0</v>
      </c>
      <c r="M252" s="300">
        <f t="shared" si="143"/>
        <v>0</v>
      </c>
      <c r="N252" s="300">
        <f t="shared" si="144"/>
        <v>0</v>
      </c>
      <c r="O252" s="300">
        <f t="shared" si="145"/>
        <v>0</v>
      </c>
    </row>
    <row r="253" spans="1:15">
      <c r="A253" s="90" t="s">
        <v>76</v>
      </c>
      <c r="B253" s="276">
        <v>287605</v>
      </c>
      <c r="C253" s="523">
        <v>105.11499999999999</v>
      </c>
      <c r="D253" s="276" t="s">
        <v>8</v>
      </c>
      <c r="E253" s="276" t="s">
        <v>9</v>
      </c>
      <c r="F253" s="300">
        <v>-1594919</v>
      </c>
      <c r="G253" s="300">
        <f t="shared" si="140"/>
        <v>-1594919</v>
      </c>
      <c r="H253" s="300">
        <f t="shared" si="141"/>
        <v>-1594919</v>
      </c>
      <c r="I253" s="300">
        <v>0</v>
      </c>
      <c r="J253" s="300">
        <f t="shared" si="142"/>
        <v>-1594919</v>
      </c>
      <c r="K253" s="276" t="s">
        <v>28</v>
      </c>
      <c r="L253" s="315">
        <f>SUMIF('Allocation Factors'!$B$3:$B$89,'Deferred Income Tax Expense'!K253,'Allocation Factors'!$P$3:$P$89)</f>
        <v>0</v>
      </c>
      <c r="M253" s="300">
        <f t="shared" si="143"/>
        <v>0</v>
      </c>
      <c r="N253" s="300">
        <f t="shared" si="144"/>
        <v>0</v>
      </c>
      <c r="O253" s="300">
        <f t="shared" si="145"/>
        <v>0</v>
      </c>
    </row>
    <row r="254" spans="1:15">
      <c r="A254" s="90" t="s">
        <v>77</v>
      </c>
      <c r="B254" s="276">
        <v>287605</v>
      </c>
      <c r="C254" s="523">
        <v>105.11499999999999</v>
      </c>
      <c r="D254" s="379" t="s">
        <v>721</v>
      </c>
      <c r="E254" s="276" t="s">
        <v>9</v>
      </c>
      <c r="F254" s="300">
        <v>402866</v>
      </c>
      <c r="G254" s="300">
        <f t="shared" si="140"/>
        <v>402866</v>
      </c>
      <c r="H254" s="300">
        <f t="shared" si="141"/>
        <v>402866</v>
      </c>
      <c r="I254" s="300">
        <f>+'41010'!F21</f>
        <v>687782</v>
      </c>
      <c r="J254" s="300">
        <f t="shared" si="142"/>
        <v>1090648</v>
      </c>
      <c r="K254" s="276" t="s">
        <v>26</v>
      </c>
      <c r="L254" s="315">
        <f>SUMIF('Allocation Factors'!$B$3:$B$89,'Deferred Income Tax Expense'!K254,'Allocation Factors'!$P$3:$P$89)</f>
        <v>1</v>
      </c>
      <c r="M254" s="300">
        <f t="shared" si="143"/>
        <v>402866</v>
      </c>
      <c r="N254" s="300">
        <f t="shared" si="144"/>
        <v>687782</v>
      </c>
      <c r="O254" s="300">
        <f t="shared" si="145"/>
        <v>1090648</v>
      </c>
    </row>
    <row r="255" spans="1:15">
      <c r="A255" s="90" t="s">
        <v>78</v>
      </c>
      <c r="B255" s="276">
        <v>287605</v>
      </c>
      <c r="C255" s="523">
        <v>105.11499999999999</v>
      </c>
      <c r="D255" s="276" t="s">
        <v>8</v>
      </c>
      <c r="E255" s="276" t="s">
        <v>9</v>
      </c>
      <c r="F255" s="300">
        <v>-855798</v>
      </c>
      <c r="G255" s="300">
        <f t="shared" si="140"/>
        <v>-855798</v>
      </c>
      <c r="H255" s="300">
        <f t="shared" si="141"/>
        <v>-855798</v>
      </c>
      <c r="I255" s="300">
        <v>0</v>
      </c>
      <c r="J255" s="300">
        <f t="shared" si="142"/>
        <v>-855798</v>
      </c>
      <c r="K255" s="276" t="s">
        <v>32</v>
      </c>
      <c r="L255" s="315">
        <f>SUMIF('Allocation Factors'!$B$3:$B$89,'Deferred Income Tax Expense'!K255,'Allocation Factors'!$P$3:$P$89)</f>
        <v>0</v>
      </c>
      <c r="M255" s="300">
        <f t="shared" si="143"/>
        <v>0</v>
      </c>
      <c r="N255" s="300">
        <f t="shared" si="144"/>
        <v>0</v>
      </c>
      <c r="O255" s="300">
        <f t="shared" si="145"/>
        <v>0</v>
      </c>
    </row>
    <row r="256" spans="1:15">
      <c r="A256" s="90" t="s">
        <v>79</v>
      </c>
      <c r="B256" s="276">
        <v>287605</v>
      </c>
      <c r="C256" s="523">
        <v>105.11499999999999</v>
      </c>
      <c r="D256" s="276" t="s">
        <v>8</v>
      </c>
      <c r="E256" s="276" t="s">
        <v>9</v>
      </c>
      <c r="F256" s="300">
        <v>-387201</v>
      </c>
      <c r="G256" s="300">
        <f t="shared" si="140"/>
        <v>-387201</v>
      </c>
      <c r="H256" s="300">
        <f t="shared" si="141"/>
        <v>-387201</v>
      </c>
      <c r="I256" s="300">
        <v>0</v>
      </c>
      <c r="J256" s="300">
        <f t="shared" si="142"/>
        <v>-387201</v>
      </c>
      <c r="K256" s="276" t="s">
        <v>80</v>
      </c>
      <c r="L256" s="315">
        <f>SUMIF('Allocation Factors'!$B$3:$B$89,'Deferred Income Tax Expense'!K256,'Allocation Factors'!$P$3:$P$89)</f>
        <v>0</v>
      </c>
      <c r="M256" s="300">
        <f t="shared" si="143"/>
        <v>0</v>
      </c>
      <c r="N256" s="300">
        <f t="shared" si="144"/>
        <v>0</v>
      </c>
      <c r="O256" s="300">
        <f t="shared" si="145"/>
        <v>0</v>
      </c>
    </row>
    <row r="257" spans="1:15">
      <c r="A257" s="90" t="s">
        <v>337</v>
      </c>
      <c r="B257" s="276">
        <v>287605</v>
      </c>
      <c r="C257" s="314">
        <v>105.11499999999999</v>
      </c>
      <c r="D257" s="276" t="s">
        <v>8</v>
      </c>
      <c r="E257" s="276" t="s">
        <v>9</v>
      </c>
      <c r="F257" s="300">
        <v>-129216.32232267682</v>
      </c>
      <c r="G257" s="300">
        <f t="shared" si="140"/>
        <v>-129216.32232267682</v>
      </c>
      <c r="H257" s="300">
        <f t="shared" si="141"/>
        <v>-129216.32232267682</v>
      </c>
      <c r="I257" s="300">
        <v>0</v>
      </c>
      <c r="J257" s="300">
        <f t="shared" si="142"/>
        <v>-129216.32232267682</v>
      </c>
      <c r="K257" s="276" t="s">
        <v>72</v>
      </c>
      <c r="L257" s="315">
        <f>SUMIF('Allocation Factors'!$B$3:$B$89,'Deferred Income Tax Expense'!K257,'Allocation Factors'!$P$3:$P$89)</f>
        <v>0</v>
      </c>
      <c r="M257" s="300">
        <f t="shared" si="143"/>
        <v>0</v>
      </c>
      <c r="N257" s="300">
        <f t="shared" si="144"/>
        <v>0</v>
      </c>
      <c r="O257" s="300">
        <f t="shared" si="145"/>
        <v>0</v>
      </c>
    </row>
    <row r="258" spans="1:15">
      <c r="A258" s="90" t="s">
        <v>75</v>
      </c>
      <c r="B258" s="276">
        <v>287605</v>
      </c>
      <c r="C258" s="523">
        <v>105.11499999999999</v>
      </c>
      <c r="D258" s="276" t="s">
        <v>8</v>
      </c>
      <c r="E258" s="276" t="s">
        <v>9</v>
      </c>
      <c r="F258" s="300">
        <v>-802.00000000000023</v>
      </c>
      <c r="G258" s="300">
        <f t="shared" si="140"/>
        <v>-802.00000000000023</v>
      </c>
      <c r="H258" s="300">
        <f t="shared" si="141"/>
        <v>-802.00000000000023</v>
      </c>
      <c r="I258" s="300">
        <v>0</v>
      </c>
      <c r="J258" s="300">
        <f t="shared" si="142"/>
        <v>-802.00000000000023</v>
      </c>
      <c r="K258" s="276" t="s">
        <v>15</v>
      </c>
      <c r="L258" s="315">
        <f>SUMIF('Allocation Factors'!$B$3:$B$89,'Deferred Income Tax Expense'!K258,'Allocation Factors'!$P$3:$P$89)</f>
        <v>0</v>
      </c>
      <c r="M258" s="300">
        <f t="shared" si="143"/>
        <v>0</v>
      </c>
      <c r="N258" s="300">
        <f t="shared" si="144"/>
        <v>0</v>
      </c>
      <c r="O258" s="300">
        <f t="shared" si="145"/>
        <v>0</v>
      </c>
    </row>
    <row r="259" spans="1:15">
      <c r="A259" s="90" t="s">
        <v>751</v>
      </c>
      <c r="B259" s="276" t="s">
        <v>8</v>
      </c>
      <c r="C259" s="523" t="s">
        <v>8</v>
      </c>
      <c r="D259" s="379" t="s">
        <v>721</v>
      </c>
      <c r="E259" s="276" t="s">
        <v>9</v>
      </c>
      <c r="F259" s="300">
        <v>0</v>
      </c>
      <c r="G259" s="300">
        <f t="shared" si="140"/>
        <v>0</v>
      </c>
      <c r="H259" s="300">
        <f t="shared" si="141"/>
        <v>0</v>
      </c>
      <c r="I259" s="300">
        <f>'41010'!H23</f>
        <v>10798</v>
      </c>
      <c r="J259" s="300">
        <f t="shared" si="142"/>
        <v>10798</v>
      </c>
      <c r="K259" s="276" t="s">
        <v>19</v>
      </c>
      <c r="L259" s="315">
        <f>SUMIF('Allocation Factors'!$B$3:$B$89,'Deferred Income Tax Expense'!K259,'Allocation Factors'!$P$3:$P$89)</f>
        <v>7.8111041399714837E-2</v>
      </c>
      <c r="M259" s="300">
        <f t="shared" ref="M259:M260" si="146">ROUND(H259*L259,0)</f>
        <v>0</v>
      </c>
      <c r="N259" s="300">
        <f t="shared" ref="N259:N260" si="147">ROUND(I259*L259,0)</f>
        <v>843</v>
      </c>
      <c r="O259" s="300">
        <f t="shared" ref="O259:O260" si="148">SUM(M259:N259)</f>
        <v>843</v>
      </c>
    </row>
    <row r="260" spans="1:15">
      <c r="A260" s="90" t="s">
        <v>752</v>
      </c>
      <c r="B260" s="276" t="s">
        <v>8</v>
      </c>
      <c r="C260" s="523" t="s">
        <v>8</v>
      </c>
      <c r="D260" s="379" t="s">
        <v>721</v>
      </c>
      <c r="E260" s="276" t="s">
        <v>9</v>
      </c>
      <c r="F260" s="300">
        <v>0</v>
      </c>
      <c r="G260" s="300">
        <f t="shared" si="140"/>
        <v>0</v>
      </c>
      <c r="H260" s="300">
        <f t="shared" si="141"/>
        <v>0</v>
      </c>
      <c r="I260" s="300">
        <f>'41010'!I23</f>
        <v>31211</v>
      </c>
      <c r="J260" s="300">
        <f t="shared" si="142"/>
        <v>31211</v>
      </c>
      <c r="K260" s="276" t="s">
        <v>19</v>
      </c>
      <c r="L260" s="315">
        <f>SUMIF('Allocation Factors'!$B$3:$B$89,'Deferred Income Tax Expense'!K260,'Allocation Factors'!$P$3:$P$89)</f>
        <v>7.8111041399714837E-2</v>
      </c>
      <c r="M260" s="300">
        <f t="shared" si="146"/>
        <v>0</v>
      </c>
      <c r="N260" s="300">
        <f t="shared" si="147"/>
        <v>2438</v>
      </c>
      <c r="O260" s="300">
        <f t="shared" si="148"/>
        <v>2438</v>
      </c>
    </row>
    <row r="261" spans="1:15">
      <c r="A261" s="90" t="s">
        <v>638</v>
      </c>
      <c r="B261" s="276">
        <v>287605</v>
      </c>
      <c r="C261" s="523">
        <v>105.11499999999999</v>
      </c>
      <c r="D261" s="276" t="s">
        <v>8</v>
      </c>
      <c r="E261" s="276" t="s">
        <v>9</v>
      </c>
      <c r="F261" s="300">
        <v>-574187.91474951804</v>
      </c>
      <c r="G261" s="300">
        <f t="shared" si="134"/>
        <v>-574187.91474951804</v>
      </c>
      <c r="H261" s="300">
        <f t="shared" ref="H261:H276" si="149">IF(E261="U",G261,0)</f>
        <v>-574187.91474951804</v>
      </c>
      <c r="I261" s="300">
        <v>0</v>
      </c>
      <c r="J261" s="300">
        <f t="shared" si="136"/>
        <v>-574187.91474951804</v>
      </c>
      <c r="K261" s="276" t="s">
        <v>17</v>
      </c>
      <c r="L261" s="315">
        <f>SUMIF('Allocation Factors'!$B$3:$B$89,'Deferred Income Tax Expense'!K261,'Allocation Factors'!$P$3:$P$89)</f>
        <v>0</v>
      </c>
      <c r="M261" s="300">
        <f t="shared" ref="M261:M276" si="150">ROUND(H261*L261,0)</f>
        <v>0</v>
      </c>
      <c r="N261" s="300">
        <f t="shared" ref="N261:N276" si="151">ROUND(I261*L261,0)</f>
        <v>0</v>
      </c>
      <c r="O261" s="300">
        <f t="shared" ref="O261:O276" si="152">SUM(M261:N261)</f>
        <v>0</v>
      </c>
    </row>
    <row r="262" spans="1:15">
      <c r="A262" s="90" t="s">
        <v>639</v>
      </c>
      <c r="B262" s="276">
        <v>287605</v>
      </c>
      <c r="C262" s="523">
        <v>105.11499999999999</v>
      </c>
      <c r="D262" s="276" t="s">
        <v>8</v>
      </c>
      <c r="E262" s="276" t="s">
        <v>9</v>
      </c>
      <c r="F262" s="300">
        <v>-1520712.5773826595</v>
      </c>
      <c r="G262" s="300">
        <f t="shared" si="134"/>
        <v>-1520712.5773826595</v>
      </c>
      <c r="H262" s="300">
        <f t="shared" si="149"/>
        <v>-1520712.5773826595</v>
      </c>
      <c r="I262" s="300">
        <v>0</v>
      </c>
      <c r="J262" s="300">
        <f t="shared" si="136"/>
        <v>-1520712.5773826595</v>
      </c>
      <c r="K262" s="276" t="s">
        <v>29</v>
      </c>
      <c r="L262" s="315">
        <f>SUMIF('Allocation Factors'!$B$3:$B$89,'Deferred Income Tax Expense'!K262,'Allocation Factors'!$P$3:$P$89)</f>
        <v>0</v>
      </c>
      <c r="M262" s="300">
        <f t="shared" si="150"/>
        <v>0</v>
      </c>
      <c r="N262" s="300">
        <f t="shared" si="151"/>
        <v>0</v>
      </c>
      <c r="O262" s="300">
        <f t="shared" si="152"/>
        <v>0</v>
      </c>
    </row>
    <row r="263" spans="1:15">
      <c r="A263" s="90" t="s">
        <v>640</v>
      </c>
      <c r="B263" s="276">
        <v>287605</v>
      </c>
      <c r="C263" s="523">
        <v>105.11499999999999</v>
      </c>
      <c r="D263" s="276" t="s">
        <v>8</v>
      </c>
      <c r="E263" s="276" t="s">
        <v>9</v>
      </c>
      <c r="F263" s="300">
        <v>-5942252.0083221216</v>
      </c>
      <c r="G263" s="300">
        <f t="shared" si="134"/>
        <v>-5942252.0083221216</v>
      </c>
      <c r="H263" s="300">
        <f t="shared" si="149"/>
        <v>-5942252.0083221216</v>
      </c>
      <c r="I263" s="300">
        <v>0</v>
      </c>
      <c r="J263" s="300">
        <f t="shared" si="136"/>
        <v>-5942252.0083221216</v>
      </c>
      <c r="K263" s="276" t="s">
        <v>30</v>
      </c>
      <c r="L263" s="315">
        <f>SUMIF('Allocation Factors'!$B$3:$B$89,'Deferred Income Tax Expense'!K263,'Allocation Factors'!$P$3:$P$89)</f>
        <v>0</v>
      </c>
      <c r="M263" s="300">
        <f t="shared" si="150"/>
        <v>0</v>
      </c>
      <c r="N263" s="300">
        <f t="shared" si="151"/>
        <v>0</v>
      </c>
      <c r="O263" s="300">
        <f t="shared" si="152"/>
        <v>0</v>
      </c>
    </row>
    <row r="264" spans="1:15">
      <c r="A264" s="90" t="s">
        <v>641</v>
      </c>
      <c r="B264" s="276">
        <v>287605</v>
      </c>
      <c r="C264" s="523">
        <v>105.11499999999999</v>
      </c>
      <c r="D264" s="379" t="s">
        <v>721</v>
      </c>
      <c r="E264" s="276" t="s">
        <v>9</v>
      </c>
      <c r="F264" s="300">
        <v>-964864.94236650667</v>
      </c>
      <c r="G264" s="300">
        <f t="shared" si="134"/>
        <v>-964864.94236650667</v>
      </c>
      <c r="H264" s="300">
        <f t="shared" si="149"/>
        <v>-964864.94236650667</v>
      </c>
      <c r="I264" s="300">
        <f>+'41010'!F22</f>
        <v>964865</v>
      </c>
      <c r="J264" s="300">
        <f t="shared" si="136"/>
        <v>5.7633493328467011E-2</v>
      </c>
      <c r="K264" s="276" t="s">
        <v>26</v>
      </c>
      <c r="L264" s="315">
        <f>SUMIF('Allocation Factors'!$B$3:$B$89,'Deferred Income Tax Expense'!K264,'Allocation Factors'!$P$3:$P$89)</f>
        <v>1</v>
      </c>
      <c r="M264" s="300">
        <f t="shared" si="150"/>
        <v>-964865</v>
      </c>
      <c r="N264" s="300">
        <f t="shared" si="151"/>
        <v>964865</v>
      </c>
      <c r="O264" s="300">
        <f t="shared" si="152"/>
        <v>0</v>
      </c>
    </row>
    <row r="265" spans="1:15">
      <c r="A265" s="90" t="s">
        <v>642</v>
      </c>
      <c r="B265" s="276">
        <v>287605</v>
      </c>
      <c r="C265" s="523">
        <v>105.11499999999999</v>
      </c>
      <c r="D265" s="276" t="s">
        <v>8</v>
      </c>
      <c r="E265" s="276" t="s">
        <v>9</v>
      </c>
      <c r="F265" s="300">
        <v>-2649265.6338535594</v>
      </c>
      <c r="G265" s="300">
        <f t="shared" si="134"/>
        <v>-2649265.6338535594</v>
      </c>
      <c r="H265" s="300">
        <f t="shared" si="149"/>
        <v>-2649265.6338535594</v>
      </c>
      <c r="I265" s="300">
        <v>0</v>
      </c>
      <c r="J265" s="300">
        <f t="shared" si="136"/>
        <v>-2649265.6338535594</v>
      </c>
      <c r="K265" s="276" t="s">
        <v>32</v>
      </c>
      <c r="L265" s="315">
        <f>SUMIF('Allocation Factors'!$B$3:$B$89,'Deferred Income Tax Expense'!K265,'Allocation Factors'!$P$3:$P$89)</f>
        <v>0</v>
      </c>
      <c r="M265" s="300">
        <f t="shared" si="150"/>
        <v>0</v>
      </c>
      <c r="N265" s="300">
        <f t="shared" si="151"/>
        <v>0</v>
      </c>
      <c r="O265" s="300">
        <f t="shared" si="152"/>
        <v>0</v>
      </c>
    </row>
    <row r="266" spans="1:15">
      <c r="A266" s="90" t="s">
        <v>643</v>
      </c>
      <c r="B266" s="276">
        <v>287605</v>
      </c>
      <c r="C266" s="523">
        <v>105.11499999999999</v>
      </c>
      <c r="D266" s="276" t="s">
        <v>8</v>
      </c>
      <c r="E266" s="276" t="s">
        <v>9</v>
      </c>
      <c r="F266" s="300">
        <v>-535659.9672433103</v>
      </c>
      <c r="G266" s="300">
        <f t="shared" si="134"/>
        <v>-535659.9672433103</v>
      </c>
      <c r="H266" s="300">
        <f t="shared" si="149"/>
        <v>-535659.9672433103</v>
      </c>
      <c r="I266" s="300">
        <v>0</v>
      </c>
      <c r="J266" s="300">
        <f t="shared" si="136"/>
        <v>-535659.9672433103</v>
      </c>
      <c r="K266" s="276" t="s">
        <v>80</v>
      </c>
      <c r="L266" s="315">
        <f>SUMIF('Allocation Factors'!$B$3:$B$89,'Deferred Income Tax Expense'!K266,'Allocation Factors'!$P$3:$P$89)</f>
        <v>0</v>
      </c>
      <c r="M266" s="300">
        <f t="shared" si="150"/>
        <v>0</v>
      </c>
      <c r="N266" s="300">
        <f t="shared" si="151"/>
        <v>0</v>
      </c>
      <c r="O266" s="300">
        <f t="shared" si="152"/>
        <v>0</v>
      </c>
    </row>
    <row r="267" spans="1:15">
      <c r="A267" s="90" t="s">
        <v>644</v>
      </c>
      <c r="B267" s="276">
        <v>287605</v>
      </c>
      <c r="C267" s="523">
        <v>105.11499999999999</v>
      </c>
      <c r="D267" s="276" t="s">
        <v>8</v>
      </c>
      <c r="E267" s="276" t="s">
        <v>9</v>
      </c>
      <c r="F267" s="300">
        <v>-9878950.8128774352</v>
      </c>
      <c r="G267" s="300">
        <f t="shared" si="134"/>
        <v>-9878950.8128774352</v>
      </c>
      <c r="H267" s="300">
        <f t="shared" si="149"/>
        <v>-9878950.8128774352</v>
      </c>
      <c r="I267" s="300">
        <v>0</v>
      </c>
      <c r="J267" s="300">
        <f t="shared" si="136"/>
        <v>-9878950.8128774352</v>
      </c>
      <c r="K267" s="276" t="s">
        <v>28</v>
      </c>
      <c r="L267" s="315">
        <f>SUMIF('Allocation Factors'!$B$3:$B$89,'Deferred Income Tax Expense'!K267,'Allocation Factors'!$P$3:$P$89)</f>
        <v>0</v>
      </c>
      <c r="M267" s="300">
        <f t="shared" si="150"/>
        <v>0</v>
      </c>
      <c r="N267" s="300">
        <f t="shared" si="151"/>
        <v>0</v>
      </c>
      <c r="O267" s="300">
        <f t="shared" si="152"/>
        <v>0</v>
      </c>
    </row>
    <row r="268" spans="1:15">
      <c r="A268" s="90" t="s">
        <v>645</v>
      </c>
      <c r="B268" s="276">
        <v>287605</v>
      </c>
      <c r="C268" s="523">
        <v>105.11499999999999</v>
      </c>
      <c r="D268" s="276" t="s">
        <v>8</v>
      </c>
      <c r="E268" s="276" t="s">
        <v>9</v>
      </c>
      <c r="F268" s="300">
        <v>-120809.87439375947</v>
      </c>
      <c r="G268" s="300">
        <f t="shared" si="134"/>
        <v>-120809.87439375947</v>
      </c>
      <c r="H268" s="300">
        <f t="shared" si="149"/>
        <v>-120809.87439375947</v>
      </c>
      <c r="I268" s="300">
        <v>0</v>
      </c>
      <c r="J268" s="300">
        <f t="shared" si="136"/>
        <v>-120809.87439375947</v>
      </c>
      <c r="K268" s="276" t="s">
        <v>72</v>
      </c>
      <c r="L268" s="315">
        <f>SUMIF('Allocation Factors'!$B$3:$B$89,'Deferred Income Tax Expense'!K268,'Allocation Factors'!$P$3:$P$89)</f>
        <v>0</v>
      </c>
      <c r="M268" s="300">
        <f t="shared" si="150"/>
        <v>0</v>
      </c>
      <c r="N268" s="300">
        <f t="shared" si="151"/>
        <v>0</v>
      </c>
      <c r="O268" s="300">
        <f t="shared" si="152"/>
        <v>0</v>
      </c>
    </row>
    <row r="269" spans="1:15">
      <c r="A269" s="90" t="s">
        <v>646</v>
      </c>
      <c r="B269" s="276">
        <v>287605</v>
      </c>
      <c r="C269" s="523">
        <v>105.11499999999999</v>
      </c>
      <c r="D269" s="276" t="s">
        <v>8</v>
      </c>
      <c r="E269" s="276" t="s">
        <v>9</v>
      </c>
      <c r="F269" s="300">
        <v>136331.2226280421</v>
      </c>
      <c r="G269" s="300">
        <f t="shared" si="134"/>
        <v>136331.2226280421</v>
      </c>
      <c r="H269" s="300">
        <f t="shared" si="149"/>
        <v>136331.2226280421</v>
      </c>
      <c r="I269" s="300">
        <v>0</v>
      </c>
      <c r="J269" s="300">
        <f t="shared" si="136"/>
        <v>136331.2226280421</v>
      </c>
      <c r="K269" s="276" t="s">
        <v>15</v>
      </c>
      <c r="L269" s="315">
        <f>SUMIF('Allocation Factors'!$B$3:$B$89,'Deferred Income Tax Expense'!K269,'Allocation Factors'!$P$3:$P$89)</f>
        <v>0</v>
      </c>
      <c r="M269" s="300">
        <f t="shared" si="150"/>
        <v>0</v>
      </c>
      <c r="N269" s="300">
        <f t="shared" si="151"/>
        <v>0</v>
      </c>
      <c r="O269" s="300">
        <f t="shared" si="152"/>
        <v>0</v>
      </c>
    </row>
    <row r="270" spans="1:15">
      <c r="A270" s="90" t="s">
        <v>647</v>
      </c>
      <c r="B270" s="276">
        <v>287605</v>
      </c>
      <c r="C270" s="523">
        <v>105.11499999999999</v>
      </c>
      <c r="D270" s="276" t="s">
        <v>8</v>
      </c>
      <c r="E270" s="276" t="s">
        <v>9</v>
      </c>
      <c r="F270" s="300">
        <v>-21621.00415939029</v>
      </c>
      <c r="G270" s="300">
        <f t="shared" si="134"/>
        <v>-21621.00415939029</v>
      </c>
      <c r="H270" s="300">
        <f t="shared" si="149"/>
        <v>-21621.00415939029</v>
      </c>
      <c r="I270" s="300">
        <v>0</v>
      </c>
      <c r="J270" s="300">
        <f t="shared" si="136"/>
        <v>-21621.00415939029</v>
      </c>
      <c r="K270" s="276" t="s">
        <v>17</v>
      </c>
      <c r="L270" s="315">
        <f>SUMIF('Allocation Factors'!$B$3:$B$89,'Deferred Income Tax Expense'!K270,'Allocation Factors'!$P$3:$P$89)</f>
        <v>0</v>
      </c>
      <c r="M270" s="300">
        <f t="shared" si="150"/>
        <v>0</v>
      </c>
      <c r="N270" s="300">
        <f t="shared" si="151"/>
        <v>0</v>
      </c>
      <c r="O270" s="300">
        <f t="shared" si="152"/>
        <v>0</v>
      </c>
    </row>
    <row r="271" spans="1:15">
      <c r="A271" s="90" t="s">
        <v>648</v>
      </c>
      <c r="B271" s="276">
        <v>287605</v>
      </c>
      <c r="C271" s="523">
        <v>105.11499999999999</v>
      </c>
      <c r="D271" s="276" t="s">
        <v>8</v>
      </c>
      <c r="E271" s="276" t="s">
        <v>9</v>
      </c>
      <c r="F271" s="300">
        <v>-366907.12173128861</v>
      </c>
      <c r="G271" s="300">
        <f t="shared" si="134"/>
        <v>-366907.12173128861</v>
      </c>
      <c r="H271" s="300">
        <f t="shared" si="149"/>
        <v>-366907.12173128861</v>
      </c>
      <c r="I271" s="300">
        <v>0</v>
      </c>
      <c r="J271" s="300">
        <f t="shared" si="136"/>
        <v>-366907.12173128861</v>
      </c>
      <c r="K271" s="276" t="s">
        <v>30</v>
      </c>
      <c r="L271" s="315">
        <f>SUMIF('Allocation Factors'!$B$3:$B$89,'Deferred Income Tax Expense'!K271,'Allocation Factors'!$P$3:$P$89)</f>
        <v>0</v>
      </c>
      <c r="M271" s="300">
        <f t="shared" si="150"/>
        <v>0</v>
      </c>
      <c r="N271" s="300">
        <f t="shared" si="151"/>
        <v>0</v>
      </c>
      <c r="O271" s="300">
        <f t="shared" si="152"/>
        <v>0</v>
      </c>
    </row>
    <row r="272" spans="1:15">
      <c r="A272" s="90" t="s">
        <v>656</v>
      </c>
      <c r="B272" s="276">
        <v>287605</v>
      </c>
      <c r="C272" s="523">
        <v>105.11499999999999</v>
      </c>
      <c r="D272" s="276" t="s">
        <v>8</v>
      </c>
      <c r="E272" s="276" t="s">
        <v>9</v>
      </c>
      <c r="F272" s="300">
        <v>-338139.5495309988</v>
      </c>
      <c r="G272" s="300">
        <f t="shared" si="134"/>
        <v>-338139.5495309988</v>
      </c>
      <c r="H272" s="300">
        <f t="shared" si="149"/>
        <v>-338139.5495309988</v>
      </c>
      <c r="I272" s="300">
        <v>0</v>
      </c>
      <c r="J272" s="300">
        <f t="shared" si="136"/>
        <v>-338139.5495309988</v>
      </c>
      <c r="K272" s="276" t="s">
        <v>26</v>
      </c>
      <c r="L272" s="315">
        <f>SUMIF('Allocation Factors'!$B$3:$B$89,'Deferred Income Tax Expense'!K272,'Allocation Factors'!$P$3:$P$89)</f>
        <v>1</v>
      </c>
      <c r="M272" s="300">
        <f t="shared" si="150"/>
        <v>-338140</v>
      </c>
      <c r="N272" s="300">
        <f t="shared" si="151"/>
        <v>0</v>
      </c>
      <c r="O272" s="300">
        <f t="shared" si="152"/>
        <v>-338140</v>
      </c>
    </row>
    <row r="273" spans="1:15">
      <c r="A273" s="90" t="s">
        <v>649</v>
      </c>
      <c r="B273" s="276">
        <v>287605</v>
      </c>
      <c r="C273" s="523">
        <v>105.11499999999999</v>
      </c>
      <c r="D273" s="276" t="s">
        <v>8</v>
      </c>
      <c r="E273" s="276" t="s">
        <v>9</v>
      </c>
      <c r="F273" s="300">
        <v>-247508.762915414</v>
      </c>
      <c r="G273" s="300">
        <f t="shared" si="134"/>
        <v>-247508.762915414</v>
      </c>
      <c r="H273" s="300">
        <f t="shared" si="149"/>
        <v>-247508.762915414</v>
      </c>
      <c r="I273" s="300">
        <v>0</v>
      </c>
      <c r="J273" s="300">
        <f t="shared" si="136"/>
        <v>-247508.762915414</v>
      </c>
      <c r="K273" s="276" t="s">
        <v>32</v>
      </c>
      <c r="L273" s="315">
        <f>SUMIF('Allocation Factors'!$B$3:$B$89,'Deferred Income Tax Expense'!K273,'Allocation Factors'!$P$3:$P$89)</f>
        <v>0</v>
      </c>
      <c r="M273" s="300">
        <f t="shared" si="150"/>
        <v>0</v>
      </c>
      <c r="N273" s="300">
        <f t="shared" si="151"/>
        <v>0</v>
      </c>
      <c r="O273" s="300">
        <f t="shared" si="152"/>
        <v>0</v>
      </c>
    </row>
    <row r="274" spans="1:15">
      <c r="A274" s="90" t="s">
        <v>650</v>
      </c>
      <c r="B274" s="276">
        <v>287605</v>
      </c>
      <c r="C274" s="523">
        <v>105.11499999999999</v>
      </c>
      <c r="D274" s="276" t="s">
        <v>8</v>
      </c>
      <c r="E274" s="276" t="s">
        <v>9</v>
      </c>
      <c r="F274" s="300">
        <v>-637194.13939118409</v>
      </c>
      <c r="G274" s="300">
        <f t="shared" si="134"/>
        <v>-637194.13939118409</v>
      </c>
      <c r="H274" s="300">
        <f t="shared" si="149"/>
        <v>-637194.13939118409</v>
      </c>
      <c r="I274" s="300">
        <v>0</v>
      </c>
      <c r="J274" s="300">
        <f t="shared" si="136"/>
        <v>-637194.13939118409</v>
      </c>
      <c r="K274" s="276" t="s">
        <v>28</v>
      </c>
      <c r="L274" s="315">
        <f>SUMIF('Allocation Factors'!$B$3:$B$89,'Deferred Income Tax Expense'!K274,'Allocation Factors'!$P$3:$P$89)</f>
        <v>0</v>
      </c>
      <c r="M274" s="300">
        <f t="shared" si="150"/>
        <v>0</v>
      </c>
      <c r="N274" s="300">
        <f t="shared" si="151"/>
        <v>0</v>
      </c>
      <c r="O274" s="300">
        <f t="shared" si="152"/>
        <v>0</v>
      </c>
    </row>
    <row r="275" spans="1:15">
      <c r="A275" s="90" t="s">
        <v>651</v>
      </c>
      <c r="B275" s="276">
        <v>287605</v>
      </c>
      <c r="C275" s="523">
        <v>105.11499999999999</v>
      </c>
      <c r="D275" s="276" t="s">
        <v>8</v>
      </c>
      <c r="E275" s="276" t="s">
        <v>9</v>
      </c>
      <c r="F275" s="300">
        <v>-96177.650692171665</v>
      </c>
      <c r="G275" s="300">
        <f t="shared" si="134"/>
        <v>-96177.650692171665</v>
      </c>
      <c r="H275" s="300">
        <f t="shared" si="149"/>
        <v>-96177.650692171665</v>
      </c>
      <c r="I275" s="300">
        <v>0</v>
      </c>
      <c r="J275" s="300">
        <f t="shared" si="136"/>
        <v>-96177.650692171665</v>
      </c>
      <c r="K275" s="276" t="s">
        <v>29</v>
      </c>
      <c r="L275" s="315">
        <f>SUMIF('Allocation Factors'!$B$3:$B$89,'Deferred Income Tax Expense'!K275,'Allocation Factors'!$P$3:$P$89)</f>
        <v>0</v>
      </c>
      <c r="M275" s="300">
        <f t="shared" si="150"/>
        <v>0</v>
      </c>
      <c r="N275" s="300">
        <f t="shared" si="151"/>
        <v>0</v>
      </c>
      <c r="O275" s="300">
        <f t="shared" si="152"/>
        <v>0</v>
      </c>
    </row>
    <row r="276" spans="1:15">
      <c r="A276" s="90" t="s">
        <v>652</v>
      </c>
      <c r="B276" s="276">
        <v>287605</v>
      </c>
      <c r="C276" s="523">
        <v>105.11499999999999</v>
      </c>
      <c r="D276" s="276" t="s">
        <v>8</v>
      </c>
      <c r="E276" s="276" t="s">
        <v>9</v>
      </c>
      <c r="F276" s="300">
        <v>-482.26957764526298</v>
      </c>
      <c r="G276" s="300">
        <f t="shared" si="134"/>
        <v>-482.26957764526298</v>
      </c>
      <c r="H276" s="300">
        <f t="shared" si="149"/>
        <v>-482.26957764526298</v>
      </c>
      <c r="I276" s="300">
        <v>0</v>
      </c>
      <c r="J276" s="300">
        <f t="shared" si="136"/>
        <v>-482.26957764526298</v>
      </c>
      <c r="K276" s="276" t="s">
        <v>72</v>
      </c>
      <c r="L276" s="315">
        <f>SUMIF('Allocation Factors'!$B$3:$B$89,'Deferred Income Tax Expense'!K276,'Allocation Factors'!$P$3:$P$89)</f>
        <v>0</v>
      </c>
      <c r="M276" s="300">
        <f t="shared" si="150"/>
        <v>0</v>
      </c>
      <c r="N276" s="300">
        <f t="shared" si="151"/>
        <v>0</v>
      </c>
      <c r="O276" s="300">
        <f t="shared" si="152"/>
        <v>0</v>
      </c>
    </row>
    <row r="277" spans="1:15">
      <c r="A277" s="90" t="s">
        <v>82</v>
      </c>
      <c r="B277" s="276">
        <v>287608</v>
      </c>
      <c r="C277" s="314" t="s">
        <v>266</v>
      </c>
      <c r="D277" s="276" t="s">
        <v>8</v>
      </c>
      <c r="E277" s="276" t="s">
        <v>9</v>
      </c>
      <c r="F277" s="300">
        <v>-344503</v>
      </c>
      <c r="G277" s="300">
        <f t="shared" si="134"/>
        <v>-344503</v>
      </c>
      <c r="H277" s="300">
        <f t="shared" si="135"/>
        <v>-344503</v>
      </c>
      <c r="I277" s="300">
        <v>0</v>
      </c>
      <c r="J277" s="300">
        <f t="shared" si="136"/>
        <v>-344503</v>
      </c>
      <c r="K277" s="276" t="s">
        <v>162</v>
      </c>
      <c r="L277" s="315">
        <f>SUMIF('Allocation Factors'!$B$3:$B$89,'Deferred Income Tax Expense'!K277,'Allocation Factors'!$P$3:$P$89)</f>
        <v>0</v>
      </c>
      <c r="M277" s="300">
        <f t="shared" si="137"/>
        <v>0</v>
      </c>
      <c r="N277" s="300">
        <f t="shared" si="138"/>
        <v>0</v>
      </c>
      <c r="O277" s="300">
        <f t="shared" si="139"/>
        <v>0</v>
      </c>
    </row>
    <row r="278" spans="1:15">
      <c r="A278" s="90" t="s">
        <v>402</v>
      </c>
      <c r="B278" s="276" t="s">
        <v>8</v>
      </c>
      <c r="C278" s="314">
        <v>105.11199999999999</v>
      </c>
      <c r="D278" s="276" t="s">
        <v>8</v>
      </c>
      <c r="E278" s="276" t="s">
        <v>9</v>
      </c>
      <c r="F278" s="300">
        <v>-104732415</v>
      </c>
      <c r="G278" s="300">
        <f t="shared" si="134"/>
        <v>-104732415</v>
      </c>
      <c r="H278" s="300">
        <f t="shared" si="135"/>
        <v>-104732415</v>
      </c>
      <c r="I278" s="300">
        <v>0</v>
      </c>
      <c r="J278" s="300">
        <f t="shared" si="136"/>
        <v>-104732415</v>
      </c>
      <c r="K278" s="276" t="s">
        <v>28</v>
      </c>
      <c r="L278" s="315">
        <f>SUMIF('Allocation Factors'!$B$3:$B$89,'Deferred Income Tax Expense'!K278,'Allocation Factors'!$P$3:$P$89)</f>
        <v>0</v>
      </c>
      <c r="M278" s="300">
        <f t="shared" si="137"/>
        <v>0</v>
      </c>
      <c r="N278" s="300">
        <f t="shared" ref="N278:N287" si="153">ROUND(I278*L278,0)</f>
        <v>0</v>
      </c>
      <c r="O278" s="300">
        <f t="shared" ref="O278:O287" si="154">SUM(M278:N278)</f>
        <v>0</v>
      </c>
    </row>
    <row r="279" spans="1:15">
      <c r="A279" s="90" t="s">
        <v>408</v>
      </c>
      <c r="B279" s="276" t="s">
        <v>8</v>
      </c>
      <c r="C279" s="314">
        <v>705.28300000000002</v>
      </c>
      <c r="D279" s="276" t="s">
        <v>8</v>
      </c>
      <c r="E279" s="276" t="s">
        <v>9</v>
      </c>
      <c r="F279" s="300">
        <v>-22560693</v>
      </c>
      <c r="G279" s="300">
        <f t="shared" si="134"/>
        <v>-22560693</v>
      </c>
      <c r="H279" s="300">
        <f t="shared" si="135"/>
        <v>-22560693</v>
      </c>
      <c r="I279" s="300">
        <v>0</v>
      </c>
      <c r="J279" s="300">
        <f t="shared" si="136"/>
        <v>-22560693</v>
      </c>
      <c r="K279" s="276" t="s">
        <v>28</v>
      </c>
      <c r="L279" s="315">
        <f>SUMIF('Allocation Factors'!$B$3:$B$89,'Deferred Income Tax Expense'!K279,'Allocation Factors'!$P$3:$P$89)</f>
        <v>0</v>
      </c>
      <c r="M279" s="300">
        <f t="shared" si="137"/>
        <v>0</v>
      </c>
      <c r="N279" s="300">
        <f t="shared" si="153"/>
        <v>0</v>
      </c>
      <c r="O279" s="300">
        <f t="shared" si="154"/>
        <v>0</v>
      </c>
    </row>
    <row r="280" spans="1:15">
      <c r="A280" s="90" t="s">
        <v>398</v>
      </c>
      <c r="B280" s="276" t="s">
        <v>8</v>
      </c>
      <c r="C280" s="314">
        <v>105.107</v>
      </c>
      <c r="D280" s="276" t="s">
        <v>8</v>
      </c>
      <c r="E280" s="276" t="s">
        <v>9</v>
      </c>
      <c r="F280" s="300">
        <v>-356504</v>
      </c>
      <c r="G280" s="300">
        <f t="shared" si="134"/>
        <v>-356504</v>
      </c>
      <c r="H280" s="300">
        <f t="shared" si="135"/>
        <v>-356504</v>
      </c>
      <c r="I280" s="300">
        <v>0</v>
      </c>
      <c r="J280" s="300">
        <f t="shared" si="136"/>
        <v>-356504</v>
      </c>
      <c r="K280" s="276" t="s">
        <v>29</v>
      </c>
      <c r="L280" s="315">
        <f>SUMIF('Allocation Factors'!$B$3:$B$89,'Deferred Income Tax Expense'!K280,'Allocation Factors'!$P$3:$P$89)</f>
        <v>0</v>
      </c>
      <c r="M280" s="300">
        <f t="shared" si="137"/>
        <v>0</v>
      </c>
      <c r="N280" s="300">
        <f t="shared" ref="N280:N281" si="155">ROUND(I280*L280,0)</f>
        <v>0</v>
      </c>
      <c r="O280" s="300">
        <f t="shared" ref="O280:O281" si="156">SUM(M280:N280)</f>
        <v>0</v>
      </c>
    </row>
    <row r="281" spans="1:15">
      <c r="A281" s="90" t="s">
        <v>426</v>
      </c>
      <c r="B281" s="276" t="s">
        <v>8</v>
      </c>
      <c r="C281" s="314">
        <v>705.28099999999995</v>
      </c>
      <c r="D281" s="276" t="s">
        <v>8</v>
      </c>
      <c r="E281" s="276" t="s">
        <v>9</v>
      </c>
      <c r="F281" s="300">
        <v>-43266</v>
      </c>
      <c r="G281" s="300">
        <f t="shared" si="134"/>
        <v>-43266</v>
      </c>
      <c r="H281" s="300">
        <f t="shared" si="135"/>
        <v>-43266</v>
      </c>
      <c r="I281" s="300">
        <v>0</v>
      </c>
      <c r="J281" s="300">
        <f t="shared" si="136"/>
        <v>-43266</v>
      </c>
      <c r="K281" s="276" t="s">
        <v>29</v>
      </c>
      <c r="L281" s="315">
        <f>SUMIF('Allocation Factors'!$B$3:$B$89,'Deferred Income Tax Expense'!K281,'Allocation Factors'!$P$3:$P$89)</f>
        <v>0</v>
      </c>
      <c r="M281" s="300">
        <f t="shared" si="137"/>
        <v>0</v>
      </c>
      <c r="N281" s="300">
        <f t="shared" si="155"/>
        <v>0</v>
      </c>
      <c r="O281" s="300">
        <f t="shared" si="156"/>
        <v>0</v>
      </c>
    </row>
    <row r="282" spans="1:15">
      <c r="A282" s="90" t="s">
        <v>655</v>
      </c>
      <c r="B282" s="276" t="s">
        <v>8</v>
      </c>
      <c r="C282" s="314" t="s">
        <v>8</v>
      </c>
      <c r="D282" s="276" t="s">
        <v>720</v>
      </c>
      <c r="E282" s="276" t="s">
        <v>9</v>
      </c>
      <c r="F282" s="300">
        <v>0</v>
      </c>
      <c r="G282" s="300">
        <f t="shared" si="134"/>
        <v>0</v>
      </c>
      <c r="H282" s="300">
        <f t="shared" si="135"/>
        <v>0</v>
      </c>
      <c r="I282" s="300">
        <f>+'41110'!N47</f>
        <v>-6388666</v>
      </c>
      <c r="J282" s="300">
        <f t="shared" si="136"/>
        <v>-6388666</v>
      </c>
      <c r="K282" s="276" t="s">
        <v>26</v>
      </c>
      <c r="L282" s="315">
        <f>SUMIF('Allocation Factors'!$B$3:$B$89,'Deferred Income Tax Expense'!K282,'Allocation Factors'!$P$3:$P$89)</f>
        <v>1</v>
      </c>
      <c r="M282" s="300">
        <f t="shared" ref="M282" si="157">ROUND(H282*L282,0)</f>
        <v>0</v>
      </c>
      <c r="N282" s="300">
        <f t="shared" ref="N282" si="158">ROUND(I282*L282,0)</f>
        <v>-6388666</v>
      </c>
      <c r="O282" s="300">
        <f t="shared" ref="O282" si="159">SUM(M282:N282)</f>
        <v>-6388666</v>
      </c>
    </row>
    <row r="283" spans="1:15">
      <c r="A283" s="90" t="s">
        <v>409</v>
      </c>
      <c r="B283" s="276" t="s">
        <v>8</v>
      </c>
      <c r="C283" s="314">
        <v>705.346</v>
      </c>
      <c r="D283" s="276" t="s">
        <v>8</v>
      </c>
      <c r="E283" s="276" t="s">
        <v>9</v>
      </c>
      <c r="F283" s="300">
        <v>658739</v>
      </c>
      <c r="G283" s="300">
        <f t="shared" si="134"/>
        <v>658739</v>
      </c>
      <c r="H283" s="300">
        <f t="shared" si="135"/>
        <v>658739</v>
      </c>
      <c r="I283" s="300">
        <v>0</v>
      </c>
      <c r="J283" s="300">
        <f t="shared" si="136"/>
        <v>658739</v>
      </c>
      <c r="K283" s="276" t="s">
        <v>17</v>
      </c>
      <c r="L283" s="315">
        <f>SUMIF('Allocation Factors'!$B$3:$B$89,'Deferred Income Tax Expense'!K283,'Allocation Factors'!$P$3:$P$89)</f>
        <v>0</v>
      </c>
      <c r="M283" s="300">
        <f t="shared" si="137"/>
        <v>0</v>
      </c>
      <c r="N283" s="300">
        <f t="shared" si="153"/>
        <v>0</v>
      </c>
      <c r="O283" s="300">
        <f t="shared" si="154"/>
        <v>0</v>
      </c>
    </row>
    <row r="284" spans="1:15">
      <c r="A284" s="90" t="s">
        <v>410</v>
      </c>
      <c r="B284" s="276" t="s">
        <v>8</v>
      </c>
      <c r="C284" s="314">
        <v>705.34699999999998</v>
      </c>
      <c r="D284" s="276" t="s">
        <v>8</v>
      </c>
      <c r="E284" s="276" t="s">
        <v>9</v>
      </c>
      <c r="F284" s="300">
        <v>1419468</v>
      </c>
      <c r="G284" s="300">
        <f t="shared" si="134"/>
        <v>1419468</v>
      </c>
      <c r="H284" s="300">
        <f t="shared" si="135"/>
        <v>1419468</v>
      </c>
      <c r="I284" s="300">
        <v>0</v>
      </c>
      <c r="J284" s="300">
        <f t="shared" si="136"/>
        <v>1419468</v>
      </c>
      <c r="K284" s="276" t="s">
        <v>29</v>
      </c>
      <c r="L284" s="315">
        <f>SUMIF('Allocation Factors'!$B$3:$B$89,'Deferred Income Tax Expense'!K284,'Allocation Factors'!$P$3:$P$89)</f>
        <v>0</v>
      </c>
      <c r="M284" s="300">
        <f t="shared" si="137"/>
        <v>0</v>
      </c>
      <c r="N284" s="300">
        <f t="shared" si="153"/>
        <v>0</v>
      </c>
      <c r="O284" s="300">
        <f t="shared" si="154"/>
        <v>0</v>
      </c>
    </row>
    <row r="285" spans="1:15">
      <c r="A285" s="90" t="s">
        <v>411</v>
      </c>
      <c r="B285" s="276" t="s">
        <v>8</v>
      </c>
      <c r="C285" s="314">
        <v>705.34799999999996</v>
      </c>
      <c r="D285" s="276" t="s">
        <v>8</v>
      </c>
      <c r="E285" s="276" t="s">
        <v>9</v>
      </c>
      <c r="F285" s="300">
        <v>7805573</v>
      </c>
      <c r="G285" s="300">
        <f t="shared" si="134"/>
        <v>7805573</v>
      </c>
      <c r="H285" s="300">
        <f t="shared" si="135"/>
        <v>7805573</v>
      </c>
      <c r="I285" s="300">
        <v>0</v>
      </c>
      <c r="J285" s="300">
        <f t="shared" si="136"/>
        <v>7805573</v>
      </c>
      <c r="K285" s="276" t="s">
        <v>30</v>
      </c>
      <c r="L285" s="315">
        <f>SUMIF('Allocation Factors'!$B$3:$B$89,'Deferred Income Tax Expense'!K285,'Allocation Factors'!$P$3:$P$89)</f>
        <v>0</v>
      </c>
      <c r="M285" s="300">
        <f t="shared" si="137"/>
        <v>0</v>
      </c>
      <c r="N285" s="300">
        <f t="shared" si="153"/>
        <v>0</v>
      </c>
      <c r="O285" s="300">
        <f t="shared" si="154"/>
        <v>0</v>
      </c>
    </row>
    <row r="286" spans="1:15">
      <c r="A286" s="90" t="s">
        <v>412</v>
      </c>
      <c r="B286" s="276" t="s">
        <v>8</v>
      </c>
      <c r="C286" s="314">
        <v>705.34900000000005</v>
      </c>
      <c r="D286" s="276" t="s">
        <v>8</v>
      </c>
      <c r="E286" s="276" t="s">
        <v>9</v>
      </c>
      <c r="F286" s="300">
        <v>13478084</v>
      </c>
      <c r="G286" s="300">
        <f t="shared" si="134"/>
        <v>13478084</v>
      </c>
      <c r="H286" s="300">
        <f t="shared" si="135"/>
        <v>13478084</v>
      </c>
      <c r="I286" s="300">
        <v>0</v>
      </c>
      <c r="J286" s="300">
        <f t="shared" si="136"/>
        <v>13478084</v>
      </c>
      <c r="K286" s="276" t="s">
        <v>28</v>
      </c>
      <c r="L286" s="315">
        <f>SUMIF('Allocation Factors'!$B$3:$B$89,'Deferred Income Tax Expense'!K286,'Allocation Factors'!$P$3:$P$89)</f>
        <v>0</v>
      </c>
      <c r="M286" s="300">
        <f t="shared" si="137"/>
        <v>0</v>
      </c>
      <c r="N286" s="300">
        <f t="shared" si="153"/>
        <v>0</v>
      </c>
      <c r="O286" s="300">
        <f t="shared" si="154"/>
        <v>0</v>
      </c>
    </row>
    <row r="287" spans="1:15">
      <c r="A287" s="90" t="s">
        <v>413</v>
      </c>
      <c r="B287" s="276" t="s">
        <v>8</v>
      </c>
      <c r="C287" s="314">
        <v>705.35</v>
      </c>
      <c r="D287" s="276" t="s">
        <v>720</v>
      </c>
      <c r="E287" s="276" t="s">
        <v>9</v>
      </c>
      <c r="F287" s="300">
        <v>1953974</v>
      </c>
      <c r="G287" s="300">
        <f t="shared" si="134"/>
        <v>1953974</v>
      </c>
      <c r="H287" s="300">
        <f t="shared" si="135"/>
        <v>1953974</v>
      </c>
      <c r="I287" s="300">
        <f>+'41110'!G22</f>
        <v>-1953974</v>
      </c>
      <c r="J287" s="300">
        <f t="shared" si="136"/>
        <v>0</v>
      </c>
      <c r="K287" s="276" t="s">
        <v>26</v>
      </c>
      <c r="L287" s="315">
        <f>SUMIF('Allocation Factors'!$B$3:$B$89,'Deferred Income Tax Expense'!K287,'Allocation Factors'!$P$3:$P$89)</f>
        <v>1</v>
      </c>
      <c r="M287" s="300">
        <f t="shared" si="137"/>
        <v>1953974</v>
      </c>
      <c r="N287" s="300">
        <f t="shared" si="153"/>
        <v>-1953974</v>
      </c>
      <c r="O287" s="300">
        <f t="shared" si="154"/>
        <v>0</v>
      </c>
    </row>
    <row r="288" spans="1:15">
      <c r="A288" s="90" t="s">
        <v>414</v>
      </c>
      <c r="B288" s="276" t="s">
        <v>8</v>
      </c>
      <c r="C288" s="314">
        <v>705.351</v>
      </c>
      <c r="D288" s="276" t="s">
        <v>8</v>
      </c>
      <c r="E288" s="276" t="s">
        <v>9</v>
      </c>
      <c r="F288" s="300">
        <v>4300031</v>
      </c>
      <c r="G288" s="300">
        <f t="shared" si="134"/>
        <v>4300031</v>
      </c>
      <c r="H288" s="300">
        <f t="shared" si="135"/>
        <v>4300031</v>
      </c>
      <c r="I288" s="300">
        <v>0</v>
      </c>
      <c r="J288" s="300">
        <f t="shared" si="136"/>
        <v>4300031</v>
      </c>
      <c r="K288" s="276" t="s">
        <v>32</v>
      </c>
      <c r="L288" s="315">
        <f>SUMIF('Allocation Factors'!$B$3:$B$89,'Deferred Income Tax Expense'!K288,'Allocation Factors'!$P$3:$P$89)</f>
        <v>0</v>
      </c>
      <c r="M288" s="300">
        <f t="shared" ref="M288:M290" si="160">ROUND(H288*L288,0)</f>
        <v>0</v>
      </c>
      <c r="N288" s="300">
        <f t="shared" ref="N288:N290" si="161">ROUND(I288*L288,0)</f>
        <v>0</v>
      </c>
      <c r="O288" s="300">
        <f t="shared" ref="O288:O290" si="162">SUM(M288:N288)</f>
        <v>0</v>
      </c>
    </row>
    <row r="289" spans="1:16">
      <c r="A289" s="90" t="s">
        <v>359</v>
      </c>
      <c r="B289" s="276" t="s">
        <v>8</v>
      </c>
      <c r="C289" s="314">
        <v>105.116</v>
      </c>
      <c r="D289" s="276" t="s">
        <v>8</v>
      </c>
      <c r="E289" s="276" t="s">
        <v>9</v>
      </c>
      <c r="F289" s="300">
        <v>1420</v>
      </c>
      <c r="G289" s="300">
        <f t="shared" si="134"/>
        <v>1420</v>
      </c>
      <c r="H289" s="300">
        <f t="shared" si="135"/>
        <v>1420</v>
      </c>
      <c r="I289" s="300">
        <v>0</v>
      </c>
      <c r="J289" s="300">
        <f t="shared" si="136"/>
        <v>1420</v>
      </c>
      <c r="K289" s="276" t="s">
        <v>160</v>
      </c>
      <c r="L289" s="315">
        <f>SUMIF('Allocation Factors'!$B$3:$B$89,'Deferred Income Tax Expense'!K289,'Allocation Factors'!$P$3:$P$89)</f>
        <v>0.21577192756641544</v>
      </c>
      <c r="M289" s="300">
        <f t="shared" si="160"/>
        <v>306</v>
      </c>
      <c r="N289" s="300">
        <f t="shared" si="161"/>
        <v>0</v>
      </c>
      <c r="O289" s="300">
        <f t="shared" si="162"/>
        <v>306</v>
      </c>
    </row>
    <row r="290" spans="1:16">
      <c r="A290" s="90" t="s">
        <v>421</v>
      </c>
      <c r="B290" s="276" t="s">
        <v>8</v>
      </c>
      <c r="C290" s="314" t="s">
        <v>8</v>
      </c>
      <c r="D290" s="276" t="s">
        <v>720</v>
      </c>
      <c r="E290" s="276" t="s">
        <v>9</v>
      </c>
      <c r="F290" s="300">
        <v>0</v>
      </c>
      <c r="G290" s="300">
        <f t="shared" si="134"/>
        <v>0</v>
      </c>
      <c r="H290" s="300">
        <f t="shared" si="135"/>
        <v>0</v>
      </c>
      <c r="I290" s="300">
        <f>+'41110'!N23</f>
        <v>1412856</v>
      </c>
      <c r="J290" s="300">
        <f t="shared" si="136"/>
        <v>1412856</v>
      </c>
      <c r="K290" s="276" t="s">
        <v>26</v>
      </c>
      <c r="L290" s="315">
        <f>SUMIF('Allocation Factors'!$B$3:$B$89,'Deferred Income Tax Expense'!K290,'Allocation Factors'!$P$3:$P$89)</f>
        <v>1</v>
      </c>
      <c r="M290" s="300">
        <f t="shared" si="160"/>
        <v>0</v>
      </c>
      <c r="N290" s="300">
        <f t="shared" si="161"/>
        <v>1412856</v>
      </c>
      <c r="O290" s="300">
        <f t="shared" si="162"/>
        <v>1412856</v>
      </c>
    </row>
    <row r="291" spans="1:16">
      <c r="A291" s="182" t="s">
        <v>288</v>
      </c>
      <c r="B291" s="183"/>
      <c r="C291" s="319"/>
      <c r="D291" s="215"/>
      <c r="E291" s="161"/>
      <c r="F291" s="186">
        <f>SUBTOTAL(9,F249:F290)</f>
        <v>-126882706.21201348</v>
      </c>
      <c r="G291" s="186">
        <f>SUBTOTAL(9,G249:G290)</f>
        <v>-126882706.21201348</v>
      </c>
      <c r="H291" s="186">
        <f>SUBTOTAL(9,H249:H290)</f>
        <v>-126882706.21201348</v>
      </c>
      <c r="I291" s="186">
        <f>SUBTOTAL(9,I249:I290)</f>
        <v>-5235128</v>
      </c>
      <c r="J291" s="186">
        <f>SUBTOTAL(9,J249:J290)</f>
        <v>-132117834.21201348</v>
      </c>
      <c r="K291" s="439"/>
      <c r="L291" s="161"/>
      <c r="M291" s="186">
        <f>SUBTOTAL(9,M249:M290)</f>
        <v>1054141</v>
      </c>
      <c r="N291" s="186">
        <f>SUBTOTAL(9,N249:N290)</f>
        <v>-5273856</v>
      </c>
      <c r="O291" s="186">
        <f>SUBTOTAL(9,O249:O290)</f>
        <v>-4219715</v>
      </c>
      <c r="P291" s="195"/>
    </row>
    <row r="292" spans="1:16">
      <c r="A292" s="182" t="s">
        <v>289</v>
      </c>
      <c r="B292" s="183"/>
      <c r="C292" s="319"/>
      <c r="D292" s="215"/>
      <c r="E292" s="161"/>
      <c r="F292" s="186">
        <f>SUBTOTAL(9,F3:F291)</f>
        <v>-189237171.21201345</v>
      </c>
      <c r="G292" s="186">
        <f>SUBTOTAL(9,G3:G291)</f>
        <v>-184457343.21201348</v>
      </c>
      <c r="H292" s="186">
        <f>SUBTOTAL(9,H3:H291)</f>
        <v>-184457343.21201348</v>
      </c>
      <c r="I292" s="186">
        <f>SUBTOTAL(9,I3:I291)</f>
        <v>70788290</v>
      </c>
      <c r="J292" s="186">
        <f>SUBTOTAL(9,J3:J291)</f>
        <v>-113669053.21201348</v>
      </c>
      <c r="K292" s="183"/>
      <c r="L292" s="161"/>
      <c r="M292" s="186">
        <f>SUBTOTAL(9,M3:M291)</f>
        <v>-7119817</v>
      </c>
      <c r="N292" s="186">
        <f>SUBTOTAL(9,N3:N291)</f>
        <v>-7879439</v>
      </c>
      <c r="O292" s="186">
        <f>SUBTOTAL(9,O3:O291)</f>
        <v>-14999256</v>
      </c>
    </row>
    <row r="293" spans="1:16">
      <c r="A293" s="188"/>
      <c r="B293" s="159"/>
      <c r="C293" s="159"/>
      <c r="D293" s="159"/>
      <c r="E293" s="159"/>
      <c r="F293" s="160"/>
      <c r="G293" s="160"/>
      <c r="H293" s="160"/>
      <c r="I293" s="160"/>
      <c r="J293" s="160"/>
      <c r="K293" s="160"/>
      <c r="L293" s="160"/>
      <c r="M293" s="160"/>
      <c r="N293" s="160"/>
      <c r="O293" s="160"/>
    </row>
    <row r="294" spans="1:16">
      <c r="A294" s="189"/>
      <c r="B294" s="190"/>
      <c r="C294" s="190"/>
      <c r="D294" s="190"/>
      <c r="E294" s="190"/>
      <c r="F294" s="191"/>
      <c r="G294" s="191"/>
      <c r="H294" s="191"/>
      <c r="I294" s="191"/>
      <c r="J294" s="191"/>
      <c r="K294" s="191"/>
      <c r="L294" s="191"/>
      <c r="M294" s="191"/>
      <c r="N294" s="191"/>
      <c r="O294" s="191"/>
    </row>
    <row r="295" spans="1:16">
      <c r="A295" s="515" t="s">
        <v>308</v>
      </c>
      <c r="B295" s="267">
        <v>285610</v>
      </c>
      <c r="C295" s="348" t="s">
        <v>8</v>
      </c>
      <c r="D295" s="348" t="s">
        <v>8</v>
      </c>
      <c r="E295" s="349" t="s">
        <v>9</v>
      </c>
      <c r="F295" s="299">
        <v>-2935964</v>
      </c>
      <c r="G295" s="421">
        <v>0</v>
      </c>
      <c r="H295" s="300">
        <f>IF(E295="U",F295,0)</f>
        <v>-2935964</v>
      </c>
      <c r="I295" s="299">
        <v>0</v>
      </c>
      <c r="J295" s="299">
        <f>SUM(H295:I295)</f>
        <v>-2935964</v>
      </c>
      <c r="K295" s="296" t="s">
        <v>112</v>
      </c>
      <c r="L295" s="315">
        <f>SUMIF('Allocation Factors'!$B$3:$B$89,'Deferred Income Tax Expense'!K295,'Allocation Factors'!$P$3:$P$89)</f>
        <v>0</v>
      </c>
      <c r="M295" s="299">
        <f>ROUND(H295*L295,0)</f>
        <v>0</v>
      </c>
      <c r="N295" s="299">
        <f>ROUND(I295*L295,0)</f>
        <v>0</v>
      </c>
      <c r="O295" s="299">
        <f t="shared" ref="O295" si="163">SUM(M295:N295)</f>
        <v>0</v>
      </c>
    </row>
    <row r="296" spans="1:16">
      <c r="A296" s="93" t="s">
        <v>309</v>
      </c>
      <c r="B296" s="32">
        <v>285690</v>
      </c>
      <c r="C296" s="350" t="s">
        <v>8</v>
      </c>
      <c r="D296" s="350" t="s">
        <v>8</v>
      </c>
      <c r="E296" s="351" t="s">
        <v>9</v>
      </c>
      <c r="F296" s="301">
        <v>-8022</v>
      </c>
      <c r="G296" s="405">
        <v>0</v>
      </c>
      <c r="H296" s="300">
        <f>IF(E296="U",F296,0)</f>
        <v>-8022</v>
      </c>
      <c r="I296" s="302">
        <v>0</v>
      </c>
      <c r="J296" s="302">
        <f>SUM(H296:I296)</f>
        <v>-8022</v>
      </c>
      <c r="K296" s="317" t="s">
        <v>112</v>
      </c>
      <c r="L296" s="315">
        <f>SUMIF('Allocation Factors'!$B$3:$B$89,'Deferred Income Tax Expense'!K296,'Allocation Factors'!$P$3:$P$89)</f>
        <v>0</v>
      </c>
      <c r="M296" s="302">
        <f>ROUND(H296*L296,0)</f>
        <v>0</v>
      </c>
      <c r="N296" s="302">
        <f>ROUND(I296*L296,0)</f>
        <v>0</v>
      </c>
      <c r="O296" s="302">
        <f t="shared" ref="O296" si="164">SUM(M296:N296)</f>
        <v>0</v>
      </c>
    </row>
    <row r="297" spans="1:16">
      <c r="A297" s="516" t="s">
        <v>288</v>
      </c>
      <c r="B297" s="183"/>
      <c r="C297" s="319"/>
      <c r="D297" s="215"/>
      <c r="E297" s="161"/>
      <c r="F297" s="186">
        <f>SUBTOTAL(9,F295:F296)</f>
        <v>-2943986</v>
      </c>
      <c r="G297" s="186">
        <f t="shared" ref="G297" si="165">SUBTOTAL(9,G295:G296)</f>
        <v>0</v>
      </c>
      <c r="H297" s="186">
        <f t="shared" ref="H297:J297" si="166">SUBTOTAL(9,H295:H296)</f>
        <v>-2943986</v>
      </c>
      <c r="I297" s="186">
        <f t="shared" si="166"/>
        <v>0</v>
      </c>
      <c r="J297" s="186">
        <f t="shared" si="166"/>
        <v>-2943986</v>
      </c>
      <c r="K297" s="183"/>
      <c r="L297" s="161"/>
      <c r="M297" s="186">
        <f t="shared" ref="M297" si="167">SUBTOTAL(9,M295:M296)</f>
        <v>0</v>
      </c>
      <c r="N297" s="186">
        <f t="shared" ref="N297" si="168">SUBTOTAL(9,N295:N296)</f>
        <v>0</v>
      </c>
      <c r="O297" s="186">
        <f>SUBTOTAL(9,O295:O296)</f>
        <v>0</v>
      </c>
    </row>
    <row r="298" spans="1:16">
      <c r="A298" s="181"/>
    </row>
    <row r="299" spans="1:16">
      <c r="A299" s="181"/>
    </row>
    <row r="300" spans="1:16">
      <c r="A300" s="181"/>
    </row>
    <row r="301" spans="1:16">
      <c r="A301" s="181"/>
      <c r="L301" s="400"/>
      <c r="M301" s="400"/>
      <c r="O301" s="195"/>
    </row>
    <row r="302" spans="1:16">
      <c r="A302" s="181"/>
      <c r="L302" s="400"/>
      <c r="M302" s="400"/>
      <c r="O302" s="195"/>
    </row>
    <row r="303" spans="1:16">
      <c r="A303" s="181"/>
      <c r="M303" s="401"/>
    </row>
    <row r="304" spans="1:16">
      <c r="A304" s="181"/>
    </row>
    <row r="305" spans="1:7">
      <c r="A305" s="181"/>
      <c r="F305" s="196"/>
      <c r="G305" s="196"/>
    </row>
    <row r="306" spans="1:7">
      <c r="A306" s="181"/>
      <c r="F306" s="196"/>
      <c r="G306" s="196"/>
    </row>
    <row r="307" spans="1:7">
      <c r="A307" s="181"/>
      <c r="F307" s="196"/>
      <c r="G307" s="196"/>
    </row>
    <row r="308" spans="1:7">
      <c r="A308" s="181"/>
      <c r="F308" s="196"/>
      <c r="G308" s="196"/>
    </row>
    <row r="309" spans="1:7">
      <c r="A309" s="181"/>
      <c r="F309" s="196"/>
      <c r="G309" s="196"/>
    </row>
    <row r="310" spans="1:7">
      <c r="A310" s="181"/>
      <c r="F310" s="196"/>
      <c r="G310" s="196"/>
    </row>
    <row r="311" spans="1:7">
      <c r="A311" s="181"/>
      <c r="F311" s="196"/>
      <c r="G311" s="196"/>
    </row>
    <row r="312" spans="1:7">
      <c r="A312" s="181"/>
      <c r="F312" s="196"/>
      <c r="G312" s="196"/>
    </row>
    <row r="313" spans="1:7">
      <c r="A313" s="181"/>
      <c r="F313" s="196"/>
      <c r="G313" s="196"/>
    </row>
    <row r="314" spans="1:7">
      <c r="A314" s="181"/>
      <c r="F314" s="196"/>
      <c r="G314" s="196"/>
    </row>
    <row r="315" spans="1:7">
      <c r="A315" s="181"/>
      <c r="F315" s="196"/>
      <c r="G315" s="196"/>
    </row>
    <row r="316" spans="1:7">
      <c r="A316" s="181"/>
      <c r="F316" s="196"/>
      <c r="G316" s="196"/>
    </row>
    <row r="317" spans="1:7">
      <c r="A317" s="181"/>
    </row>
    <row r="318" spans="1:7">
      <c r="A318" s="181"/>
    </row>
    <row r="319" spans="1:7">
      <c r="A319" s="181"/>
    </row>
  </sheetData>
  <autoFilter ref="A2:O291"/>
  <sortState ref="A296:O303">
    <sortCondition ref="K296:K303"/>
  </sortState>
  <pageMargins left="0.75" right="0.75" top="1" bottom="0.75" header="0.5" footer="0.5"/>
  <pageSetup paperSize="3" scale="56" fitToHeight="100" orientation="landscape" r:id="rId1"/>
  <headerFooter>
    <oddHeader>&amp;L&amp;"Arial,Bold"&amp;10PacifiCorp 
Washington - General Rate Case
Twelve Months Ending December 31, 2021</oddHeader>
    <oddFooter>&amp;L&amp;"Arial,Bold"&amp;10DEFERRED INCOME TAX EXPENSE&amp;R&amp;"Arial,Bold"&amp;10Page &amp;P of &amp;N</oddFooter>
  </headerFooter>
  <ignoredErrors>
    <ignoredError sqref="N37:O37 N45:O45 N94:O94 O97 O131 O135:O136 O139 N151:O151 N172:O172 N176:O176 N183:O183 N201:O201 N203:O203 N209:O209 D212 N219:O219 N222:O2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7"/>
  <sheetViews>
    <sheetView zoomScale="80" zoomScaleNormal="80" zoomScaleSheetLayoutView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/>
    </sheetView>
  </sheetViews>
  <sheetFormatPr defaultColWidth="9.140625" defaultRowHeight="12.75"/>
  <cols>
    <col min="1" max="1" width="10.7109375" style="203" customWidth="1"/>
    <col min="2" max="2" width="10.7109375" style="204" customWidth="1"/>
    <col min="3" max="3" width="65.7109375" style="68" customWidth="1"/>
    <col min="4" max="4" width="15.7109375" style="205" customWidth="1"/>
    <col min="5" max="6" width="15.7109375" style="204" customWidth="1"/>
    <col min="7" max="18" width="20.5703125" style="204" customWidth="1"/>
    <col min="19" max="20" width="20.7109375" style="198" customWidth="1"/>
    <col min="21" max="24" width="20.7109375" style="200" customWidth="1"/>
    <col min="25" max="25" width="20.7109375" style="198" customWidth="1"/>
    <col min="26" max="26" width="20.7109375" style="200" customWidth="1"/>
    <col min="27" max="28" width="20.7109375" style="68" customWidth="1"/>
    <col min="29" max="30" width="20.7109375" style="209" customWidth="1"/>
    <col min="31" max="31" width="20.7109375" style="68" customWidth="1"/>
    <col min="32" max="16384" width="9.140625" style="68"/>
  </cols>
  <sheetData>
    <row r="1" spans="1:31" s="197" customFormat="1" ht="13.5" customHeight="1">
      <c r="A1" s="254" t="s">
        <v>253</v>
      </c>
      <c r="B1" s="255"/>
      <c r="C1" s="252" t="s">
        <v>254</v>
      </c>
      <c r="D1" s="253"/>
      <c r="E1" s="257" t="s">
        <v>278</v>
      </c>
      <c r="F1" s="259" t="s">
        <v>1</v>
      </c>
      <c r="G1" s="308" t="s">
        <v>303</v>
      </c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58"/>
      <c r="T1" s="214"/>
      <c r="U1" s="261" t="s">
        <v>330</v>
      </c>
      <c r="V1" s="416" t="s">
        <v>26</v>
      </c>
      <c r="W1" s="440"/>
      <c r="X1" s="262" t="s">
        <v>2</v>
      </c>
      <c r="Y1" s="263"/>
      <c r="Z1" s="264"/>
      <c r="AA1" s="225" t="s">
        <v>321</v>
      </c>
      <c r="AB1" s="226"/>
      <c r="AC1" s="226"/>
      <c r="AD1" s="226"/>
      <c r="AE1" s="227"/>
    </row>
    <row r="2" spans="1:31">
      <c r="A2" s="210" t="s">
        <v>4</v>
      </c>
      <c r="B2" s="211" t="s">
        <v>72</v>
      </c>
      <c r="C2" s="211" t="s">
        <v>3</v>
      </c>
      <c r="D2" s="256" t="s">
        <v>5</v>
      </c>
      <c r="E2" s="258" t="s">
        <v>5</v>
      </c>
      <c r="F2" s="260" t="s">
        <v>332</v>
      </c>
      <c r="G2" s="395" t="s">
        <v>387</v>
      </c>
      <c r="H2" s="396">
        <v>43312</v>
      </c>
      <c r="I2" s="396">
        <v>43343</v>
      </c>
      <c r="J2" s="396" t="s">
        <v>396</v>
      </c>
      <c r="K2" s="396">
        <v>43404</v>
      </c>
      <c r="L2" s="396">
        <v>43434</v>
      </c>
      <c r="M2" s="395" t="s">
        <v>397</v>
      </c>
      <c r="N2" s="396" t="s">
        <v>435</v>
      </c>
      <c r="O2" s="396">
        <v>43524</v>
      </c>
      <c r="P2" s="396" t="s">
        <v>436</v>
      </c>
      <c r="Q2" s="396">
        <v>43585</v>
      </c>
      <c r="R2" s="396">
        <v>43616</v>
      </c>
      <c r="S2" s="395" t="s">
        <v>437</v>
      </c>
      <c r="T2" s="365" t="s">
        <v>322</v>
      </c>
      <c r="U2" s="89" t="s">
        <v>336</v>
      </c>
      <c r="V2" s="417" t="s">
        <v>423</v>
      </c>
      <c r="W2" s="441" t="s">
        <v>654</v>
      </c>
      <c r="X2" s="265" t="s">
        <v>90</v>
      </c>
      <c r="Y2" s="266" t="s">
        <v>278</v>
      </c>
      <c r="Z2" s="265" t="s">
        <v>87</v>
      </c>
      <c r="AA2" s="221" t="s">
        <v>417</v>
      </c>
      <c r="AB2" s="222" t="s">
        <v>89</v>
      </c>
      <c r="AC2" s="220" t="s">
        <v>90</v>
      </c>
      <c r="AD2" s="220" t="s">
        <v>278</v>
      </c>
      <c r="AE2" s="220" t="s">
        <v>88</v>
      </c>
    </row>
    <row r="3" spans="1:31" s="201" customFormat="1">
      <c r="A3" s="29">
        <v>287970</v>
      </c>
      <c r="B3" s="29">
        <v>190</v>
      </c>
      <c r="C3" s="90" t="s">
        <v>352</v>
      </c>
      <c r="D3" s="273">
        <v>415.815</v>
      </c>
      <c r="E3" s="311" t="s">
        <v>8</v>
      </c>
      <c r="F3" s="276" t="s">
        <v>9</v>
      </c>
      <c r="G3" s="229">
        <v>-56280</v>
      </c>
      <c r="H3" s="229">
        <v>-59741</v>
      </c>
      <c r="I3" s="229">
        <v>-50828</v>
      </c>
      <c r="J3" s="229">
        <v>-51182</v>
      </c>
      <c r="K3" s="229">
        <v>-54528</v>
      </c>
      <c r="L3" s="229">
        <v>-123</v>
      </c>
      <c r="M3" s="229">
        <v>0</v>
      </c>
      <c r="N3" s="229">
        <v>0</v>
      </c>
      <c r="O3" s="229">
        <v>0</v>
      </c>
      <c r="P3" s="229">
        <v>0</v>
      </c>
      <c r="Q3" s="229">
        <v>0</v>
      </c>
      <c r="R3" s="229">
        <v>0</v>
      </c>
      <c r="S3" s="229">
        <v>0</v>
      </c>
      <c r="T3" s="229">
        <f t="shared" ref="T3:T34" si="0">ROUND(((G3*1)+(SUM(H3:R3)*2)+(S3*1))/24,0)</f>
        <v>-20379</v>
      </c>
      <c r="U3" s="229">
        <f>+T3</f>
        <v>-20379</v>
      </c>
      <c r="V3" s="356">
        <f>+U3</f>
        <v>-20379</v>
      </c>
      <c r="W3" s="356">
        <v>0</v>
      </c>
      <c r="X3" s="356">
        <f t="shared" ref="X3:X34" si="1">IF(F3="U",V3,0)</f>
        <v>-20379</v>
      </c>
      <c r="Y3" s="229">
        <v>0</v>
      </c>
      <c r="Z3" s="229">
        <f t="shared" ref="Z3:Z34" si="2">SUM(X3:Y3)</f>
        <v>-20379</v>
      </c>
      <c r="AA3" s="276" t="s">
        <v>10</v>
      </c>
      <c r="AB3" s="270">
        <f>SUMIF('Allocation Factors'!$B$3:$B$89,'Accumulated Deferred Income Tax'!AA3,'Allocation Factors'!$P$3:$P$89)</f>
        <v>6.7017620954721469E-2</v>
      </c>
      <c r="AC3" s="271">
        <f t="shared" ref="AC3:AC34" si="3">ROUND(X3*AB3,0)</f>
        <v>-1366</v>
      </c>
      <c r="AD3" s="271">
        <f t="shared" ref="AD3:AD34" si="4">ROUND(Y3*AB3,0)</f>
        <v>0</v>
      </c>
      <c r="AE3" s="30">
        <f t="shared" ref="AE3:AE34" si="5">SUM(AC3:AD3)</f>
        <v>-1366</v>
      </c>
    </row>
    <row r="4" spans="1:31" s="201" customFormat="1">
      <c r="A4" s="29">
        <v>287051</v>
      </c>
      <c r="B4" s="29">
        <v>190</v>
      </c>
      <c r="C4" s="44" t="s">
        <v>389</v>
      </c>
      <c r="D4" s="272">
        <v>705.34</v>
      </c>
      <c r="E4" s="311" t="s">
        <v>8</v>
      </c>
      <c r="F4" s="29" t="s">
        <v>9</v>
      </c>
      <c r="G4" s="229">
        <v>517485</v>
      </c>
      <c r="H4" s="229">
        <v>604296</v>
      </c>
      <c r="I4" s="229">
        <v>691279</v>
      </c>
      <c r="J4" s="229">
        <v>778416</v>
      </c>
      <c r="K4" s="229">
        <v>865754</v>
      </c>
      <c r="L4" s="229">
        <v>953343</v>
      </c>
      <c r="M4" s="229">
        <v>786756</v>
      </c>
      <c r="N4" s="229">
        <v>853338</v>
      </c>
      <c r="O4" s="229">
        <v>920082</v>
      </c>
      <c r="P4" s="229">
        <v>986920</v>
      </c>
      <c r="Q4" s="229">
        <v>1053896</v>
      </c>
      <c r="R4" s="229">
        <v>1120994</v>
      </c>
      <c r="S4" s="229">
        <v>1188200</v>
      </c>
      <c r="T4" s="229">
        <f t="shared" si="0"/>
        <v>872326</v>
      </c>
      <c r="U4" s="229">
        <f>+T4</f>
        <v>872326</v>
      </c>
      <c r="V4" s="356">
        <f>+U4</f>
        <v>872326</v>
      </c>
      <c r="W4" s="356">
        <v>0</v>
      </c>
      <c r="X4" s="356">
        <f t="shared" si="1"/>
        <v>872326</v>
      </c>
      <c r="Y4" s="229">
        <v>0</v>
      </c>
      <c r="Z4" s="229">
        <f t="shared" si="2"/>
        <v>872326</v>
      </c>
      <c r="AA4" s="276" t="s">
        <v>15</v>
      </c>
      <c r="AB4" s="270">
        <f>SUMIF('Allocation Factors'!$B$3:$B$89,'Accumulated Deferred Income Tax'!AA4,'Allocation Factors'!$P$3:$P$89)</f>
        <v>0</v>
      </c>
      <c r="AC4" s="271">
        <f t="shared" si="3"/>
        <v>0</v>
      </c>
      <c r="AD4" s="271">
        <f t="shared" si="4"/>
        <v>0</v>
      </c>
      <c r="AE4" s="30">
        <f t="shared" si="5"/>
        <v>0</v>
      </c>
    </row>
    <row r="5" spans="1:31" s="201" customFormat="1">
      <c r="A5" s="29">
        <v>287052</v>
      </c>
      <c r="B5" s="29">
        <v>190</v>
      </c>
      <c r="C5" s="44" t="s">
        <v>390</v>
      </c>
      <c r="D5" s="272">
        <v>705.34100000000001</v>
      </c>
      <c r="E5" s="311" t="s">
        <v>8</v>
      </c>
      <c r="F5" s="29" t="s">
        <v>9</v>
      </c>
      <c r="G5" s="229">
        <v>523765</v>
      </c>
      <c r="H5" s="229">
        <v>645805</v>
      </c>
      <c r="I5" s="229">
        <v>767846</v>
      </c>
      <c r="J5" s="229">
        <v>889887</v>
      </c>
      <c r="K5" s="229">
        <v>1011927</v>
      </c>
      <c r="L5" s="229">
        <v>1133968</v>
      </c>
      <c r="M5" s="229">
        <v>136624</v>
      </c>
      <c r="N5" s="229">
        <v>165382</v>
      </c>
      <c r="O5" s="229">
        <v>194141</v>
      </c>
      <c r="P5" s="229">
        <v>222900</v>
      </c>
      <c r="Q5" s="229">
        <v>251658</v>
      </c>
      <c r="R5" s="229">
        <v>280417</v>
      </c>
      <c r="S5" s="229">
        <v>268733</v>
      </c>
      <c r="T5" s="229">
        <f t="shared" si="0"/>
        <v>508067</v>
      </c>
      <c r="U5" s="229">
        <f t="shared" ref="U5:U36" si="6">+T5</f>
        <v>508067</v>
      </c>
      <c r="V5" s="356">
        <f t="shared" ref="V5:V68" si="7">+U5</f>
        <v>508067</v>
      </c>
      <c r="W5" s="356">
        <v>0</v>
      </c>
      <c r="X5" s="356">
        <f t="shared" si="1"/>
        <v>508067</v>
      </c>
      <c r="Y5" s="229">
        <v>0</v>
      </c>
      <c r="Z5" s="229">
        <f t="shared" si="2"/>
        <v>508067</v>
      </c>
      <c r="AA5" s="276" t="s">
        <v>15</v>
      </c>
      <c r="AB5" s="270">
        <f>SUMIF('Allocation Factors'!$B$3:$B$89,'Accumulated Deferred Income Tax'!AA5,'Allocation Factors'!$P$3:$P$89)</f>
        <v>0</v>
      </c>
      <c r="AC5" s="271">
        <f t="shared" si="3"/>
        <v>0</v>
      </c>
      <c r="AD5" s="271">
        <f t="shared" si="4"/>
        <v>0</v>
      </c>
      <c r="AE5" s="30">
        <f t="shared" si="5"/>
        <v>0</v>
      </c>
    </row>
    <row r="6" spans="1:31" s="201" customFormat="1">
      <c r="A6" s="29">
        <v>287053</v>
      </c>
      <c r="B6" s="29">
        <v>190</v>
      </c>
      <c r="C6" s="44" t="s">
        <v>391</v>
      </c>
      <c r="D6" s="272">
        <v>705.34199999999998</v>
      </c>
      <c r="E6" s="311" t="s">
        <v>8</v>
      </c>
      <c r="F6" s="29" t="s">
        <v>9</v>
      </c>
      <c r="G6" s="229">
        <v>6846213</v>
      </c>
      <c r="H6" s="229">
        <v>8012745</v>
      </c>
      <c r="I6" s="229">
        <v>9186685</v>
      </c>
      <c r="J6" s="229">
        <v>10368081</v>
      </c>
      <c r="K6" s="229">
        <v>11556980</v>
      </c>
      <c r="L6" s="229">
        <v>12753430</v>
      </c>
      <c r="M6" s="229">
        <v>11938085</v>
      </c>
      <c r="N6" s="229">
        <v>12229342</v>
      </c>
      <c r="O6" s="229">
        <v>12240265</v>
      </c>
      <c r="P6" s="229">
        <v>12254340</v>
      </c>
      <c r="Q6" s="229">
        <v>12271598</v>
      </c>
      <c r="R6" s="229">
        <v>12292067</v>
      </c>
      <c r="S6" s="229">
        <v>12315778</v>
      </c>
      <c r="T6" s="229">
        <f t="shared" si="0"/>
        <v>11223718</v>
      </c>
      <c r="U6" s="229">
        <f t="shared" si="6"/>
        <v>11223718</v>
      </c>
      <c r="V6" s="356">
        <f t="shared" si="7"/>
        <v>11223718</v>
      </c>
      <c r="W6" s="356">
        <v>0</v>
      </c>
      <c r="X6" s="356">
        <f t="shared" si="1"/>
        <v>11223718</v>
      </c>
      <c r="Y6" s="229">
        <v>0</v>
      </c>
      <c r="Z6" s="229">
        <f t="shared" si="2"/>
        <v>11223718</v>
      </c>
      <c r="AA6" s="276" t="s">
        <v>15</v>
      </c>
      <c r="AB6" s="270">
        <f>SUMIF('Allocation Factors'!$B$3:$B$89,'Accumulated Deferred Income Tax'!AA6,'Allocation Factors'!$P$3:$P$89)</f>
        <v>0</v>
      </c>
      <c r="AC6" s="271">
        <f t="shared" si="3"/>
        <v>0</v>
      </c>
      <c r="AD6" s="271">
        <f t="shared" si="4"/>
        <v>0</v>
      </c>
      <c r="AE6" s="30">
        <f t="shared" si="5"/>
        <v>0</v>
      </c>
    </row>
    <row r="7" spans="1:31" s="201" customFormat="1">
      <c r="A7" s="29">
        <v>287054</v>
      </c>
      <c r="B7" s="29">
        <v>190</v>
      </c>
      <c r="C7" s="44" t="s">
        <v>392</v>
      </c>
      <c r="D7" s="272">
        <v>705.34299999999996</v>
      </c>
      <c r="E7" s="311" t="s">
        <v>8</v>
      </c>
      <c r="F7" s="29" t="s">
        <v>9</v>
      </c>
      <c r="G7" s="229">
        <v>7980371</v>
      </c>
      <c r="H7" s="229">
        <v>8070140</v>
      </c>
      <c r="I7" s="229">
        <v>8160216</v>
      </c>
      <c r="J7" s="229">
        <v>8250599</v>
      </c>
      <c r="K7" s="229">
        <v>8341289</v>
      </c>
      <c r="L7" s="229">
        <v>8432289</v>
      </c>
      <c r="M7" s="229">
        <v>129816</v>
      </c>
      <c r="N7" s="229">
        <v>230629</v>
      </c>
      <c r="O7" s="229">
        <v>331784</v>
      </c>
      <c r="P7" s="229">
        <v>433285</v>
      </c>
      <c r="Q7" s="229">
        <v>535244</v>
      </c>
      <c r="R7" s="229">
        <v>637574</v>
      </c>
      <c r="S7" s="229">
        <v>740278</v>
      </c>
      <c r="T7" s="229">
        <f t="shared" si="0"/>
        <v>3992766</v>
      </c>
      <c r="U7" s="229">
        <f t="shared" si="6"/>
        <v>3992766</v>
      </c>
      <c r="V7" s="356">
        <f t="shared" si="7"/>
        <v>3992766</v>
      </c>
      <c r="W7" s="356">
        <v>0</v>
      </c>
      <c r="X7" s="356">
        <f t="shared" si="1"/>
        <v>3992766</v>
      </c>
      <c r="Y7" s="229">
        <v>0</v>
      </c>
      <c r="Z7" s="229">
        <f t="shared" si="2"/>
        <v>3992766</v>
      </c>
      <c r="AA7" s="276" t="s">
        <v>15</v>
      </c>
      <c r="AB7" s="270">
        <f>SUMIF('Allocation Factors'!$B$3:$B$89,'Accumulated Deferred Income Tax'!AA7,'Allocation Factors'!$P$3:$P$89)</f>
        <v>0</v>
      </c>
      <c r="AC7" s="271">
        <f t="shared" si="3"/>
        <v>0</v>
      </c>
      <c r="AD7" s="271">
        <f t="shared" si="4"/>
        <v>0</v>
      </c>
      <c r="AE7" s="30">
        <f t="shared" si="5"/>
        <v>0</v>
      </c>
    </row>
    <row r="8" spans="1:31" s="201" customFormat="1">
      <c r="A8" s="29">
        <v>287055</v>
      </c>
      <c r="B8" s="29">
        <v>190</v>
      </c>
      <c r="C8" s="44" t="s">
        <v>393</v>
      </c>
      <c r="D8" s="272">
        <v>705.34400000000005</v>
      </c>
      <c r="E8" s="311" t="s">
        <v>8</v>
      </c>
      <c r="F8" s="29" t="s">
        <v>9</v>
      </c>
      <c r="G8" s="229">
        <v>2113105</v>
      </c>
      <c r="H8" s="229">
        <v>2467130</v>
      </c>
      <c r="I8" s="229">
        <v>2821684</v>
      </c>
      <c r="J8" s="229">
        <v>3176766</v>
      </c>
      <c r="K8" s="229">
        <v>3532378</v>
      </c>
      <c r="L8" s="229">
        <v>3888520</v>
      </c>
      <c r="M8" s="229">
        <v>2090530</v>
      </c>
      <c r="N8" s="229">
        <v>2099554</v>
      </c>
      <c r="O8" s="229">
        <v>2108617</v>
      </c>
      <c r="P8" s="229">
        <v>2117719</v>
      </c>
      <c r="Q8" s="229">
        <v>2127337</v>
      </c>
      <c r="R8" s="229">
        <v>2136999</v>
      </c>
      <c r="S8" s="229">
        <v>2146705</v>
      </c>
      <c r="T8" s="229">
        <f t="shared" si="0"/>
        <v>2558095</v>
      </c>
      <c r="U8" s="229">
        <f t="shared" si="6"/>
        <v>2558095</v>
      </c>
      <c r="V8" s="356">
        <f t="shared" si="7"/>
        <v>2558095</v>
      </c>
      <c r="W8" s="356">
        <v>0</v>
      </c>
      <c r="X8" s="356">
        <f t="shared" si="1"/>
        <v>2558095</v>
      </c>
      <c r="Y8" s="229">
        <v>0</v>
      </c>
      <c r="Z8" s="229">
        <f t="shared" si="2"/>
        <v>2558095</v>
      </c>
      <c r="AA8" s="276" t="s">
        <v>15</v>
      </c>
      <c r="AB8" s="270">
        <f>SUMIF('Allocation Factors'!$B$3:$B$89,'Accumulated Deferred Income Tax'!AA8,'Allocation Factors'!$P$3:$P$89)</f>
        <v>0</v>
      </c>
      <c r="AC8" s="271">
        <f t="shared" si="3"/>
        <v>0</v>
      </c>
      <c r="AD8" s="271">
        <f t="shared" si="4"/>
        <v>0</v>
      </c>
      <c r="AE8" s="30">
        <f t="shared" si="5"/>
        <v>0</v>
      </c>
    </row>
    <row r="9" spans="1:31" s="201" customFormat="1">
      <c r="A9" s="29">
        <v>287056</v>
      </c>
      <c r="B9" s="29">
        <v>190</v>
      </c>
      <c r="C9" s="44" t="s">
        <v>394</v>
      </c>
      <c r="D9" s="272">
        <v>705.34500000000003</v>
      </c>
      <c r="E9" s="311" t="s">
        <v>8</v>
      </c>
      <c r="F9" s="29" t="s">
        <v>9</v>
      </c>
      <c r="G9" s="229">
        <v>3683772</v>
      </c>
      <c r="H9" s="229">
        <v>3840948</v>
      </c>
      <c r="I9" s="229">
        <v>3998469</v>
      </c>
      <c r="J9" s="229">
        <v>4156334</v>
      </c>
      <c r="K9" s="229">
        <v>4314546</v>
      </c>
      <c r="L9" s="229">
        <v>4473105</v>
      </c>
      <c r="M9" s="229">
        <v>1721600</v>
      </c>
      <c r="N9" s="229">
        <v>1598931</v>
      </c>
      <c r="O9" s="229">
        <v>1583473</v>
      </c>
      <c r="P9" s="229">
        <v>1352511</v>
      </c>
      <c r="Q9" s="229">
        <v>1512204</v>
      </c>
      <c r="R9" s="229">
        <v>1410320</v>
      </c>
      <c r="S9" s="229">
        <v>1308550</v>
      </c>
      <c r="T9" s="229">
        <f t="shared" si="0"/>
        <v>2704884</v>
      </c>
      <c r="U9" s="229">
        <f t="shared" si="6"/>
        <v>2704884</v>
      </c>
      <c r="V9" s="356">
        <f t="shared" si="7"/>
        <v>2704884</v>
      </c>
      <c r="W9" s="356">
        <v>0</v>
      </c>
      <c r="X9" s="356">
        <f t="shared" si="1"/>
        <v>2704884</v>
      </c>
      <c r="Y9" s="229">
        <v>0</v>
      </c>
      <c r="Z9" s="229">
        <f t="shared" si="2"/>
        <v>2704884</v>
      </c>
      <c r="AA9" s="276" t="s">
        <v>15</v>
      </c>
      <c r="AB9" s="270">
        <f>SUMIF('Allocation Factors'!$B$3:$B$89,'Accumulated Deferred Income Tax'!AA9,'Allocation Factors'!$P$3:$P$89)</f>
        <v>0</v>
      </c>
      <c r="AC9" s="271">
        <f t="shared" si="3"/>
        <v>0</v>
      </c>
      <c r="AD9" s="271">
        <f t="shared" si="4"/>
        <v>0</v>
      </c>
      <c r="AE9" s="30">
        <f t="shared" si="5"/>
        <v>0</v>
      </c>
    </row>
    <row r="10" spans="1:31" s="201" customFormat="1">
      <c r="A10" s="29">
        <v>287061</v>
      </c>
      <c r="B10" s="29">
        <v>190</v>
      </c>
      <c r="C10" s="44" t="s">
        <v>565</v>
      </c>
      <c r="D10" s="272">
        <v>705.346</v>
      </c>
      <c r="E10" s="311" t="s">
        <v>8</v>
      </c>
      <c r="F10" s="29" t="s">
        <v>9</v>
      </c>
      <c r="G10" s="229">
        <v>0</v>
      </c>
      <c r="H10" s="229">
        <v>0</v>
      </c>
      <c r="I10" s="229">
        <v>0</v>
      </c>
      <c r="J10" s="229">
        <v>0</v>
      </c>
      <c r="K10" s="229">
        <v>0</v>
      </c>
      <c r="L10" s="229">
        <v>0</v>
      </c>
      <c r="M10" s="229">
        <v>217738</v>
      </c>
      <c r="N10" s="229">
        <v>236965</v>
      </c>
      <c r="O10" s="229">
        <v>250134</v>
      </c>
      <c r="P10" s="229">
        <v>264574</v>
      </c>
      <c r="Q10" s="229">
        <v>274575</v>
      </c>
      <c r="R10" s="229">
        <v>288962</v>
      </c>
      <c r="S10" s="229">
        <v>319312</v>
      </c>
      <c r="T10" s="229">
        <f t="shared" si="0"/>
        <v>141050</v>
      </c>
      <c r="U10" s="229">
        <f t="shared" si="6"/>
        <v>141050</v>
      </c>
      <c r="V10" s="356">
        <f t="shared" si="7"/>
        <v>141050</v>
      </c>
      <c r="W10" s="356">
        <v>0</v>
      </c>
      <c r="X10" s="356">
        <f t="shared" si="1"/>
        <v>141050</v>
      </c>
      <c r="Y10" s="229">
        <v>0</v>
      </c>
      <c r="Z10" s="229">
        <f t="shared" si="2"/>
        <v>141050</v>
      </c>
      <c r="AA10" s="276" t="s">
        <v>17</v>
      </c>
      <c r="AB10" s="270">
        <f>SUMIF('Allocation Factors'!$B$3:$B$89,'Accumulated Deferred Income Tax'!AA10,'Allocation Factors'!$P$3:$P$89)</f>
        <v>0</v>
      </c>
      <c r="AC10" s="271">
        <f t="shared" si="3"/>
        <v>0</v>
      </c>
      <c r="AD10" s="271">
        <f t="shared" si="4"/>
        <v>0</v>
      </c>
      <c r="AE10" s="30">
        <f t="shared" si="5"/>
        <v>0</v>
      </c>
    </row>
    <row r="11" spans="1:31" s="201" customFormat="1">
      <c r="A11" s="29">
        <v>287062</v>
      </c>
      <c r="B11" s="29">
        <v>190</v>
      </c>
      <c r="C11" s="44" t="s">
        <v>566</v>
      </c>
      <c r="D11" s="272">
        <v>705.34699999999998</v>
      </c>
      <c r="E11" s="311" t="s">
        <v>8</v>
      </c>
      <c r="F11" s="29" t="s">
        <v>9</v>
      </c>
      <c r="G11" s="229">
        <v>0</v>
      </c>
      <c r="H11" s="229">
        <v>0</v>
      </c>
      <c r="I11" s="229">
        <v>0</v>
      </c>
      <c r="J11" s="229">
        <v>0</v>
      </c>
      <c r="K11" s="229">
        <v>0</v>
      </c>
      <c r="L11" s="229">
        <v>0</v>
      </c>
      <c r="M11" s="229">
        <v>638875</v>
      </c>
      <c r="N11" s="229">
        <v>693977</v>
      </c>
      <c r="O11" s="229">
        <v>731719</v>
      </c>
      <c r="P11" s="229">
        <v>693890</v>
      </c>
      <c r="Q11" s="229">
        <v>705638</v>
      </c>
      <c r="R11" s="229">
        <v>722537</v>
      </c>
      <c r="S11" s="229">
        <v>762147</v>
      </c>
      <c r="T11" s="229">
        <f t="shared" si="0"/>
        <v>380642</v>
      </c>
      <c r="U11" s="229">
        <f t="shared" si="6"/>
        <v>380642</v>
      </c>
      <c r="V11" s="356">
        <f t="shared" si="7"/>
        <v>380642</v>
      </c>
      <c r="W11" s="356">
        <v>0</v>
      </c>
      <c r="X11" s="356">
        <f t="shared" si="1"/>
        <v>380642</v>
      </c>
      <c r="Y11" s="229">
        <v>0</v>
      </c>
      <c r="Z11" s="229">
        <f t="shared" si="2"/>
        <v>380642</v>
      </c>
      <c r="AA11" s="276" t="s">
        <v>29</v>
      </c>
      <c r="AB11" s="270">
        <f>SUMIF('Allocation Factors'!$B$3:$B$89,'Accumulated Deferred Income Tax'!AA11,'Allocation Factors'!$P$3:$P$89)</f>
        <v>0</v>
      </c>
      <c r="AC11" s="271">
        <f t="shared" si="3"/>
        <v>0</v>
      </c>
      <c r="AD11" s="271">
        <f t="shared" si="4"/>
        <v>0</v>
      </c>
      <c r="AE11" s="30">
        <f t="shared" si="5"/>
        <v>0</v>
      </c>
    </row>
    <row r="12" spans="1:31" s="201" customFormat="1">
      <c r="A12" s="29">
        <v>287063</v>
      </c>
      <c r="B12" s="29">
        <v>190</v>
      </c>
      <c r="C12" s="44" t="s">
        <v>567</v>
      </c>
      <c r="D12" s="272">
        <v>705.34799999999996</v>
      </c>
      <c r="E12" s="311" t="s">
        <v>8</v>
      </c>
      <c r="F12" s="29" t="s">
        <v>9</v>
      </c>
      <c r="G12" s="229">
        <v>0</v>
      </c>
      <c r="H12" s="229">
        <v>0</v>
      </c>
      <c r="I12" s="229">
        <v>0</v>
      </c>
      <c r="J12" s="229">
        <v>0</v>
      </c>
      <c r="K12" s="229">
        <v>0</v>
      </c>
      <c r="L12" s="229">
        <v>0</v>
      </c>
      <c r="M12" s="229">
        <v>2567965</v>
      </c>
      <c r="N12" s="229">
        <v>2792170</v>
      </c>
      <c r="O12" s="229">
        <v>2945742</v>
      </c>
      <c r="P12" s="229">
        <v>3111802</v>
      </c>
      <c r="Q12" s="229">
        <v>3227931</v>
      </c>
      <c r="R12" s="229">
        <v>3394987</v>
      </c>
      <c r="S12" s="229">
        <v>3616554</v>
      </c>
      <c r="T12" s="229">
        <f t="shared" si="0"/>
        <v>1654073</v>
      </c>
      <c r="U12" s="229">
        <f t="shared" si="6"/>
        <v>1654073</v>
      </c>
      <c r="V12" s="356">
        <f t="shared" si="7"/>
        <v>1654073</v>
      </c>
      <c r="W12" s="356">
        <v>0</v>
      </c>
      <c r="X12" s="356">
        <f t="shared" si="1"/>
        <v>1654073</v>
      </c>
      <c r="Y12" s="229">
        <v>0</v>
      </c>
      <c r="Z12" s="229">
        <f t="shared" si="2"/>
        <v>1654073</v>
      </c>
      <c r="AA12" s="276" t="s">
        <v>30</v>
      </c>
      <c r="AB12" s="270">
        <f>SUMIF('Allocation Factors'!$B$3:$B$89,'Accumulated Deferred Income Tax'!AA12,'Allocation Factors'!$P$3:$P$89)</f>
        <v>0</v>
      </c>
      <c r="AC12" s="271">
        <f t="shared" si="3"/>
        <v>0</v>
      </c>
      <c r="AD12" s="271">
        <f t="shared" si="4"/>
        <v>0</v>
      </c>
      <c r="AE12" s="30">
        <f t="shared" si="5"/>
        <v>0</v>
      </c>
    </row>
    <row r="13" spans="1:31" s="201" customFormat="1">
      <c r="A13" s="29">
        <v>287064</v>
      </c>
      <c r="B13" s="29">
        <v>190</v>
      </c>
      <c r="C13" s="44" t="s">
        <v>568</v>
      </c>
      <c r="D13" s="272">
        <v>705.34900000000005</v>
      </c>
      <c r="E13" s="311" t="s">
        <v>8</v>
      </c>
      <c r="F13" s="29" t="s">
        <v>9</v>
      </c>
      <c r="G13" s="229">
        <v>0</v>
      </c>
      <c r="H13" s="229">
        <v>0</v>
      </c>
      <c r="I13" s="229">
        <v>0</v>
      </c>
      <c r="J13" s="229">
        <v>0</v>
      </c>
      <c r="K13" s="229">
        <v>0</v>
      </c>
      <c r="L13" s="229">
        <v>0</v>
      </c>
      <c r="M13" s="229">
        <v>4473319</v>
      </c>
      <c r="N13" s="229">
        <v>4860324</v>
      </c>
      <c r="O13" s="229">
        <v>5125408</v>
      </c>
      <c r="P13" s="229">
        <v>5418745</v>
      </c>
      <c r="Q13" s="229">
        <v>5620626</v>
      </c>
      <c r="R13" s="229">
        <v>5911043</v>
      </c>
      <c r="S13" s="229">
        <v>6500610</v>
      </c>
      <c r="T13" s="229">
        <f t="shared" si="0"/>
        <v>2888314</v>
      </c>
      <c r="U13" s="229">
        <f t="shared" si="6"/>
        <v>2888314</v>
      </c>
      <c r="V13" s="356">
        <f t="shared" si="7"/>
        <v>2888314</v>
      </c>
      <c r="W13" s="356">
        <v>0</v>
      </c>
      <c r="X13" s="356">
        <f t="shared" si="1"/>
        <v>2888314</v>
      </c>
      <c r="Y13" s="229">
        <v>0</v>
      </c>
      <c r="Z13" s="229">
        <f t="shared" si="2"/>
        <v>2888314</v>
      </c>
      <c r="AA13" s="276" t="s">
        <v>28</v>
      </c>
      <c r="AB13" s="270">
        <f>SUMIF('Allocation Factors'!$B$3:$B$89,'Accumulated Deferred Income Tax'!AA13,'Allocation Factors'!$P$3:$P$89)</f>
        <v>0</v>
      </c>
      <c r="AC13" s="271">
        <f t="shared" si="3"/>
        <v>0</v>
      </c>
      <c r="AD13" s="271">
        <f t="shared" si="4"/>
        <v>0</v>
      </c>
      <c r="AE13" s="30">
        <f t="shared" si="5"/>
        <v>0</v>
      </c>
    </row>
    <row r="14" spans="1:31" s="201" customFormat="1">
      <c r="A14" s="29">
        <v>287065</v>
      </c>
      <c r="B14" s="29">
        <v>190</v>
      </c>
      <c r="C14" s="44" t="s">
        <v>569</v>
      </c>
      <c r="D14" s="272">
        <v>705.35</v>
      </c>
      <c r="E14" s="311">
        <v>7.11</v>
      </c>
      <c r="F14" s="29" t="s">
        <v>9</v>
      </c>
      <c r="G14" s="229">
        <v>0</v>
      </c>
      <c r="H14" s="229">
        <v>0</v>
      </c>
      <c r="I14" s="229">
        <v>0</v>
      </c>
      <c r="J14" s="229">
        <v>0</v>
      </c>
      <c r="K14" s="229">
        <v>0</v>
      </c>
      <c r="L14" s="229">
        <v>0</v>
      </c>
      <c r="M14" s="229">
        <v>669635</v>
      </c>
      <c r="N14" s="229">
        <v>725051</v>
      </c>
      <c r="O14" s="229">
        <v>763008</v>
      </c>
      <c r="P14" s="229">
        <v>807282</v>
      </c>
      <c r="Q14" s="229">
        <v>836674</v>
      </c>
      <c r="R14" s="229">
        <v>878957</v>
      </c>
      <c r="S14" s="229">
        <v>929803</v>
      </c>
      <c r="T14" s="229">
        <f t="shared" si="0"/>
        <v>428792</v>
      </c>
      <c r="U14" s="229">
        <f t="shared" si="6"/>
        <v>428792</v>
      </c>
      <c r="V14" s="356">
        <f t="shared" si="7"/>
        <v>428792</v>
      </c>
      <c r="W14" s="356">
        <v>0</v>
      </c>
      <c r="X14" s="356">
        <f t="shared" si="1"/>
        <v>428792</v>
      </c>
      <c r="Y14" s="229">
        <v>-428792</v>
      </c>
      <c r="Z14" s="229">
        <f t="shared" si="2"/>
        <v>0</v>
      </c>
      <c r="AA14" s="276" t="s">
        <v>26</v>
      </c>
      <c r="AB14" s="270">
        <f>SUMIF('Allocation Factors'!$B$3:$B$89,'Accumulated Deferred Income Tax'!AA14,'Allocation Factors'!$P$3:$P$89)</f>
        <v>1</v>
      </c>
      <c r="AC14" s="271">
        <f t="shared" si="3"/>
        <v>428792</v>
      </c>
      <c r="AD14" s="271">
        <f t="shared" si="4"/>
        <v>-428792</v>
      </c>
      <c r="AE14" s="30">
        <f t="shared" si="5"/>
        <v>0</v>
      </c>
    </row>
    <row r="15" spans="1:31" s="201" customFormat="1">
      <c r="A15" s="29">
        <v>287066</v>
      </c>
      <c r="B15" s="29">
        <v>190</v>
      </c>
      <c r="C15" s="44" t="s">
        <v>570</v>
      </c>
      <c r="D15" s="272">
        <v>705.351</v>
      </c>
      <c r="E15" s="311" t="s">
        <v>8</v>
      </c>
      <c r="F15" s="29" t="s">
        <v>9</v>
      </c>
      <c r="G15" s="229">
        <v>0</v>
      </c>
      <c r="H15" s="229">
        <v>0</v>
      </c>
      <c r="I15" s="229">
        <v>0</v>
      </c>
      <c r="J15" s="229">
        <v>0</v>
      </c>
      <c r="K15" s="229">
        <v>0</v>
      </c>
      <c r="L15" s="229">
        <v>0</v>
      </c>
      <c r="M15" s="229">
        <v>1430370</v>
      </c>
      <c r="N15" s="229">
        <v>1554135</v>
      </c>
      <c r="O15" s="229">
        <v>1638909</v>
      </c>
      <c r="P15" s="229">
        <v>1729488</v>
      </c>
      <c r="Q15" s="229">
        <v>1793361</v>
      </c>
      <c r="R15" s="229">
        <v>1885244</v>
      </c>
      <c r="S15" s="229">
        <v>2124728</v>
      </c>
      <c r="T15" s="229">
        <f t="shared" si="0"/>
        <v>924489</v>
      </c>
      <c r="U15" s="229">
        <f t="shared" si="6"/>
        <v>924489</v>
      </c>
      <c r="V15" s="356">
        <f t="shared" si="7"/>
        <v>924489</v>
      </c>
      <c r="W15" s="356">
        <v>0</v>
      </c>
      <c r="X15" s="356">
        <f t="shared" si="1"/>
        <v>924489</v>
      </c>
      <c r="Y15" s="229">
        <v>0</v>
      </c>
      <c r="Z15" s="229">
        <f t="shared" si="2"/>
        <v>924489</v>
      </c>
      <c r="AA15" s="276" t="s">
        <v>32</v>
      </c>
      <c r="AB15" s="270">
        <f>SUMIF('Allocation Factors'!$B$3:$B$89,'Accumulated Deferred Income Tax'!AA15,'Allocation Factors'!$P$3:$P$89)</f>
        <v>0</v>
      </c>
      <c r="AC15" s="271">
        <f t="shared" si="3"/>
        <v>0</v>
      </c>
      <c r="AD15" s="271">
        <f t="shared" si="4"/>
        <v>0</v>
      </c>
      <c r="AE15" s="30">
        <f t="shared" si="5"/>
        <v>0</v>
      </c>
    </row>
    <row r="16" spans="1:31" s="201" customFormat="1">
      <c r="A16" s="29">
        <v>287100</v>
      </c>
      <c r="B16" s="29">
        <v>190</v>
      </c>
      <c r="C16" s="44" t="s">
        <v>571</v>
      </c>
      <c r="D16" s="272" t="s">
        <v>8</v>
      </c>
      <c r="E16" s="311" t="s">
        <v>8</v>
      </c>
      <c r="F16" s="29" t="s">
        <v>333</v>
      </c>
      <c r="G16" s="229">
        <v>-15159758</v>
      </c>
      <c r="H16" s="229">
        <v>-15159758</v>
      </c>
      <c r="I16" s="229">
        <v>-15159758</v>
      </c>
      <c r="J16" s="229">
        <v>-15159758</v>
      </c>
      <c r="K16" s="229">
        <v>-15159758</v>
      </c>
      <c r="L16" s="229">
        <v>-15159758</v>
      </c>
      <c r="M16" s="229">
        <v>-13930382</v>
      </c>
      <c r="N16" s="229">
        <v>-13930382</v>
      </c>
      <c r="O16" s="229">
        <v>-13930382</v>
      </c>
      <c r="P16" s="229">
        <v>-13930382</v>
      </c>
      <c r="Q16" s="229">
        <v>-13930382</v>
      </c>
      <c r="R16" s="229">
        <v>-13930382</v>
      </c>
      <c r="S16" s="229">
        <v>-13930382</v>
      </c>
      <c r="T16" s="229">
        <f t="shared" si="0"/>
        <v>-14493846</v>
      </c>
      <c r="U16" s="229">
        <f t="shared" si="6"/>
        <v>-14493846</v>
      </c>
      <c r="V16" s="356">
        <f t="shared" si="7"/>
        <v>-14493846</v>
      </c>
      <c r="W16" s="356">
        <v>0</v>
      </c>
      <c r="X16" s="356">
        <f t="shared" si="1"/>
        <v>0</v>
      </c>
      <c r="Y16" s="229">
        <v>0</v>
      </c>
      <c r="Z16" s="229">
        <f t="shared" si="2"/>
        <v>0</v>
      </c>
      <c r="AA16" s="276" t="s">
        <v>331</v>
      </c>
      <c r="AB16" s="270">
        <f>SUMIF('Allocation Factors'!$B$3:$B$89,'Accumulated Deferred Income Tax'!AA16,'Allocation Factors'!$P$3:$P$89)</f>
        <v>0</v>
      </c>
      <c r="AC16" s="271">
        <f t="shared" si="3"/>
        <v>0</v>
      </c>
      <c r="AD16" s="271">
        <f t="shared" si="4"/>
        <v>0</v>
      </c>
      <c r="AE16" s="30">
        <f t="shared" si="5"/>
        <v>0</v>
      </c>
    </row>
    <row r="17" spans="1:31" s="201" customFormat="1">
      <c r="A17" s="29">
        <v>287183</v>
      </c>
      <c r="B17" s="29">
        <v>190</v>
      </c>
      <c r="C17" s="44" t="s">
        <v>425</v>
      </c>
      <c r="D17" s="272">
        <v>425.16</v>
      </c>
      <c r="E17" s="311" t="s">
        <v>8</v>
      </c>
      <c r="F17" s="29" t="s">
        <v>333</v>
      </c>
      <c r="G17" s="229">
        <v>0</v>
      </c>
      <c r="H17" s="229">
        <v>0</v>
      </c>
      <c r="I17" s="229">
        <v>0</v>
      </c>
      <c r="J17" s="229">
        <v>0</v>
      </c>
      <c r="K17" s="229">
        <v>0</v>
      </c>
      <c r="L17" s="229">
        <v>0</v>
      </c>
      <c r="M17" s="229">
        <v>0</v>
      </c>
      <c r="N17" s="229">
        <v>0</v>
      </c>
      <c r="O17" s="229">
        <v>0</v>
      </c>
      <c r="P17" s="229">
        <v>3500814</v>
      </c>
      <c r="Q17" s="229">
        <v>3467768</v>
      </c>
      <c r="R17" s="229">
        <v>3447482</v>
      </c>
      <c r="S17" s="229">
        <v>3398398</v>
      </c>
      <c r="T17" s="229">
        <f t="shared" si="0"/>
        <v>1009605</v>
      </c>
      <c r="U17" s="229">
        <f t="shared" si="6"/>
        <v>1009605</v>
      </c>
      <c r="V17" s="356">
        <f t="shared" si="7"/>
        <v>1009605</v>
      </c>
      <c r="W17" s="356">
        <v>0</v>
      </c>
      <c r="X17" s="356">
        <f t="shared" si="1"/>
        <v>0</v>
      </c>
      <c r="Y17" s="229">
        <v>0</v>
      </c>
      <c r="Z17" s="229">
        <f t="shared" si="2"/>
        <v>0</v>
      </c>
      <c r="AA17" s="276" t="s">
        <v>331</v>
      </c>
      <c r="AB17" s="270">
        <f>SUMIF('Allocation Factors'!$B$3:$B$89,'Accumulated Deferred Income Tax'!AA17,'Allocation Factors'!$P$3:$P$89)</f>
        <v>0</v>
      </c>
      <c r="AC17" s="271">
        <f t="shared" si="3"/>
        <v>0</v>
      </c>
      <c r="AD17" s="271">
        <f t="shared" si="4"/>
        <v>0</v>
      </c>
      <c r="AE17" s="30">
        <f t="shared" si="5"/>
        <v>0</v>
      </c>
    </row>
    <row r="18" spans="1:31" s="201" customFormat="1">
      <c r="A18" s="29">
        <v>287184</v>
      </c>
      <c r="B18" s="29">
        <v>190</v>
      </c>
      <c r="C18" s="44" t="s">
        <v>407</v>
      </c>
      <c r="D18" s="272">
        <v>705.60500000000002</v>
      </c>
      <c r="E18" s="311" t="s">
        <v>8</v>
      </c>
      <c r="F18" s="29" t="s">
        <v>9</v>
      </c>
      <c r="G18" s="229">
        <v>0</v>
      </c>
      <c r="H18" s="229">
        <v>0</v>
      </c>
      <c r="I18" s="229">
        <v>0</v>
      </c>
      <c r="J18" s="229">
        <v>0</v>
      </c>
      <c r="K18" s="229">
        <v>0</v>
      </c>
      <c r="L18" s="229">
        <v>0</v>
      </c>
      <c r="M18" s="229">
        <v>119860</v>
      </c>
      <c r="N18" s="229">
        <v>368031</v>
      </c>
      <c r="O18" s="229">
        <v>368031</v>
      </c>
      <c r="P18" s="229">
        <v>368061</v>
      </c>
      <c r="Q18" s="229">
        <v>515550</v>
      </c>
      <c r="R18" s="229">
        <v>515550</v>
      </c>
      <c r="S18" s="229">
        <v>515550</v>
      </c>
      <c r="T18" s="229">
        <f t="shared" si="0"/>
        <v>209405</v>
      </c>
      <c r="U18" s="229">
        <f t="shared" si="6"/>
        <v>209405</v>
      </c>
      <c r="V18" s="356">
        <f t="shared" si="7"/>
        <v>209405</v>
      </c>
      <c r="W18" s="356">
        <v>0</v>
      </c>
      <c r="X18" s="356">
        <f t="shared" si="1"/>
        <v>209405</v>
      </c>
      <c r="Y18" s="229">
        <v>0</v>
      </c>
      <c r="Z18" s="229">
        <f t="shared" si="2"/>
        <v>209405</v>
      </c>
      <c r="AA18" s="276" t="s">
        <v>15</v>
      </c>
      <c r="AB18" s="270">
        <f>SUMIF('Allocation Factors'!$B$3:$B$89,'Accumulated Deferred Income Tax'!AA18,'Allocation Factors'!$P$3:$P$89)</f>
        <v>0</v>
      </c>
      <c r="AC18" s="271">
        <f t="shared" si="3"/>
        <v>0</v>
      </c>
      <c r="AD18" s="271">
        <f t="shared" si="4"/>
        <v>0</v>
      </c>
      <c r="AE18" s="30">
        <f t="shared" si="5"/>
        <v>0</v>
      </c>
    </row>
    <row r="19" spans="1:31" s="201" customFormat="1">
      <c r="A19" s="29">
        <v>287186</v>
      </c>
      <c r="B19" s="29">
        <v>190</v>
      </c>
      <c r="C19" s="44" t="s">
        <v>635</v>
      </c>
      <c r="D19" s="272" t="s">
        <v>8</v>
      </c>
      <c r="E19" s="311" t="s">
        <v>8</v>
      </c>
      <c r="F19" s="29" t="s">
        <v>333</v>
      </c>
      <c r="G19" s="229">
        <v>0</v>
      </c>
      <c r="H19" s="229">
        <v>0</v>
      </c>
      <c r="I19" s="229">
        <v>0</v>
      </c>
      <c r="J19" s="229">
        <v>0</v>
      </c>
      <c r="K19" s="229">
        <v>0</v>
      </c>
      <c r="L19" s="229">
        <v>0</v>
      </c>
      <c r="M19" s="229">
        <v>56455524</v>
      </c>
      <c r="N19" s="229">
        <v>56455524</v>
      </c>
      <c r="O19" s="229">
        <v>56455524</v>
      </c>
      <c r="P19" s="229">
        <v>56397673</v>
      </c>
      <c r="Q19" s="229">
        <v>56385320</v>
      </c>
      <c r="R19" s="229">
        <v>56367550</v>
      </c>
      <c r="S19" s="229">
        <v>56339295</v>
      </c>
      <c r="T19" s="229">
        <f t="shared" si="0"/>
        <v>30557230</v>
      </c>
      <c r="U19" s="229">
        <f t="shared" si="6"/>
        <v>30557230</v>
      </c>
      <c r="V19" s="356">
        <f t="shared" si="7"/>
        <v>30557230</v>
      </c>
      <c r="W19" s="356">
        <v>0</v>
      </c>
      <c r="X19" s="356">
        <f t="shared" si="1"/>
        <v>0</v>
      </c>
      <c r="Y19" s="229">
        <v>0</v>
      </c>
      <c r="Z19" s="229">
        <f t="shared" si="2"/>
        <v>0</v>
      </c>
      <c r="AA19" s="276" t="s">
        <v>331</v>
      </c>
      <c r="AB19" s="270">
        <f>SUMIF('Allocation Factors'!$B$3:$B$89,'Accumulated Deferred Income Tax'!AA19,'Allocation Factors'!$P$3:$P$89)</f>
        <v>0</v>
      </c>
      <c r="AC19" s="271">
        <f t="shared" si="3"/>
        <v>0</v>
      </c>
      <c r="AD19" s="271">
        <f t="shared" si="4"/>
        <v>0</v>
      </c>
      <c r="AE19" s="30">
        <f t="shared" si="5"/>
        <v>0</v>
      </c>
    </row>
    <row r="20" spans="1:31" s="201" customFormat="1">
      <c r="A20" s="29">
        <v>287188</v>
      </c>
      <c r="B20" s="29">
        <v>190</v>
      </c>
      <c r="C20" s="44" t="s">
        <v>572</v>
      </c>
      <c r="D20" s="272">
        <v>100.121</v>
      </c>
      <c r="E20" s="311" t="s">
        <v>8</v>
      </c>
      <c r="F20" s="29" t="s">
        <v>333</v>
      </c>
      <c r="G20" s="229">
        <v>456933908</v>
      </c>
      <c r="H20" s="229">
        <v>455033309</v>
      </c>
      <c r="I20" s="229">
        <v>453392553</v>
      </c>
      <c r="J20" s="229">
        <v>456207508</v>
      </c>
      <c r="K20" s="229">
        <v>455714136</v>
      </c>
      <c r="L20" s="229">
        <v>454895266</v>
      </c>
      <c r="M20" s="229">
        <v>365813273</v>
      </c>
      <c r="N20" s="229">
        <v>364762189</v>
      </c>
      <c r="O20" s="229">
        <v>363994137</v>
      </c>
      <c r="P20" s="229">
        <v>363236907</v>
      </c>
      <c r="Q20" s="229">
        <v>362757569</v>
      </c>
      <c r="R20" s="229">
        <v>361994478</v>
      </c>
      <c r="S20" s="229">
        <v>360048028</v>
      </c>
      <c r="T20" s="229">
        <f t="shared" si="0"/>
        <v>405524358</v>
      </c>
      <c r="U20" s="229">
        <f t="shared" si="6"/>
        <v>405524358</v>
      </c>
      <c r="V20" s="356">
        <f t="shared" si="7"/>
        <v>405524358</v>
      </c>
      <c r="W20" s="356">
        <v>0</v>
      </c>
      <c r="X20" s="356">
        <f t="shared" si="1"/>
        <v>0</v>
      </c>
      <c r="Y20" s="229">
        <v>0</v>
      </c>
      <c r="Z20" s="229">
        <f t="shared" si="2"/>
        <v>0</v>
      </c>
      <c r="AA20" s="276" t="s">
        <v>331</v>
      </c>
      <c r="AB20" s="270">
        <f>SUMIF('Allocation Factors'!$B$3:$B$89,'Accumulated Deferred Income Tax'!AA20,'Allocation Factors'!$P$3:$P$89)</f>
        <v>0</v>
      </c>
      <c r="AC20" s="271">
        <f t="shared" si="3"/>
        <v>0</v>
      </c>
      <c r="AD20" s="271">
        <f t="shared" si="4"/>
        <v>0</v>
      </c>
      <c r="AE20" s="30">
        <f t="shared" si="5"/>
        <v>0</v>
      </c>
    </row>
    <row r="21" spans="1:31" s="201" customFormat="1">
      <c r="A21" s="29">
        <v>287190</v>
      </c>
      <c r="B21" s="29">
        <v>190</v>
      </c>
      <c r="C21" s="44" t="s">
        <v>573</v>
      </c>
      <c r="D21" s="272">
        <v>100.122</v>
      </c>
      <c r="E21" s="311" t="s">
        <v>8</v>
      </c>
      <c r="F21" s="29" t="s">
        <v>333</v>
      </c>
      <c r="G21" s="229">
        <v>3070394</v>
      </c>
      <c r="H21" s="229">
        <v>2984339</v>
      </c>
      <c r="I21" s="229">
        <v>2911377</v>
      </c>
      <c r="J21" s="229">
        <v>2869657</v>
      </c>
      <c r="K21" s="229">
        <v>2842179</v>
      </c>
      <c r="L21" s="229">
        <v>2801100</v>
      </c>
      <c r="M21" s="229">
        <v>2488577</v>
      </c>
      <c r="N21" s="229">
        <v>2433238</v>
      </c>
      <c r="O21" s="229">
        <v>2395332</v>
      </c>
      <c r="P21" s="229">
        <v>2357630</v>
      </c>
      <c r="Q21" s="229">
        <v>2329668</v>
      </c>
      <c r="R21" s="229">
        <v>2289443</v>
      </c>
      <c r="S21" s="229">
        <v>2330548</v>
      </c>
      <c r="T21" s="229">
        <f t="shared" si="0"/>
        <v>2616918</v>
      </c>
      <c r="U21" s="229">
        <f t="shared" si="6"/>
        <v>2616918</v>
      </c>
      <c r="V21" s="356">
        <f t="shared" si="7"/>
        <v>2616918</v>
      </c>
      <c r="W21" s="356">
        <v>0</v>
      </c>
      <c r="X21" s="356">
        <f t="shared" si="1"/>
        <v>0</v>
      </c>
      <c r="Y21" s="229">
        <v>0</v>
      </c>
      <c r="Z21" s="229">
        <f t="shared" si="2"/>
        <v>0</v>
      </c>
      <c r="AA21" s="276" t="s">
        <v>331</v>
      </c>
      <c r="AB21" s="270">
        <f>SUMIF('Allocation Factors'!$B$3:$B$89,'Accumulated Deferred Income Tax'!AA21,'Allocation Factors'!$P$3:$P$89)</f>
        <v>0</v>
      </c>
      <c r="AC21" s="271">
        <f t="shared" si="3"/>
        <v>0</v>
      </c>
      <c r="AD21" s="271">
        <f t="shared" si="4"/>
        <v>0</v>
      </c>
      <c r="AE21" s="30">
        <f t="shared" si="5"/>
        <v>0</v>
      </c>
    </row>
    <row r="22" spans="1:31" s="201" customFormat="1">
      <c r="A22" s="29">
        <v>287191</v>
      </c>
      <c r="B22" s="29">
        <v>190</v>
      </c>
      <c r="C22" s="44" t="s">
        <v>574</v>
      </c>
      <c r="D22" s="272">
        <v>705.28</v>
      </c>
      <c r="E22" s="311" t="s">
        <v>8</v>
      </c>
      <c r="F22" s="29" t="s">
        <v>9</v>
      </c>
      <c r="G22" s="229">
        <v>272759</v>
      </c>
      <c r="H22" s="229">
        <v>272759</v>
      </c>
      <c r="I22" s="229">
        <v>272759</v>
      </c>
      <c r="J22" s="229">
        <v>272759</v>
      </c>
      <c r="K22" s="229">
        <v>272759</v>
      </c>
      <c r="L22" s="229">
        <v>272759</v>
      </c>
      <c r="M22" s="229">
        <v>272759</v>
      </c>
      <c r="N22" s="229">
        <v>272759</v>
      </c>
      <c r="O22" s="229">
        <v>272759</v>
      </c>
      <c r="P22" s="229">
        <v>272759</v>
      </c>
      <c r="Q22" s="229">
        <v>272759</v>
      </c>
      <c r="R22" s="229">
        <v>272759</v>
      </c>
      <c r="S22" s="229">
        <v>272759</v>
      </c>
      <c r="T22" s="229">
        <f t="shared" si="0"/>
        <v>272759</v>
      </c>
      <c r="U22" s="229">
        <f t="shared" si="6"/>
        <v>272759</v>
      </c>
      <c r="V22" s="356">
        <f t="shared" si="7"/>
        <v>272759</v>
      </c>
      <c r="W22" s="356">
        <v>0</v>
      </c>
      <c r="X22" s="356">
        <f t="shared" si="1"/>
        <v>272759</v>
      </c>
      <c r="Y22" s="229">
        <v>0</v>
      </c>
      <c r="Z22" s="229">
        <f t="shared" si="2"/>
        <v>272759</v>
      </c>
      <c r="AA22" s="276" t="s">
        <v>17</v>
      </c>
      <c r="AB22" s="270">
        <f>SUMIF('Allocation Factors'!$B$3:$B$89,'Accumulated Deferred Income Tax'!AA22,'Allocation Factors'!$P$3:$P$89)</f>
        <v>0</v>
      </c>
      <c r="AC22" s="271">
        <f t="shared" si="3"/>
        <v>0</v>
      </c>
      <c r="AD22" s="271">
        <f t="shared" si="4"/>
        <v>0</v>
      </c>
      <c r="AE22" s="30">
        <f t="shared" si="5"/>
        <v>0</v>
      </c>
    </row>
    <row r="23" spans="1:31" s="201" customFormat="1">
      <c r="A23" s="29">
        <v>287192</v>
      </c>
      <c r="B23" s="29">
        <v>190</v>
      </c>
      <c r="C23" s="44" t="s">
        <v>575</v>
      </c>
      <c r="D23" s="272">
        <v>705.28099999999995</v>
      </c>
      <c r="E23" s="311" t="s">
        <v>8</v>
      </c>
      <c r="F23" s="29" t="s">
        <v>9</v>
      </c>
      <c r="G23" s="229">
        <v>396045</v>
      </c>
      <c r="H23" s="229">
        <v>396045</v>
      </c>
      <c r="I23" s="229">
        <v>396045</v>
      </c>
      <c r="J23" s="229">
        <v>396045</v>
      </c>
      <c r="K23" s="229">
        <v>396045</v>
      </c>
      <c r="L23" s="229">
        <v>396045</v>
      </c>
      <c r="M23" s="229">
        <v>396045</v>
      </c>
      <c r="N23" s="229">
        <v>396045</v>
      </c>
      <c r="O23" s="229">
        <v>396045</v>
      </c>
      <c r="P23" s="229">
        <v>389024</v>
      </c>
      <c r="Q23" s="229">
        <v>387525</v>
      </c>
      <c r="R23" s="229">
        <v>385368</v>
      </c>
      <c r="S23" s="229">
        <v>381939</v>
      </c>
      <c r="T23" s="229">
        <f t="shared" si="0"/>
        <v>393272</v>
      </c>
      <c r="U23" s="229">
        <f t="shared" si="6"/>
        <v>393272</v>
      </c>
      <c r="V23" s="356">
        <f t="shared" si="7"/>
        <v>393272</v>
      </c>
      <c r="W23" s="356">
        <v>0</v>
      </c>
      <c r="X23" s="356">
        <f t="shared" si="1"/>
        <v>393272</v>
      </c>
      <c r="Y23" s="229">
        <v>0</v>
      </c>
      <c r="Z23" s="229">
        <f t="shared" si="2"/>
        <v>393272</v>
      </c>
      <c r="AA23" s="276" t="s">
        <v>29</v>
      </c>
      <c r="AB23" s="270">
        <f>SUMIF('Allocation Factors'!$B$3:$B$89,'Accumulated Deferred Income Tax'!AA23,'Allocation Factors'!$P$3:$P$89)</f>
        <v>0</v>
      </c>
      <c r="AC23" s="271">
        <f t="shared" si="3"/>
        <v>0</v>
      </c>
      <c r="AD23" s="271">
        <f t="shared" si="4"/>
        <v>0</v>
      </c>
      <c r="AE23" s="30">
        <f t="shared" si="5"/>
        <v>0</v>
      </c>
    </row>
    <row r="24" spans="1:31" s="201" customFormat="1">
      <c r="A24" s="29">
        <v>287193</v>
      </c>
      <c r="B24" s="29">
        <v>190</v>
      </c>
      <c r="C24" s="44" t="s">
        <v>576</v>
      </c>
      <c r="D24" s="272">
        <v>705.28200000000004</v>
      </c>
      <c r="E24" s="311" t="s">
        <v>8</v>
      </c>
      <c r="F24" s="29" t="s">
        <v>9</v>
      </c>
      <c r="G24" s="229">
        <v>3876975</v>
      </c>
      <c r="H24" s="229">
        <v>3876975</v>
      </c>
      <c r="I24" s="229">
        <v>3876975</v>
      </c>
      <c r="J24" s="229">
        <v>3876975</v>
      </c>
      <c r="K24" s="229">
        <v>3876975</v>
      </c>
      <c r="L24" s="229">
        <v>3876975</v>
      </c>
      <c r="M24" s="229">
        <v>3876975</v>
      </c>
      <c r="N24" s="229">
        <v>3876975</v>
      </c>
      <c r="O24" s="229">
        <v>3876975</v>
      </c>
      <c r="P24" s="229">
        <v>3876975</v>
      </c>
      <c r="Q24" s="229">
        <v>3876975</v>
      </c>
      <c r="R24" s="229">
        <v>3876975</v>
      </c>
      <c r="S24" s="229">
        <v>3876975</v>
      </c>
      <c r="T24" s="229">
        <f t="shared" si="0"/>
        <v>3876975</v>
      </c>
      <c r="U24" s="229">
        <f t="shared" si="6"/>
        <v>3876975</v>
      </c>
      <c r="V24" s="356">
        <f t="shared" si="7"/>
        <v>3876975</v>
      </c>
      <c r="W24" s="356">
        <v>0</v>
      </c>
      <c r="X24" s="356">
        <f t="shared" si="1"/>
        <v>3876975</v>
      </c>
      <c r="Y24" s="229">
        <v>0</v>
      </c>
      <c r="Z24" s="229">
        <f t="shared" si="2"/>
        <v>3876975</v>
      </c>
      <c r="AA24" s="276" t="s">
        <v>30</v>
      </c>
      <c r="AB24" s="270">
        <f>SUMIF('Allocation Factors'!$B$3:$B$89,'Accumulated Deferred Income Tax'!AA24,'Allocation Factors'!$P$3:$P$89)</f>
        <v>0</v>
      </c>
      <c r="AC24" s="271">
        <f t="shared" si="3"/>
        <v>0</v>
      </c>
      <c r="AD24" s="271">
        <f t="shared" si="4"/>
        <v>0</v>
      </c>
      <c r="AE24" s="30">
        <f t="shared" si="5"/>
        <v>0</v>
      </c>
    </row>
    <row r="25" spans="1:31" s="201" customFormat="1">
      <c r="A25" s="29">
        <v>287194</v>
      </c>
      <c r="B25" s="29">
        <v>190</v>
      </c>
      <c r="C25" s="44" t="s">
        <v>577</v>
      </c>
      <c r="D25" s="272">
        <v>705.28300000000002</v>
      </c>
      <c r="E25" s="311" t="s">
        <v>8</v>
      </c>
      <c r="F25" s="29" t="s">
        <v>9</v>
      </c>
      <c r="G25" s="229">
        <v>7355334</v>
      </c>
      <c r="H25" s="229">
        <v>7355334</v>
      </c>
      <c r="I25" s="229">
        <v>7355334</v>
      </c>
      <c r="J25" s="229">
        <v>7355334</v>
      </c>
      <c r="K25" s="229">
        <v>7355334</v>
      </c>
      <c r="L25" s="229">
        <v>7355334</v>
      </c>
      <c r="M25" s="229">
        <v>0</v>
      </c>
      <c r="N25" s="229">
        <v>0</v>
      </c>
      <c r="O25" s="229">
        <v>0</v>
      </c>
      <c r="P25" s="229">
        <v>0</v>
      </c>
      <c r="Q25" s="229">
        <v>0</v>
      </c>
      <c r="R25" s="229">
        <v>0</v>
      </c>
      <c r="S25" s="229">
        <v>0</v>
      </c>
      <c r="T25" s="229">
        <f t="shared" si="0"/>
        <v>3371195</v>
      </c>
      <c r="U25" s="229">
        <f t="shared" si="6"/>
        <v>3371195</v>
      </c>
      <c r="V25" s="356">
        <f t="shared" si="7"/>
        <v>3371195</v>
      </c>
      <c r="W25" s="356">
        <v>0</v>
      </c>
      <c r="X25" s="356">
        <f t="shared" si="1"/>
        <v>3371195</v>
      </c>
      <c r="Y25" s="229">
        <v>0</v>
      </c>
      <c r="Z25" s="229">
        <f t="shared" si="2"/>
        <v>3371195</v>
      </c>
      <c r="AA25" s="276" t="s">
        <v>28</v>
      </c>
      <c r="AB25" s="270">
        <f>SUMIF('Allocation Factors'!$B$3:$B$89,'Accumulated Deferred Income Tax'!AA25,'Allocation Factors'!$P$3:$P$89)</f>
        <v>0</v>
      </c>
      <c r="AC25" s="271">
        <f t="shared" si="3"/>
        <v>0</v>
      </c>
      <c r="AD25" s="271">
        <f t="shared" si="4"/>
        <v>0</v>
      </c>
      <c r="AE25" s="30">
        <f t="shared" si="5"/>
        <v>0</v>
      </c>
    </row>
    <row r="26" spans="1:31" s="201" customFormat="1">
      <c r="A26" s="29">
        <v>287195</v>
      </c>
      <c r="B26" s="29">
        <v>190</v>
      </c>
      <c r="C26" s="44" t="s">
        <v>578</v>
      </c>
      <c r="D26" s="272">
        <v>705.28399999999999</v>
      </c>
      <c r="E26" s="311">
        <v>7.11</v>
      </c>
      <c r="F26" s="29" t="s">
        <v>9</v>
      </c>
      <c r="G26" s="229">
        <v>326187</v>
      </c>
      <c r="H26" s="229">
        <v>326187</v>
      </c>
      <c r="I26" s="229">
        <v>326187</v>
      </c>
      <c r="J26" s="229">
        <v>326187</v>
      </c>
      <c r="K26" s="229">
        <v>326187</v>
      </c>
      <c r="L26" s="229">
        <v>326187</v>
      </c>
      <c r="M26" s="229">
        <v>326187</v>
      </c>
      <c r="N26" s="229">
        <v>326187</v>
      </c>
      <c r="O26" s="229">
        <v>326187</v>
      </c>
      <c r="P26" s="229">
        <v>326187</v>
      </c>
      <c r="Q26" s="229">
        <v>326187</v>
      </c>
      <c r="R26" s="229">
        <v>326187</v>
      </c>
      <c r="S26" s="229">
        <v>326187</v>
      </c>
      <c r="T26" s="229">
        <f t="shared" si="0"/>
        <v>326187</v>
      </c>
      <c r="U26" s="229">
        <f t="shared" si="6"/>
        <v>326187</v>
      </c>
      <c r="V26" s="356">
        <f t="shared" si="7"/>
        <v>326187</v>
      </c>
      <c r="W26" s="356">
        <v>0</v>
      </c>
      <c r="X26" s="356">
        <f t="shared" si="1"/>
        <v>326187</v>
      </c>
      <c r="Y26" s="229">
        <v>-326187</v>
      </c>
      <c r="Z26" s="229">
        <f t="shared" si="2"/>
        <v>0</v>
      </c>
      <c r="AA26" s="276" t="s">
        <v>26</v>
      </c>
      <c r="AB26" s="270">
        <f>SUMIF('Allocation Factors'!$B$3:$B$89,'Accumulated Deferred Income Tax'!AA26,'Allocation Factors'!$P$3:$P$89)</f>
        <v>1</v>
      </c>
      <c r="AC26" s="271">
        <f t="shared" si="3"/>
        <v>326187</v>
      </c>
      <c r="AD26" s="271">
        <f t="shared" si="4"/>
        <v>-326187</v>
      </c>
      <c r="AE26" s="30">
        <f t="shared" si="5"/>
        <v>0</v>
      </c>
    </row>
    <row r="27" spans="1:31" s="201" customFormat="1">
      <c r="A27" s="29">
        <v>287196</v>
      </c>
      <c r="B27" s="29">
        <v>190</v>
      </c>
      <c r="C27" s="44" t="s">
        <v>579</v>
      </c>
      <c r="D27" s="272">
        <v>705.28499999999997</v>
      </c>
      <c r="E27" s="311" t="s">
        <v>8</v>
      </c>
      <c r="F27" s="29" t="s">
        <v>9</v>
      </c>
      <c r="G27" s="229">
        <v>2939674</v>
      </c>
      <c r="H27" s="229">
        <v>2939674</v>
      </c>
      <c r="I27" s="229">
        <v>2939674</v>
      </c>
      <c r="J27" s="229">
        <v>2939674</v>
      </c>
      <c r="K27" s="229">
        <v>2939674</v>
      </c>
      <c r="L27" s="229">
        <v>2939674</v>
      </c>
      <c r="M27" s="229">
        <v>2939674</v>
      </c>
      <c r="N27" s="229">
        <v>2939674</v>
      </c>
      <c r="O27" s="229">
        <v>2939674</v>
      </c>
      <c r="P27" s="229">
        <v>2939674</v>
      </c>
      <c r="Q27" s="229">
        <v>2939674</v>
      </c>
      <c r="R27" s="229">
        <v>2939674</v>
      </c>
      <c r="S27" s="229">
        <v>2939674</v>
      </c>
      <c r="T27" s="229">
        <f t="shared" si="0"/>
        <v>2939674</v>
      </c>
      <c r="U27" s="229">
        <f t="shared" si="6"/>
        <v>2939674</v>
      </c>
      <c r="V27" s="356">
        <f t="shared" si="7"/>
        <v>2939674</v>
      </c>
      <c r="W27" s="356">
        <v>0</v>
      </c>
      <c r="X27" s="356">
        <f t="shared" si="1"/>
        <v>2939674</v>
      </c>
      <c r="Y27" s="229">
        <v>0</v>
      </c>
      <c r="Z27" s="229">
        <f t="shared" si="2"/>
        <v>2939674</v>
      </c>
      <c r="AA27" s="276" t="s">
        <v>80</v>
      </c>
      <c r="AB27" s="270">
        <f>SUMIF('Allocation Factors'!$B$3:$B$89,'Accumulated Deferred Income Tax'!AA27,'Allocation Factors'!$P$3:$P$89)</f>
        <v>0</v>
      </c>
      <c r="AC27" s="271">
        <f t="shared" si="3"/>
        <v>0</v>
      </c>
      <c r="AD27" s="271">
        <f t="shared" si="4"/>
        <v>0</v>
      </c>
      <c r="AE27" s="30">
        <f t="shared" si="5"/>
        <v>0</v>
      </c>
    </row>
    <row r="28" spans="1:31" s="201" customFormat="1">
      <c r="A28" s="29">
        <v>287197</v>
      </c>
      <c r="B28" s="29">
        <v>190</v>
      </c>
      <c r="C28" s="44" t="s">
        <v>580</v>
      </c>
      <c r="D28" s="272">
        <v>705.28599999999994</v>
      </c>
      <c r="E28" s="311" t="s">
        <v>8</v>
      </c>
      <c r="F28" s="29" t="s">
        <v>9</v>
      </c>
      <c r="G28" s="229">
        <v>4334</v>
      </c>
      <c r="H28" s="229">
        <v>4334</v>
      </c>
      <c r="I28" s="229">
        <v>4334</v>
      </c>
      <c r="J28" s="229">
        <v>4334</v>
      </c>
      <c r="K28" s="229">
        <v>4334</v>
      </c>
      <c r="L28" s="229">
        <v>4334</v>
      </c>
      <c r="M28" s="229">
        <v>4334</v>
      </c>
      <c r="N28" s="229">
        <v>4334</v>
      </c>
      <c r="O28" s="229">
        <v>4334</v>
      </c>
      <c r="P28" s="229">
        <v>4334</v>
      </c>
      <c r="Q28" s="229">
        <v>4334</v>
      </c>
      <c r="R28" s="229">
        <v>4334</v>
      </c>
      <c r="S28" s="229">
        <v>4334</v>
      </c>
      <c r="T28" s="229">
        <f t="shared" si="0"/>
        <v>4334</v>
      </c>
      <c r="U28" s="229">
        <f t="shared" si="6"/>
        <v>4334</v>
      </c>
      <c r="V28" s="356">
        <f t="shared" si="7"/>
        <v>4334</v>
      </c>
      <c r="W28" s="356">
        <v>0</v>
      </c>
      <c r="X28" s="356">
        <f t="shared" si="1"/>
        <v>4334</v>
      </c>
      <c r="Y28" s="229">
        <v>0</v>
      </c>
      <c r="Z28" s="229">
        <f t="shared" si="2"/>
        <v>4334</v>
      </c>
      <c r="AA28" s="276" t="s">
        <v>72</v>
      </c>
      <c r="AB28" s="270">
        <f>SUMIF('Allocation Factors'!$B$3:$B$89,'Accumulated Deferred Income Tax'!AA28,'Allocation Factors'!$P$3:$P$89)</f>
        <v>0</v>
      </c>
      <c r="AC28" s="271">
        <f t="shared" si="3"/>
        <v>0</v>
      </c>
      <c r="AD28" s="271">
        <f t="shared" si="4"/>
        <v>0</v>
      </c>
      <c r="AE28" s="30">
        <f t="shared" si="5"/>
        <v>0</v>
      </c>
    </row>
    <row r="29" spans="1:31" s="201" customFormat="1">
      <c r="A29" s="29">
        <v>287198</v>
      </c>
      <c r="B29" s="29">
        <v>190</v>
      </c>
      <c r="C29" s="44" t="s">
        <v>395</v>
      </c>
      <c r="D29" s="272">
        <v>320.279</v>
      </c>
      <c r="E29" s="311" t="s">
        <v>8</v>
      </c>
      <c r="F29" s="29" t="s">
        <v>333</v>
      </c>
      <c r="G29" s="229">
        <v>1834053</v>
      </c>
      <c r="H29" s="229">
        <v>1714163</v>
      </c>
      <c r="I29" s="229">
        <v>1594274</v>
      </c>
      <c r="J29" s="229">
        <v>1474384</v>
      </c>
      <c r="K29" s="229">
        <v>1354495</v>
      </c>
      <c r="L29" s="229">
        <v>1234605</v>
      </c>
      <c r="M29" s="229">
        <v>0</v>
      </c>
      <c r="N29" s="229">
        <v>0</v>
      </c>
      <c r="O29" s="229">
        <v>0</v>
      </c>
      <c r="P29" s="229">
        <v>0</v>
      </c>
      <c r="Q29" s="229">
        <v>0</v>
      </c>
      <c r="R29" s="229">
        <v>0</v>
      </c>
      <c r="S29" s="229">
        <v>0</v>
      </c>
      <c r="T29" s="229">
        <f t="shared" si="0"/>
        <v>690746</v>
      </c>
      <c r="U29" s="229">
        <f t="shared" si="6"/>
        <v>690746</v>
      </c>
      <c r="V29" s="356">
        <f t="shared" si="7"/>
        <v>690746</v>
      </c>
      <c r="W29" s="356">
        <v>0</v>
      </c>
      <c r="X29" s="356">
        <f t="shared" si="1"/>
        <v>0</v>
      </c>
      <c r="Y29" s="229">
        <v>0</v>
      </c>
      <c r="Z29" s="229">
        <f t="shared" si="2"/>
        <v>0</v>
      </c>
      <c r="AA29" s="276" t="s">
        <v>331</v>
      </c>
      <c r="AB29" s="270">
        <f>SUMIF('Allocation Factors'!$B$3:$B$89,'Accumulated Deferred Income Tax'!AA29,'Allocation Factors'!$P$3:$P$89)</f>
        <v>0</v>
      </c>
      <c r="AC29" s="271">
        <f t="shared" si="3"/>
        <v>0</v>
      </c>
      <c r="AD29" s="271">
        <f t="shared" si="4"/>
        <v>0</v>
      </c>
      <c r="AE29" s="30">
        <f t="shared" si="5"/>
        <v>0</v>
      </c>
    </row>
    <row r="30" spans="1:31" s="201" customFormat="1">
      <c r="A30" s="29">
        <v>287199</v>
      </c>
      <c r="B30" s="29">
        <v>190</v>
      </c>
      <c r="C30" s="44" t="s">
        <v>581</v>
      </c>
      <c r="D30" s="272">
        <v>220.101</v>
      </c>
      <c r="E30" s="311" t="s">
        <v>8</v>
      </c>
      <c r="F30" s="29" t="s">
        <v>333</v>
      </c>
      <c r="G30" s="229">
        <v>-40763</v>
      </c>
      <c r="H30" s="229">
        <v>-40763</v>
      </c>
      <c r="I30" s="229">
        <v>-40763</v>
      </c>
      <c r="J30" s="229">
        <v>-40763</v>
      </c>
      <c r="K30" s="229">
        <v>-40763</v>
      </c>
      <c r="L30" s="229">
        <v>-40763</v>
      </c>
      <c r="M30" s="229">
        <v>-40763</v>
      </c>
      <c r="N30" s="229">
        <v>-40763</v>
      </c>
      <c r="O30" s="229">
        <v>-40763</v>
      </c>
      <c r="P30" s="229">
        <v>-40763</v>
      </c>
      <c r="Q30" s="229">
        <v>-40763</v>
      </c>
      <c r="R30" s="229">
        <v>-40763</v>
      </c>
      <c r="S30" s="229">
        <v>-40763</v>
      </c>
      <c r="T30" s="229">
        <f t="shared" si="0"/>
        <v>-40763</v>
      </c>
      <c r="U30" s="229">
        <f t="shared" si="6"/>
        <v>-40763</v>
      </c>
      <c r="V30" s="356">
        <f t="shared" si="7"/>
        <v>-40763</v>
      </c>
      <c r="W30" s="356">
        <v>0</v>
      </c>
      <c r="X30" s="356">
        <f t="shared" si="1"/>
        <v>0</v>
      </c>
      <c r="Y30" s="229">
        <v>0</v>
      </c>
      <c r="Z30" s="229">
        <f t="shared" si="2"/>
        <v>0</v>
      </c>
      <c r="AA30" s="276" t="s">
        <v>331</v>
      </c>
      <c r="AB30" s="270">
        <f>SUMIF('Allocation Factors'!$B$3:$B$89,'Accumulated Deferred Income Tax'!AA30,'Allocation Factors'!$P$3:$P$89)</f>
        <v>0</v>
      </c>
      <c r="AC30" s="271">
        <f t="shared" si="3"/>
        <v>0</v>
      </c>
      <c r="AD30" s="271">
        <f t="shared" si="4"/>
        <v>0</v>
      </c>
      <c r="AE30" s="30">
        <f t="shared" si="5"/>
        <v>0</v>
      </c>
    </row>
    <row r="31" spans="1:31" s="201" customFormat="1">
      <c r="A31" s="29">
        <v>287200</v>
      </c>
      <c r="B31" s="29">
        <v>190</v>
      </c>
      <c r="C31" s="44" t="s">
        <v>380</v>
      </c>
      <c r="D31" s="272">
        <v>705.26700000000005</v>
      </c>
      <c r="E31" s="311" t="s">
        <v>8</v>
      </c>
      <c r="F31" s="29" t="s">
        <v>9</v>
      </c>
      <c r="G31" s="229">
        <v>654757</v>
      </c>
      <c r="H31" s="229">
        <v>1146062</v>
      </c>
      <c r="I31" s="229">
        <v>1319911</v>
      </c>
      <c r="J31" s="229">
        <v>1200434</v>
      </c>
      <c r="K31" s="229">
        <v>846136</v>
      </c>
      <c r="L31" s="229">
        <v>805689</v>
      </c>
      <c r="M31" s="229">
        <v>816792</v>
      </c>
      <c r="N31" s="229">
        <v>718281</v>
      </c>
      <c r="O31" s="229">
        <v>723724</v>
      </c>
      <c r="P31" s="229">
        <v>604654</v>
      </c>
      <c r="Q31" s="229">
        <v>550561</v>
      </c>
      <c r="R31" s="229">
        <v>495640</v>
      </c>
      <c r="S31" s="229">
        <v>543572</v>
      </c>
      <c r="T31" s="229">
        <f t="shared" si="0"/>
        <v>818921</v>
      </c>
      <c r="U31" s="229">
        <f t="shared" si="6"/>
        <v>818921</v>
      </c>
      <c r="V31" s="356">
        <f t="shared" si="7"/>
        <v>818921</v>
      </c>
      <c r="W31" s="356">
        <v>0</v>
      </c>
      <c r="X31" s="356">
        <f t="shared" si="1"/>
        <v>818921</v>
      </c>
      <c r="Y31" s="229">
        <v>0</v>
      </c>
      <c r="Z31" s="229">
        <f t="shared" si="2"/>
        <v>818921</v>
      </c>
      <c r="AA31" s="276" t="s">
        <v>15</v>
      </c>
      <c r="AB31" s="270">
        <f>SUMIF('Allocation Factors'!$B$3:$B$89,'Accumulated Deferred Income Tax'!AA31,'Allocation Factors'!$P$3:$P$89)</f>
        <v>0</v>
      </c>
      <c r="AC31" s="271">
        <f t="shared" si="3"/>
        <v>0</v>
      </c>
      <c r="AD31" s="271">
        <f t="shared" si="4"/>
        <v>0</v>
      </c>
      <c r="AE31" s="30">
        <f t="shared" si="5"/>
        <v>0</v>
      </c>
    </row>
    <row r="32" spans="1:31" s="201" customFormat="1">
      <c r="A32" s="29">
        <v>287206</v>
      </c>
      <c r="B32" s="29">
        <v>190</v>
      </c>
      <c r="C32" s="44" t="s">
        <v>379</v>
      </c>
      <c r="D32" s="272">
        <v>415.71</v>
      </c>
      <c r="E32" s="311">
        <v>8.1999999999999993</v>
      </c>
      <c r="F32" s="29" t="s">
        <v>9</v>
      </c>
      <c r="G32" s="229">
        <v>5096457</v>
      </c>
      <c r="H32" s="229">
        <v>5354854</v>
      </c>
      <c r="I32" s="229">
        <v>5613251</v>
      </c>
      <c r="J32" s="229">
        <v>5871647</v>
      </c>
      <c r="K32" s="229">
        <v>6130044</v>
      </c>
      <c r="L32" s="229">
        <v>6388440</v>
      </c>
      <c r="M32" s="229">
        <v>6646837</v>
      </c>
      <c r="N32" s="229">
        <v>6905233</v>
      </c>
      <c r="O32" s="229">
        <v>7163630</v>
      </c>
      <c r="P32" s="229">
        <v>7422027</v>
      </c>
      <c r="Q32" s="229">
        <v>7680423</v>
      </c>
      <c r="R32" s="229">
        <v>7938820</v>
      </c>
      <c r="S32" s="229">
        <v>8197216</v>
      </c>
      <c r="T32" s="229">
        <f t="shared" si="0"/>
        <v>6646837</v>
      </c>
      <c r="U32" s="229">
        <f t="shared" si="6"/>
        <v>6646837</v>
      </c>
      <c r="V32" s="356">
        <f t="shared" si="7"/>
        <v>6646837</v>
      </c>
      <c r="W32" s="356">
        <v>0</v>
      </c>
      <c r="X32" s="356">
        <f t="shared" si="1"/>
        <v>6646837</v>
      </c>
      <c r="Y32" s="229">
        <v>4059466</v>
      </c>
      <c r="Z32" s="229">
        <f t="shared" si="2"/>
        <v>10706303</v>
      </c>
      <c r="AA32" s="276" t="s">
        <v>26</v>
      </c>
      <c r="AB32" s="270">
        <f>SUMIF('Allocation Factors'!$B$3:$B$89,'Accumulated Deferred Income Tax'!AA32,'Allocation Factors'!$P$3:$P$89)</f>
        <v>1</v>
      </c>
      <c r="AC32" s="271">
        <f t="shared" si="3"/>
        <v>6646837</v>
      </c>
      <c r="AD32" s="271">
        <f t="shared" si="4"/>
        <v>4059466</v>
      </c>
      <c r="AE32" s="30">
        <f t="shared" si="5"/>
        <v>10706303</v>
      </c>
    </row>
    <row r="33" spans="1:31" s="201" customFormat="1">
      <c r="A33" s="29">
        <v>287209</v>
      </c>
      <c r="B33" s="29">
        <v>190</v>
      </c>
      <c r="C33" s="44" t="s">
        <v>378</v>
      </c>
      <c r="D33" s="272">
        <v>705.26599999999996</v>
      </c>
      <c r="E33" s="311" t="s">
        <v>8</v>
      </c>
      <c r="F33" s="29" t="s">
        <v>9</v>
      </c>
      <c r="G33" s="229">
        <v>111547</v>
      </c>
      <c r="H33" s="229">
        <v>105758</v>
      </c>
      <c r="I33" s="229">
        <v>107605</v>
      </c>
      <c r="J33" s="229">
        <v>112319</v>
      </c>
      <c r="K33" s="229">
        <v>117550</v>
      </c>
      <c r="L33" s="229">
        <v>122077</v>
      </c>
      <c r="M33" s="229">
        <v>107017</v>
      </c>
      <c r="N33" s="229">
        <v>102257</v>
      </c>
      <c r="O33" s="229">
        <v>111090</v>
      </c>
      <c r="P33" s="229">
        <v>123465</v>
      </c>
      <c r="Q33" s="229">
        <v>103102</v>
      </c>
      <c r="R33" s="229">
        <v>111831</v>
      </c>
      <c r="S33" s="229">
        <v>124093</v>
      </c>
      <c r="T33" s="229">
        <f t="shared" si="0"/>
        <v>111824</v>
      </c>
      <c r="U33" s="229">
        <f t="shared" si="6"/>
        <v>111824</v>
      </c>
      <c r="V33" s="356">
        <f t="shared" si="7"/>
        <v>111824</v>
      </c>
      <c r="W33" s="356">
        <v>0</v>
      </c>
      <c r="X33" s="356">
        <f t="shared" si="1"/>
        <v>111824</v>
      </c>
      <c r="Y33" s="229">
        <v>0</v>
      </c>
      <c r="Z33" s="229">
        <f t="shared" si="2"/>
        <v>111824</v>
      </c>
      <c r="AA33" s="276" t="s">
        <v>15</v>
      </c>
      <c r="AB33" s="270">
        <f>SUMIF('Allocation Factors'!$B$3:$B$89,'Accumulated Deferred Income Tax'!AA33,'Allocation Factors'!$P$3:$P$89)</f>
        <v>0</v>
      </c>
      <c r="AC33" s="271">
        <f t="shared" si="3"/>
        <v>0</v>
      </c>
      <c r="AD33" s="271">
        <f t="shared" si="4"/>
        <v>0</v>
      </c>
      <c r="AE33" s="30">
        <f t="shared" si="5"/>
        <v>0</v>
      </c>
    </row>
    <row r="34" spans="1:31" s="201" customFormat="1">
      <c r="A34" s="29">
        <v>287210</v>
      </c>
      <c r="B34" s="29">
        <v>190</v>
      </c>
      <c r="C34" s="44" t="s">
        <v>582</v>
      </c>
      <c r="D34" s="272">
        <v>505.11500000000001</v>
      </c>
      <c r="E34" s="311" t="s">
        <v>8</v>
      </c>
      <c r="F34" s="29" t="s">
        <v>9</v>
      </c>
      <c r="G34" s="229">
        <v>61707</v>
      </c>
      <c r="H34" s="229">
        <v>61707</v>
      </c>
      <c r="I34" s="229">
        <v>61707</v>
      </c>
      <c r="J34" s="229">
        <v>61707</v>
      </c>
      <c r="K34" s="229">
        <v>61707</v>
      </c>
      <c r="L34" s="229">
        <v>61707</v>
      </c>
      <c r="M34" s="229">
        <v>61707</v>
      </c>
      <c r="N34" s="229">
        <v>61707</v>
      </c>
      <c r="O34" s="229">
        <v>61707</v>
      </c>
      <c r="P34" s="229">
        <v>61707</v>
      </c>
      <c r="Q34" s="229">
        <v>61707</v>
      </c>
      <c r="R34" s="229">
        <v>61707</v>
      </c>
      <c r="S34" s="229">
        <v>61707</v>
      </c>
      <c r="T34" s="229">
        <f t="shared" si="0"/>
        <v>61707</v>
      </c>
      <c r="U34" s="229">
        <f t="shared" si="6"/>
        <v>61707</v>
      </c>
      <c r="V34" s="356">
        <f t="shared" si="7"/>
        <v>61707</v>
      </c>
      <c r="W34" s="356">
        <v>0</v>
      </c>
      <c r="X34" s="356">
        <f t="shared" si="1"/>
        <v>61707</v>
      </c>
      <c r="Y34" s="229">
        <v>0</v>
      </c>
      <c r="Z34" s="229">
        <f t="shared" si="2"/>
        <v>61707</v>
      </c>
      <c r="AA34" s="276" t="s">
        <v>15</v>
      </c>
      <c r="AB34" s="270">
        <f>SUMIF('Allocation Factors'!$B$3:$B$89,'Accumulated Deferred Income Tax'!AA34,'Allocation Factors'!$P$3:$P$89)</f>
        <v>0</v>
      </c>
      <c r="AC34" s="271">
        <f t="shared" si="3"/>
        <v>0</v>
      </c>
      <c r="AD34" s="271">
        <f t="shared" si="4"/>
        <v>0</v>
      </c>
      <c r="AE34" s="30">
        <f t="shared" si="5"/>
        <v>0</v>
      </c>
    </row>
    <row r="35" spans="1:31" s="201" customFormat="1">
      <c r="A35" s="29">
        <v>287211</v>
      </c>
      <c r="B35" s="29">
        <v>190</v>
      </c>
      <c r="C35" s="44" t="s">
        <v>373</v>
      </c>
      <c r="D35" s="272">
        <v>425.226</v>
      </c>
      <c r="E35" s="311" t="s">
        <v>8</v>
      </c>
      <c r="F35" s="29" t="s">
        <v>9</v>
      </c>
      <c r="G35" s="229">
        <v>60702</v>
      </c>
      <c r="H35" s="229">
        <v>52168</v>
      </c>
      <c r="I35" s="229">
        <v>42158</v>
      </c>
      <c r="J35" s="229">
        <v>32886</v>
      </c>
      <c r="K35" s="229">
        <v>353138</v>
      </c>
      <c r="L35" s="229">
        <v>343866</v>
      </c>
      <c r="M35" s="229">
        <v>360275</v>
      </c>
      <c r="N35" s="229">
        <v>350960</v>
      </c>
      <c r="O35" s="229">
        <v>337548</v>
      </c>
      <c r="P35" s="229">
        <v>323056</v>
      </c>
      <c r="Q35" s="229">
        <v>308564</v>
      </c>
      <c r="R35" s="229">
        <v>294072</v>
      </c>
      <c r="S35" s="229">
        <v>279580</v>
      </c>
      <c r="T35" s="229">
        <f t="shared" ref="T35:T62" si="8">ROUND(((G35*1)+(SUM(H35:R35)*2)+(S35*1))/24,0)</f>
        <v>247403</v>
      </c>
      <c r="U35" s="229">
        <f t="shared" si="6"/>
        <v>247403</v>
      </c>
      <c r="V35" s="356">
        <f t="shared" si="7"/>
        <v>247403</v>
      </c>
      <c r="W35" s="356">
        <v>0</v>
      </c>
      <c r="X35" s="356">
        <f t="shared" ref="X35:X66" si="9">IF(F35="U",V35,0)</f>
        <v>247403</v>
      </c>
      <c r="Y35" s="229">
        <v>0</v>
      </c>
      <c r="Z35" s="229">
        <f t="shared" ref="Z35:Z66" si="10">SUM(X35:Y35)</f>
        <v>247403</v>
      </c>
      <c r="AA35" s="276" t="s">
        <v>15</v>
      </c>
      <c r="AB35" s="270">
        <f>SUMIF('Allocation Factors'!$B$3:$B$89,'Accumulated Deferred Income Tax'!AA35,'Allocation Factors'!$P$3:$P$89)</f>
        <v>0</v>
      </c>
      <c r="AC35" s="271">
        <f t="shared" ref="AC35:AC66" si="11">ROUND(X35*AB35,0)</f>
        <v>0</v>
      </c>
      <c r="AD35" s="271">
        <f t="shared" ref="AD35:AD66" si="12">ROUND(Y35*AB35,0)</f>
        <v>0</v>
      </c>
      <c r="AE35" s="30">
        <f t="shared" ref="AE35:AE66" si="13">SUM(AC35:AD35)</f>
        <v>0</v>
      </c>
    </row>
    <row r="36" spans="1:31" s="201" customFormat="1">
      <c r="A36" s="29">
        <v>287212</v>
      </c>
      <c r="B36" s="29">
        <v>190</v>
      </c>
      <c r="C36" s="44" t="s">
        <v>482</v>
      </c>
      <c r="D36" s="272">
        <v>705.245</v>
      </c>
      <c r="E36" s="311" t="s">
        <v>8</v>
      </c>
      <c r="F36" s="29" t="s">
        <v>9</v>
      </c>
      <c r="G36" s="229">
        <v>675736</v>
      </c>
      <c r="H36" s="229">
        <v>709887</v>
      </c>
      <c r="I36" s="229">
        <v>746797</v>
      </c>
      <c r="J36" s="229">
        <v>783938</v>
      </c>
      <c r="K36" s="229">
        <v>818741</v>
      </c>
      <c r="L36" s="229">
        <v>856193</v>
      </c>
      <c r="M36" s="229">
        <v>893442</v>
      </c>
      <c r="N36" s="229">
        <v>933493</v>
      </c>
      <c r="O36" s="229">
        <v>974428</v>
      </c>
      <c r="P36" s="229">
        <v>1010275</v>
      </c>
      <c r="Q36" s="229">
        <v>1052673</v>
      </c>
      <c r="R36" s="229">
        <v>1092526</v>
      </c>
      <c r="S36" s="229">
        <v>1134373</v>
      </c>
      <c r="T36" s="229">
        <f t="shared" si="8"/>
        <v>898121</v>
      </c>
      <c r="U36" s="229">
        <f t="shared" si="6"/>
        <v>898121</v>
      </c>
      <c r="V36" s="356">
        <f t="shared" si="7"/>
        <v>898121</v>
      </c>
      <c r="W36" s="356">
        <v>0</v>
      </c>
      <c r="X36" s="356">
        <f t="shared" si="9"/>
        <v>898121</v>
      </c>
      <c r="Y36" s="229">
        <v>0</v>
      </c>
      <c r="Z36" s="229">
        <f t="shared" si="10"/>
        <v>898121</v>
      </c>
      <c r="AA36" s="276" t="s">
        <v>15</v>
      </c>
      <c r="AB36" s="270">
        <f>SUMIF('Allocation Factors'!$B$3:$B$89,'Accumulated Deferred Income Tax'!AA36,'Allocation Factors'!$P$3:$P$89)</f>
        <v>0</v>
      </c>
      <c r="AC36" s="271">
        <f t="shared" si="11"/>
        <v>0</v>
      </c>
      <c r="AD36" s="271">
        <f t="shared" si="12"/>
        <v>0</v>
      </c>
      <c r="AE36" s="30">
        <f t="shared" si="13"/>
        <v>0</v>
      </c>
    </row>
    <row r="37" spans="1:31" s="201" customFormat="1">
      <c r="A37" s="29">
        <v>287213</v>
      </c>
      <c r="B37" s="29">
        <v>190</v>
      </c>
      <c r="C37" s="44" t="s">
        <v>471</v>
      </c>
      <c r="D37" s="272">
        <v>425.38099999999997</v>
      </c>
      <c r="E37" s="311" t="s">
        <v>8</v>
      </c>
      <c r="F37" s="29" t="s">
        <v>333</v>
      </c>
      <c r="G37" s="229">
        <v>880075</v>
      </c>
      <c r="H37" s="229">
        <v>892540</v>
      </c>
      <c r="I37" s="229">
        <v>871126</v>
      </c>
      <c r="J37" s="229">
        <v>871564</v>
      </c>
      <c r="K37" s="229">
        <v>856846</v>
      </c>
      <c r="L37" s="229">
        <v>840479</v>
      </c>
      <c r="M37" s="229">
        <v>826933</v>
      </c>
      <c r="N37" s="229">
        <v>819000</v>
      </c>
      <c r="O37" s="229">
        <v>798891</v>
      </c>
      <c r="P37" s="229">
        <v>769627</v>
      </c>
      <c r="Q37" s="229">
        <v>766957</v>
      </c>
      <c r="R37" s="229">
        <v>785273</v>
      </c>
      <c r="S37" s="229">
        <v>799442</v>
      </c>
      <c r="T37" s="229">
        <f t="shared" si="8"/>
        <v>828250</v>
      </c>
      <c r="U37" s="229">
        <f t="shared" ref="U37:U68" si="14">+T37</f>
        <v>828250</v>
      </c>
      <c r="V37" s="356">
        <f t="shared" si="7"/>
        <v>828250</v>
      </c>
      <c r="W37" s="356">
        <v>0</v>
      </c>
      <c r="X37" s="356">
        <f t="shared" si="9"/>
        <v>0</v>
      </c>
      <c r="Y37" s="229">
        <v>0</v>
      </c>
      <c r="Z37" s="229">
        <f t="shared" si="10"/>
        <v>0</v>
      </c>
      <c r="AA37" s="276" t="s">
        <v>331</v>
      </c>
      <c r="AB37" s="270">
        <f>SUMIF('Allocation Factors'!$B$3:$B$89,'Accumulated Deferred Income Tax'!AA37,'Allocation Factors'!$P$3:$P$89)</f>
        <v>0</v>
      </c>
      <c r="AC37" s="271">
        <f t="shared" si="11"/>
        <v>0</v>
      </c>
      <c r="AD37" s="271">
        <f t="shared" si="12"/>
        <v>0</v>
      </c>
      <c r="AE37" s="30">
        <f t="shared" si="13"/>
        <v>0</v>
      </c>
    </row>
    <row r="38" spans="1:31" s="201" customFormat="1">
      <c r="A38" s="29">
        <v>287214</v>
      </c>
      <c r="B38" s="29">
        <v>190</v>
      </c>
      <c r="C38" s="44" t="s">
        <v>369</v>
      </c>
      <c r="D38" s="272">
        <v>910.245</v>
      </c>
      <c r="E38" s="311" t="s">
        <v>8</v>
      </c>
      <c r="F38" s="29" t="s">
        <v>9</v>
      </c>
      <c r="G38" s="229">
        <v>445443</v>
      </c>
      <c r="H38" s="229">
        <v>430411</v>
      </c>
      <c r="I38" s="229">
        <v>415698</v>
      </c>
      <c r="J38" s="229">
        <v>475834</v>
      </c>
      <c r="K38" s="229">
        <v>464878</v>
      </c>
      <c r="L38" s="229">
        <v>448468</v>
      </c>
      <c r="M38" s="229">
        <v>430058</v>
      </c>
      <c r="N38" s="229">
        <v>414675</v>
      </c>
      <c r="O38" s="229">
        <v>400107</v>
      </c>
      <c r="P38" s="229">
        <v>386784</v>
      </c>
      <c r="Q38" s="229">
        <v>377632</v>
      </c>
      <c r="R38" s="229">
        <v>363681</v>
      </c>
      <c r="S38" s="229">
        <v>382203</v>
      </c>
      <c r="T38" s="229">
        <f t="shared" si="8"/>
        <v>418504</v>
      </c>
      <c r="U38" s="229">
        <f t="shared" si="14"/>
        <v>418504</v>
      </c>
      <c r="V38" s="356">
        <f t="shared" si="7"/>
        <v>418504</v>
      </c>
      <c r="W38" s="356">
        <v>0</v>
      </c>
      <c r="X38" s="356">
        <f t="shared" si="9"/>
        <v>418504</v>
      </c>
      <c r="Y38" s="229">
        <v>0</v>
      </c>
      <c r="Z38" s="229">
        <f t="shared" si="10"/>
        <v>418504</v>
      </c>
      <c r="AA38" s="276" t="s">
        <v>10</v>
      </c>
      <c r="AB38" s="270">
        <f>SUMIF('Allocation Factors'!$B$3:$B$89,'Accumulated Deferred Income Tax'!AA38,'Allocation Factors'!$P$3:$P$89)</f>
        <v>6.7017620954721469E-2</v>
      </c>
      <c r="AC38" s="271">
        <f t="shared" si="11"/>
        <v>28047</v>
      </c>
      <c r="AD38" s="271">
        <f t="shared" si="12"/>
        <v>0</v>
      </c>
      <c r="AE38" s="30">
        <f t="shared" si="13"/>
        <v>28047</v>
      </c>
    </row>
    <row r="39" spans="1:31" s="201" customFormat="1">
      <c r="A39" s="29">
        <v>287215</v>
      </c>
      <c r="B39" s="29">
        <v>190</v>
      </c>
      <c r="C39" s="44" t="s">
        <v>563</v>
      </c>
      <c r="D39" s="272">
        <v>910.93600000000004</v>
      </c>
      <c r="E39" s="311" t="s">
        <v>8</v>
      </c>
      <c r="F39" s="29" t="s">
        <v>333</v>
      </c>
      <c r="G39" s="229">
        <v>258</v>
      </c>
      <c r="H39" s="229">
        <v>258</v>
      </c>
      <c r="I39" s="229">
        <v>258</v>
      </c>
      <c r="J39" s="229">
        <v>258</v>
      </c>
      <c r="K39" s="229">
        <v>258</v>
      </c>
      <c r="L39" s="229">
        <v>258</v>
      </c>
      <c r="M39" s="229">
        <v>0</v>
      </c>
      <c r="N39" s="229">
        <v>0</v>
      </c>
      <c r="O39" s="229">
        <v>0</v>
      </c>
      <c r="P39" s="229">
        <v>0</v>
      </c>
      <c r="Q39" s="229">
        <v>0</v>
      </c>
      <c r="R39" s="229">
        <v>0</v>
      </c>
      <c r="S39" s="229">
        <v>0</v>
      </c>
      <c r="T39" s="229">
        <f t="shared" si="8"/>
        <v>118</v>
      </c>
      <c r="U39" s="229">
        <f t="shared" si="14"/>
        <v>118</v>
      </c>
      <c r="V39" s="356">
        <f t="shared" si="7"/>
        <v>118</v>
      </c>
      <c r="W39" s="356">
        <v>0</v>
      </c>
      <c r="X39" s="356">
        <f t="shared" si="9"/>
        <v>0</v>
      </c>
      <c r="Y39" s="229">
        <v>0</v>
      </c>
      <c r="Z39" s="229">
        <f t="shared" si="10"/>
        <v>0</v>
      </c>
      <c r="AA39" s="276" t="s">
        <v>331</v>
      </c>
      <c r="AB39" s="270">
        <f>SUMIF('Allocation Factors'!$B$3:$B$89,'Accumulated Deferred Income Tax'!AA39,'Allocation Factors'!$P$3:$P$89)</f>
        <v>0</v>
      </c>
      <c r="AC39" s="271">
        <f t="shared" si="11"/>
        <v>0</v>
      </c>
      <c r="AD39" s="271">
        <f t="shared" si="12"/>
        <v>0</v>
      </c>
      <c r="AE39" s="30">
        <f t="shared" si="13"/>
        <v>0</v>
      </c>
    </row>
    <row r="40" spans="1:31" s="201" customFormat="1">
      <c r="A40" s="29">
        <v>287216</v>
      </c>
      <c r="B40" s="29">
        <v>190</v>
      </c>
      <c r="C40" s="44" t="s">
        <v>374</v>
      </c>
      <c r="D40" s="272">
        <v>605.71500000000003</v>
      </c>
      <c r="E40" s="311" t="s">
        <v>8</v>
      </c>
      <c r="F40" s="29" t="s">
        <v>9</v>
      </c>
      <c r="G40" s="229">
        <v>1527060</v>
      </c>
      <c r="H40" s="229">
        <v>1532345</v>
      </c>
      <c r="I40" s="229">
        <v>1537718</v>
      </c>
      <c r="J40" s="229">
        <v>1542364</v>
      </c>
      <c r="K40" s="229">
        <v>1547762</v>
      </c>
      <c r="L40" s="229">
        <v>1554204</v>
      </c>
      <c r="M40" s="229">
        <v>1562198</v>
      </c>
      <c r="N40" s="229">
        <v>1568875</v>
      </c>
      <c r="O40" s="229">
        <v>1574099</v>
      </c>
      <c r="P40" s="229">
        <v>1579684</v>
      </c>
      <c r="Q40" s="229">
        <v>1584667</v>
      </c>
      <c r="R40" s="229">
        <v>1588975</v>
      </c>
      <c r="S40" s="229">
        <v>1596077</v>
      </c>
      <c r="T40" s="229">
        <f t="shared" si="8"/>
        <v>1561205</v>
      </c>
      <c r="U40" s="229">
        <f t="shared" si="14"/>
        <v>1561205</v>
      </c>
      <c r="V40" s="356">
        <f t="shared" si="7"/>
        <v>1561205</v>
      </c>
      <c r="W40" s="356">
        <v>0</v>
      </c>
      <c r="X40" s="356">
        <f t="shared" si="9"/>
        <v>1561205</v>
      </c>
      <c r="Y40" s="229">
        <v>0</v>
      </c>
      <c r="Z40" s="229">
        <f t="shared" si="10"/>
        <v>1561205</v>
      </c>
      <c r="AA40" s="276" t="s">
        <v>119</v>
      </c>
      <c r="AB40" s="270">
        <f>SUMIF('Allocation Factors'!$B$3:$B$89,'Accumulated Deferred Income Tax'!AA40,'Allocation Factors'!$P$3:$P$89)</f>
        <v>0</v>
      </c>
      <c r="AC40" s="271">
        <f t="shared" si="11"/>
        <v>0</v>
      </c>
      <c r="AD40" s="271">
        <f t="shared" si="12"/>
        <v>0</v>
      </c>
      <c r="AE40" s="30">
        <f t="shared" si="13"/>
        <v>0</v>
      </c>
    </row>
    <row r="41" spans="1:31" s="201" customFormat="1">
      <c r="A41" s="29">
        <v>287219</v>
      </c>
      <c r="B41" s="29">
        <v>190</v>
      </c>
      <c r="C41" s="44" t="s">
        <v>368</v>
      </c>
      <c r="D41" s="272">
        <v>715.81</v>
      </c>
      <c r="E41" s="311" t="s">
        <v>8</v>
      </c>
      <c r="F41" s="29" t="s">
        <v>9</v>
      </c>
      <c r="G41" s="229">
        <v>156670</v>
      </c>
      <c r="H41" s="229">
        <v>156670</v>
      </c>
      <c r="I41" s="229">
        <v>156670</v>
      </c>
      <c r="J41" s="229">
        <v>156670</v>
      </c>
      <c r="K41" s="229">
        <v>156670</v>
      </c>
      <c r="L41" s="229">
        <v>156670</v>
      </c>
      <c r="M41" s="229">
        <v>127166</v>
      </c>
      <c r="N41" s="229">
        <v>127166</v>
      </c>
      <c r="O41" s="229">
        <v>127043</v>
      </c>
      <c r="P41" s="229">
        <v>127043</v>
      </c>
      <c r="Q41" s="229">
        <v>127043</v>
      </c>
      <c r="R41" s="229">
        <v>127043</v>
      </c>
      <c r="S41" s="229">
        <v>125981</v>
      </c>
      <c r="T41" s="229">
        <f t="shared" si="8"/>
        <v>140598</v>
      </c>
      <c r="U41" s="229">
        <f t="shared" si="14"/>
        <v>140598</v>
      </c>
      <c r="V41" s="356">
        <f t="shared" si="7"/>
        <v>140598</v>
      </c>
      <c r="W41" s="356">
        <v>0</v>
      </c>
      <c r="X41" s="356">
        <f t="shared" si="9"/>
        <v>140598</v>
      </c>
      <c r="Y41" s="229">
        <v>0</v>
      </c>
      <c r="Z41" s="229">
        <f t="shared" si="10"/>
        <v>140598</v>
      </c>
      <c r="AA41" s="276" t="s">
        <v>160</v>
      </c>
      <c r="AB41" s="270">
        <f>SUMIF('Allocation Factors'!$B$3:$B$89,'Accumulated Deferred Income Tax'!AA41,'Allocation Factors'!$P$3:$P$89)</f>
        <v>0.21577192756641544</v>
      </c>
      <c r="AC41" s="271">
        <f t="shared" si="11"/>
        <v>30337</v>
      </c>
      <c r="AD41" s="271">
        <f t="shared" si="12"/>
        <v>0</v>
      </c>
      <c r="AE41" s="30">
        <f t="shared" si="13"/>
        <v>30337</v>
      </c>
    </row>
    <row r="42" spans="1:31" s="201" customFormat="1">
      <c r="A42" s="29">
        <v>287220</v>
      </c>
      <c r="B42" s="29">
        <v>190</v>
      </c>
      <c r="C42" s="44" t="s">
        <v>583</v>
      </c>
      <c r="D42" s="272">
        <v>720.56</v>
      </c>
      <c r="E42" s="311" t="s">
        <v>8</v>
      </c>
      <c r="F42" s="29" t="s">
        <v>9</v>
      </c>
      <c r="G42" s="229">
        <v>28303872</v>
      </c>
      <c r="H42" s="229">
        <v>28303872</v>
      </c>
      <c r="I42" s="229">
        <v>28303872</v>
      </c>
      <c r="J42" s="229">
        <v>28303872</v>
      </c>
      <c r="K42" s="229">
        <v>28303872</v>
      </c>
      <c r="L42" s="229">
        <v>28303872</v>
      </c>
      <c r="M42" s="229">
        <v>28303872</v>
      </c>
      <c r="N42" s="229">
        <v>28303872</v>
      </c>
      <c r="O42" s="229">
        <v>28303872</v>
      </c>
      <c r="P42" s="229">
        <v>28303872</v>
      </c>
      <c r="Q42" s="229">
        <v>28303872</v>
      </c>
      <c r="R42" s="229">
        <v>28303872</v>
      </c>
      <c r="S42" s="229">
        <v>28303872</v>
      </c>
      <c r="T42" s="229">
        <f t="shared" si="8"/>
        <v>28303872</v>
      </c>
      <c r="U42" s="229">
        <f t="shared" si="14"/>
        <v>28303872</v>
      </c>
      <c r="V42" s="356">
        <f t="shared" si="7"/>
        <v>28303872</v>
      </c>
      <c r="W42" s="356">
        <v>0</v>
      </c>
      <c r="X42" s="356">
        <f t="shared" si="9"/>
        <v>28303872</v>
      </c>
      <c r="Y42" s="229">
        <v>0</v>
      </c>
      <c r="Z42" s="229">
        <f t="shared" si="10"/>
        <v>28303872</v>
      </c>
      <c r="AA42" s="276" t="s">
        <v>119</v>
      </c>
      <c r="AB42" s="270">
        <f>SUMIF('Allocation Factors'!$B$3:$B$89,'Accumulated Deferred Income Tax'!AA42,'Allocation Factors'!$P$3:$P$89)</f>
        <v>0</v>
      </c>
      <c r="AC42" s="271">
        <f t="shared" si="11"/>
        <v>0</v>
      </c>
      <c r="AD42" s="271">
        <f t="shared" si="12"/>
        <v>0</v>
      </c>
      <c r="AE42" s="30">
        <f t="shared" si="13"/>
        <v>0</v>
      </c>
    </row>
    <row r="43" spans="1:31" s="201" customFormat="1">
      <c r="A43" s="29">
        <v>287225</v>
      </c>
      <c r="B43" s="29">
        <v>190</v>
      </c>
      <c r="C43" s="44" t="s">
        <v>348</v>
      </c>
      <c r="D43" s="272">
        <v>605.10299999999995</v>
      </c>
      <c r="E43" s="311" t="s">
        <v>8</v>
      </c>
      <c r="F43" s="29" t="s">
        <v>333</v>
      </c>
      <c r="G43" s="229">
        <v>-64239</v>
      </c>
      <c r="H43" s="229">
        <v>-64011</v>
      </c>
      <c r="I43" s="229">
        <v>-63784</v>
      </c>
      <c r="J43" s="229">
        <v>-63556</v>
      </c>
      <c r="K43" s="229">
        <v>-63329</v>
      </c>
      <c r="L43" s="229">
        <v>-63101</v>
      </c>
      <c r="M43" s="229">
        <v>-62874</v>
      </c>
      <c r="N43" s="229">
        <v>-62662</v>
      </c>
      <c r="O43" s="229">
        <v>-64461</v>
      </c>
      <c r="P43" s="229">
        <v>-64249</v>
      </c>
      <c r="Q43" s="229">
        <v>-64037</v>
      </c>
      <c r="R43" s="229">
        <v>-63825</v>
      </c>
      <c r="S43" s="229">
        <v>-63613</v>
      </c>
      <c r="T43" s="229">
        <f t="shared" si="8"/>
        <v>-63651</v>
      </c>
      <c r="U43" s="229">
        <f t="shared" si="14"/>
        <v>-63651</v>
      </c>
      <c r="V43" s="356">
        <f t="shared" si="7"/>
        <v>-63651</v>
      </c>
      <c r="W43" s="356">
        <v>0</v>
      </c>
      <c r="X43" s="356">
        <f t="shared" si="9"/>
        <v>0</v>
      </c>
      <c r="Y43" s="229">
        <v>0</v>
      </c>
      <c r="Z43" s="229">
        <f t="shared" si="10"/>
        <v>0</v>
      </c>
      <c r="AA43" s="276" t="s">
        <v>331</v>
      </c>
      <c r="AB43" s="270">
        <f>SUMIF('Allocation Factors'!$B$3:$B$89,'Accumulated Deferred Income Tax'!AA43,'Allocation Factors'!$P$3:$P$89)</f>
        <v>0</v>
      </c>
      <c r="AC43" s="271">
        <f t="shared" si="11"/>
        <v>0</v>
      </c>
      <c r="AD43" s="271">
        <f t="shared" si="12"/>
        <v>0</v>
      </c>
      <c r="AE43" s="30">
        <f t="shared" si="13"/>
        <v>0</v>
      </c>
    </row>
    <row r="44" spans="1:31" s="201" customFormat="1">
      <c r="A44" s="29">
        <v>287227</v>
      </c>
      <c r="B44" s="29">
        <v>190</v>
      </c>
      <c r="C44" s="44" t="s">
        <v>499</v>
      </c>
      <c r="D44" s="272">
        <v>705.53099999999995</v>
      </c>
      <c r="E44" s="311" t="s">
        <v>8</v>
      </c>
      <c r="F44" s="29" t="s">
        <v>9</v>
      </c>
      <c r="G44" s="229">
        <v>5106737</v>
      </c>
      <c r="H44" s="229">
        <v>5250870</v>
      </c>
      <c r="I44" s="229">
        <v>5431956</v>
      </c>
      <c r="J44" s="229">
        <v>5567620</v>
      </c>
      <c r="K44" s="229">
        <v>5715477</v>
      </c>
      <c r="L44" s="229">
        <v>5784314</v>
      </c>
      <c r="M44" s="229">
        <v>5898994</v>
      </c>
      <c r="N44" s="229">
        <v>6039181</v>
      </c>
      <c r="O44" s="229">
        <v>6210734</v>
      </c>
      <c r="P44" s="229">
        <v>6010099</v>
      </c>
      <c r="Q44" s="229">
        <v>5941594</v>
      </c>
      <c r="R44" s="229">
        <v>5869332</v>
      </c>
      <c r="S44" s="229">
        <v>5900224</v>
      </c>
      <c r="T44" s="229">
        <f t="shared" si="8"/>
        <v>5768638</v>
      </c>
      <c r="U44" s="229">
        <f t="shared" si="14"/>
        <v>5768638</v>
      </c>
      <c r="V44" s="356">
        <f t="shared" si="7"/>
        <v>5768638</v>
      </c>
      <c r="W44" s="356">
        <v>0</v>
      </c>
      <c r="X44" s="356">
        <f t="shared" si="9"/>
        <v>5768638</v>
      </c>
      <c r="Y44" s="229">
        <v>0</v>
      </c>
      <c r="Z44" s="229">
        <f t="shared" si="10"/>
        <v>5768638</v>
      </c>
      <c r="AA44" s="276" t="s">
        <v>15</v>
      </c>
      <c r="AB44" s="270">
        <f>SUMIF('Allocation Factors'!$B$3:$B$89,'Accumulated Deferred Income Tax'!AA44,'Allocation Factors'!$P$3:$P$89)</f>
        <v>0</v>
      </c>
      <c r="AC44" s="271">
        <f t="shared" si="11"/>
        <v>0</v>
      </c>
      <c r="AD44" s="271">
        <f t="shared" si="12"/>
        <v>0</v>
      </c>
      <c r="AE44" s="30">
        <f t="shared" si="13"/>
        <v>0</v>
      </c>
    </row>
    <row r="45" spans="1:31" s="201" customFormat="1">
      <c r="A45" s="29">
        <v>287229</v>
      </c>
      <c r="B45" s="29">
        <v>190</v>
      </c>
      <c r="C45" s="44" t="s">
        <v>498</v>
      </c>
      <c r="D45" s="272">
        <v>705.52700000000004</v>
      </c>
      <c r="E45" s="311" t="s">
        <v>8</v>
      </c>
      <c r="F45" s="29" t="s">
        <v>9</v>
      </c>
      <c r="G45" s="229">
        <v>263010</v>
      </c>
      <c r="H45" s="229">
        <v>263010</v>
      </c>
      <c r="I45" s="229">
        <v>263010</v>
      </c>
      <c r="J45" s="229">
        <v>263010</v>
      </c>
      <c r="K45" s="229">
        <v>263010</v>
      </c>
      <c r="L45" s="229">
        <v>265739</v>
      </c>
      <c r="M45" s="229">
        <v>153231</v>
      </c>
      <c r="N45" s="229">
        <v>153231</v>
      </c>
      <c r="O45" s="229">
        <v>153231</v>
      </c>
      <c r="P45" s="229">
        <v>153231</v>
      </c>
      <c r="Q45" s="229">
        <v>153231</v>
      </c>
      <c r="R45" s="229">
        <v>153231</v>
      </c>
      <c r="S45" s="229">
        <v>153231</v>
      </c>
      <c r="T45" s="229">
        <f t="shared" si="8"/>
        <v>203774</v>
      </c>
      <c r="U45" s="229">
        <f t="shared" si="14"/>
        <v>203774</v>
      </c>
      <c r="V45" s="356">
        <f t="shared" si="7"/>
        <v>203774</v>
      </c>
      <c r="W45" s="356">
        <v>0</v>
      </c>
      <c r="X45" s="356">
        <f t="shared" si="9"/>
        <v>203774</v>
      </c>
      <c r="Y45" s="229">
        <v>0</v>
      </c>
      <c r="Z45" s="229">
        <f t="shared" si="10"/>
        <v>203774</v>
      </c>
      <c r="AA45" s="276" t="s">
        <v>15</v>
      </c>
      <c r="AB45" s="270">
        <f>SUMIF('Allocation Factors'!$B$3:$B$89,'Accumulated Deferred Income Tax'!AA45,'Allocation Factors'!$P$3:$P$89)</f>
        <v>0</v>
      </c>
      <c r="AC45" s="271">
        <f t="shared" si="11"/>
        <v>0</v>
      </c>
      <c r="AD45" s="271">
        <f t="shared" si="12"/>
        <v>0</v>
      </c>
      <c r="AE45" s="30">
        <f t="shared" si="13"/>
        <v>0</v>
      </c>
    </row>
    <row r="46" spans="1:31" s="201" customFormat="1">
      <c r="A46" s="29">
        <v>287230</v>
      </c>
      <c r="B46" s="29">
        <v>190</v>
      </c>
      <c r="C46" s="44" t="s">
        <v>497</v>
      </c>
      <c r="D46" s="272">
        <v>705.52099999999996</v>
      </c>
      <c r="E46" s="311" t="s">
        <v>8</v>
      </c>
      <c r="F46" s="29" t="s">
        <v>9</v>
      </c>
      <c r="G46" s="229">
        <v>2183133</v>
      </c>
      <c r="H46" s="229">
        <v>741907</v>
      </c>
      <c r="I46" s="229">
        <v>786924</v>
      </c>
      <c r="J46" s="229">
        <v>278576</v>
      </c>
      <c r="K46" s="229">
        <v>278576</v>
      </c>
      <c r="L46" s="229">
        <v>278576</v>
      </c>
      <c r="M46" s="229">
        <v>0</v>
      </c>
      <c r="N46" s="229">
        <v>0</v>
      </c>
      <c r="O46" s="229">
        <v>0</v>
      </c>
      <c r="P46" s="229">
        <v>0</v>
      </c>
      <c r="Q46" s="229">
        <v>0</v>
      </c>
      <c r="R46" s="229">
        <v>0</v>
      </c>
      <c r="S46" s="229">
        <v>0</v>
      </c>
      <c r="T46" s="229">
        <f t="shared" si="8"/>
        <v>288010</v>
      </c>
      <c r="U46" s="229">
        <f t="shared" si="14"/>
        <v>288010</v>
      </c>
      <c r="V46" s="356">
        <f t="shared" si="7"/>
        <v>288010</v>
      </c>
      <c r="W46" s="356">
        <v>0</v>
      </c>
      <c r="X46" s="356">
        <f t="shared" si="9"/>
        <v>288010</v>
      </c>
      <c r="Y46" s="229">
        <v>0</v>
      </c>
      <c r="Z46" s="229">
        <f t="shared" si="10"/>
        <v>288010</v>
      </c>
      <c r="AA46" s="276" t="s">
        <v>15</v>
      </c>
      <c r="AB46" s="270">
        <f>SUMIF('Allocation Factors'!$B$3:$B$89,'Accumulated Deferred Income Tax'!AA46,'Allocation Factors'!$P$3:$P$89)</f>
        <v>0</v>
      </c>
      <c r="AC46" s="271">
        <f t="shared" si="11"/>
        <v>0</v>
      </c>
      <c r="AD46" s="271">
        <f t="shared" si="12"/>
        <v>0</v>
      </c>
      <c r="AE46" s="30">
        <f t="shared" si="13"/>
        <v>0</v>
      </c>
    </row>
    <row r="47" spans="1:31" s="201" customFormat="1">
      <c r="A47" s="29">
        <v>287231</v>
      </c>
      <c r="B47" s="29">
        <v>190</v>
      </c>
      <c r="C47" s="44" t="s">
        <v>496</v>
      </c>
      <c r="D47" s="272">
        <v>705.51900000000001</v>
      </c>
      <c r="E47" s="311" t="s">
        <v>8</v>
      </c>
      <c r="F47" s="29" t="s">
        <v>9</v>
      </c>
      <c r="G47" s="229">
        <v>5920527</v>
      </c>
      <c r="H47" s="229">
        <v>5772637</v>
      </c>
      <c r="I47" s="229">
        <v>5058447</v>
      </c>
      <c r="J47" s="229">
        <v>4976099</v>
      </c>
      <c r="K47" s="229">
        <v>5214113</v>
      </c>
      <c r="L47" s="229">
        <v>5313043</v>
      </c>
      <c r="M47" s="229">
        <v>5671198</v>
      </c>
      <c r="N47" s="229">
        <v>5323502</v>
      </c>
      <c r="O47" s="229">
        <v>4870074</v>
      </c>
      <c r="P47" s="229">
        <v>4988210</v>
      </c>
      <c r="Q47" s="229">
        <v>4170085</v>
      </c>
      <c r="R47" s="229">
        <v>3895821</v>
      </c>
      <c r="S47" s="229">
        <v>3658152</v>
      </c>
      <c r="T47" s="229">
        <f t="shared" si="8"/>
        <v>5003547</v>
      </c>
      <c r="U47" s="229">
        <f t="shared" si="14"/>
        <v>5003547</v>
      </c>
      <c r="V47" s="356">
        <f t="shared" si="7"/>
        <v>5003547</v>
      </c>
      <c r="W47" s="356">
        <v>0</v>
      </c>
      <c r="X47" s="356">
        <f t="shared" si="9"/>
        <v>5003547</v>
      </c>
      <c r="Y47" s="229">
        <v>0</v>
      </c>
      <c r="Z47" s="229">
        <f t="shared" si="10"/>
        <v>5003547</v>
      </c>
      <c r="AA47" s="276" t="s">
        <v>15</v>
      </c>
      <c r="AB47" s="270">
        <f>SUMIF('Allocation Factors'!$B$3:$B$89,'Accumulated Deferred Income Tax'!AA47,'Allocation Factors'!$P$3:$P$89)</f>
        <v>0</v>
      </c>
      <c r="AC47" s="271">
        <f t="shared" si="11"/>
        <v>0</v>
      </c>
      <c r="AD47" s="271">
        <f t="shared" si="12"/>
        <v>0</v>
      </c>
      <c r="AE47" s="30">
        <f t="shared" si="13"/>
        <v>0</v>
      </c>
    </row>
    <row r="48" spans="1:31" s="201" customFormat="1">
      <c r="A48" s="29">
        <v>287233</v>
      </c>
      <c r="B48" s="29">
        <v>190</v>
      </c>
      <c r="C48" s="44" t="s">
        <v>495</v>
      </c>
      <c r="D48" s="272">
        <v>705.51499999999999</v>
      </c>
      <c r="E48" s="311" t="s">
        <v>8</v>
      </c>
      <c r="F48" s="29" t="s">
        <v>9</v>
      </c>
      <c r="G48" s="229">
        <v>6721937</v>
      </c>
      <c r="H48" s="229">
        <v>7031595</v>
      </c>
      <c r="I48" s="229">
        <v>7292391</v>
      </c>
      <c r="J48" s="229">
        <v>7396006</v>
      </c>
      <c r="K48" s="229">
        <v>7442909</v>
      </c>
      <c r="L48" s="229">
        <v>7482014</v>
      </c>
      <c r="M48" s="229">
        <v>7488062</v>
      </c>
      <c r="N48" s="229">
        <v>7567821</v>
      </c>
      <c r="O48" s="229">
        <v>7738116</v>
      </c>
      <c r="P48" s="229">
        <v>7807066</v>
      </c>
      <c r="Q48" s="229">
        <v>7858598</v>
      </c>
      <c r="R48" s="229">
        <v>7901214</v>
      </c>
      <c r="S48" s="229">
        <v>8189394</v>
      </c>
      <c r="T48" s="229">
        <f t="shared" si="8"/>
        <v>7538455</v>
      </c>
      <c r="U48" s="229">
        <f t="shared" si="14"/>
        <v>7538455</v>
      </c>
      <c r="V48" s="356">
        <f t="shared" si="7"/>
        <v>7538455</v>
      </c>
      <c r="W48" s="356">
        <v>0</v>
      </c>
      <c r="X48" s="356">
        <f t="shared" si="9"/>
        <v>7538455</v>
      </c>
      <c r="Y48" s="229">
        <v>0</v>
      </c>
      <c r="Z48" s="229">
        <f t="shared" si="10"/>
        <v>7538455</v>
      </c>
      <c r="AA48" s="276" t="s">
        <v>15</v>
      </c>
      <c r="AB48" s="270">
        <f>SUMIF('Allocation Factors'!$B$3:$B$89,'Accumulated Deferred Income Tax'!AA48,'Allocation Factors'!$P$3:$P$89)</f>
        <v>0</v>
      </c>
      <c r="AC48" s="271">
        <f t="shared" si="11"/>
        <v>0</v>
      </c>
      <c r="AD48" s="271">
        <f t="shared" si="12"/>
        <v>0</v>
      </c>
      <c r="AE48" s="30">
        <f t="shared" si="13"/>
        <v>0</v>
      </c>
    </row>
    <row r="49" spans="1:31" s="201" customFormat="1">
      <c r="A49" s="29">
        <v>287237</v>
      </c>
      <c r="B49" s="29">
        <v>190</v>
      </c>
      <c r="C49" s="44" t="s">
        <v>316</v>
      </c>
      <c r="D49" s="272">
        <v>705.755</v>
      </c>
      <c r="E49" s="311" t="s">
        <v>8</v>
      </c>
      <c r="F49" s="29" t="s">
        <v>9</v>
      </c>
      <c r="G49" s="229">
        <v>30206</v>
      </c>
      <c r="H49" s="229">
        <v>26525</v>
      </c>
      <c r="I49" s="229">
        <v>26525</v>
      </c>
      <c r="J49" s="229">
        <v>26525</v>
      </c>
      <c r="K49" s="229">
        <v>26525</v>
      </c>
      <c r="L49" s="229">
        <v>26525</v>
      </c>
      <c r="M49" s="229">
        <v>26525</v>
      </c>
      <c r="N49" s="229">
        <v>26525</v>
      </c>
      <c r="O49" s="229">
        <v>26525</v>
      </c>
      <c r="P49" s="229">
        <v>26525</v>
      </c>
      <c r="Q49" s="229">
        <v>26525</v>
      </c>
      <c r="R49" s="229">
        <v>26525</v>
      </c>
      <c r="S49" s="229">
        <v>26525</v>
      </c>
      <c r="T49" s="229">
        <f t="shared" si="8"/>
        <v>26678</v>
      </c>
      <c r="U49" s="229">
        <f t="shared" si="14"/>
        <v>26678</v>
      </c>
      <c r="V49" s="356">
        <f t="shared" si="7"/>
        <v>26678</v>
      </c>
      <c r="W49" s="356">
        <v>0</v>
      </c>
      <c r="X49" s="356">
        <f t="shared" si="9"/>
        <v>26678</v>
      </c>
      <c r="Y49" s="229">
        <v>0</v>
      </c>
      <c r="Z49" s="229">
        <f t="shared" si="10"/>
        <v>26678</v>
      </c>
      <c r="AA49" s="276" t="s">
        <v>15</v>
      </c>
      <c r="AB49" s="270">
        <f>SUMIF('Allocation Factors'!$B$3:$B$89,'Accumulated Deferred Income Tax'!AA49,'Allocation Factors'!$P$3:$P$89)</f>
        <v>0</v>
      </c>
      <c r="AC49" s="271">
        <f t="shared" si="11"/>
        <v>0</v>
      </c>
      <c r="AD49" s="271">
        <f t="shared" si="12"/>
        <v>0</v>
      </c>
      <c r="AE49" s="30">
        <f t="shared" si="13"/>
        <v>0</v>
      </c>
    </row>
    <row r="50" spans="1:31" s="201" customFormat="1">
      <c r="A50" s="29">
        <v>287238</v>
      </c>
      <c r="B50" s="29">
        <v>190</v>
      </c>
      <c r="C50" s="44" t="s">
        <v>491</v>
      </c>
      <c r="D50" s="272">
        <v>705.42</v>
      </c>
      <c r="E50" s="311" t="s">
        <v>8</v>
      </c>
      <c r="F50" s="29" t="s">
        <v>9</v>
      </c>
      <c r="G50" s="229">
        <v>815068</v>
      </c>
      <c r="H50" s="229">
        <v>734703</v>
      </c>
      <c r="I50" s="229">
        <v>691527</v>
      </c>
      <c r="J50" s="229">
        <v>1357361</v>
      </c>
      <c r="K50" s="229">
        <v>401953</v>
      </c>
      <c r="L50" s="229">
        <v>367586</v>
      </c>
      <c r="M50" s="229">
        <v>829837</v>
      </c>
      <c r="N50" s="229">
        <v>854239</v>
      </c>
      <c r="O50" s="229">
        <v>838528</v>
      </c>
      <c r="P50" s="229">
        <v>1626809</v>
      </c>
      <c r="Q50" s="229">
        <v>500402</v>
      </c>
      <c r="R50" s="229">
        <v>543221</v>
      </c>
      <c r="S50" s="229">
        <v>1097111</v>
      </c>
      <c r="T50" s="229">
        <f t="shared" si="8"/>
        <v>808521</v>
      </c>
      <c r="U50" s="229">
        <f t="shared" si="14"/>
        <v>808521</v>
      </c>
      <c r="V50" s="356">
        <f t="shared" si="7"/>
        <v>808521</v>
      </c>
      <c r="W50" s="356">
        <v>0</v>
      </c>
      <c r="X50" s="356">
        <f t="shared" si="9"/>
        <v>808521</v>
      </c>
      <c r="Y50" s="229">
        <v>0</v>
      </c>
      <c r="Z50" s="229">
        <f t="shared" si="10"/>
        <v>808521</v>
      </c>
      <c r="AA50" s="276" t="s">
        <v>15</v>
      </c>
      <c r="AB50" s="270">
        <f>SUMIF('Allocation Factors'!$B$3:$B$89,'Accumulated Deferred Income Tax'!AA50,'Allocation Factors'!$P$3:$P$89)</f>
        <v>0</v>
      </c>
      <c r="AC50" s="271">
        <f t="shared" si="11"/>
        <v>0</v>
      </c>
      <c r="AD50" s="271">
        <f t="shared" si="12"/>
        <v>0</v>
      </c>
      <c r="AE50" s="30">
        <f t="shared" si="13"/>
        <v>0</v>
      </c>
    </row>
    <row r="51" spans="1:31" s="201" customFormat="1">
      <c r="A51" s="29">
        <v>287240</v>
      </c>
      <c r="B51" s="29">
        <v>190</v>
      </c>
      <c r="C51" s="44" t="s">
        <v>311</v>
      </c>
      <c r="D51" s="272">
        <v>605.30100000000004</v>
      </c>
      <c r="E51" s="311">
        <v>4.1100000000000003</v>
      </c>
      <c r="F51" s="29" t="s">
        <v>9</v>
      </c>
      <c r="G51" s="229">
        <v>14174437</v>
      </c>
      <c r="H51" s="229">
        <v>14125167</v>
      </c>
      <c r="I51" s="229">
        <v>14061588</v>
      </c>
      <c r="J51" s="229">
        <v>13477034</v>
      </c>
      <c r="K51" s="229">
        <v>13439942</v>
      </c>
      <c r="L51" s="229">
        <v>13511469</v>
      </c>
      <c r="M51" s="229">
        <v>13647196</v>
      </c>
      <c r="N51" s="229">
        <v>13663162</v>
      </c>
      <c r="O51" s="229">
        <v>13612212</v>
      </c>
      <c r="P51" s="229">
        <v>13620278</v>
      </c>
      <c r="Q51" s="229">
        <v>13553999</v>
      </c>
      <c r="R51" s="229">
        <v>13389301</v>
      </c>
      <c r="S51" s="229">
        <v>14284363</v>
      </c>
      <c r="T51" s="229">
        <f t="shared" si="8"/>
        <v>13694229</v>
      </c>
      <c r="U51" s="229">
        <f t="shared" si="14"/>
        <v>13694229</v>
      </c>
      <c r="V51" s="356">
        <f t="shared" si="7"/>
        <v>13694229</v>
      </c>
      <c r="W51" s="356">
        <v>0</v>
      </c>
      <c r="X51" s="356">
        <f t="shared" si="9"/>
        <v>13694229</v>
      </c>
      <c r="Y51" s="229">
        <f>-X51</f>
        <v>-13694229</v>
      </c>
      <c r="Z51" s="229">
        <f t="shared" si="10"/>
        <v>0</v>
      </c>
      <c r="AA51" s="276" t="s">
        <v>10</v>
      </c>
      <c r="AB51" s="270">
        <f>SUMIF('Allocation Factors'!$B$3:$B$89,'Accumulated Deferred Income Tax'!AA51,'Allocation Factors'!$P$3:$P$89)</f>
        <v>6.7017620954721469E-2</v>
      </c>
      <c r="AC51" s="271">
        <f t="shared" si="11"/>
        <v>917755</v>
      </c>
      <c r="AD51" s="271">
        <f t="shared" si="12"/>
        <v>-917755</v>
      </c>
      <c r="AE51" s="30">
        <f t="shared" si="13"/>
        <v>0</v>
      </c>
    </row>
    <row r="52" spans="1:31" s="201" customFormat="1">
      <c r="A52" s="29">
        <v>287241</v>
      </c>
      <c r="B52" s="29">
        <v>190</v>
      </c>
      <c r="C52" s="44" t="s">
        <v>318</v>
      </c>
      <c r="D52" s="272">
        <v>605.30200000000002</v>
      </c>
      <c r="E52" s="311" t="s">
        <v>8</v>
      </c>
      <c r="F52" s="29" t="s">
        <v>333</v>
      </c>
      <c r="G52" s="229">
        <v>659279</v>
      </c>
      <c r="H52" s="229">
        <v>655253</v>
      </c>
      <c r="I52" s="229">
        <v>651777</v>
      </c>
      <c r="J52" s="229">
        <v>652818</v>
      </c>
      <c r="K52" s="229">
        <v>652192</v>
      </c>
      <c r="L52" s="229">
        <v>649259</v>
      </c>
      <c r="M52" s="229">
        <v>660571</v>
      </c>
      <c r="N52" s="229">
        <v>660344</v>
      </c>
      <c r="O52" s="229">
        <v>661184</v>
      </c>
      <c r="P52" s="229">
        <v>662658</v>
      </c>
      <c r="Q52" s="229">
        <v>666046</v>
      </c>
      <c r="R52" s="229">
        <v>666557</v>
      </c>
      <c r="S52" s="229">
        <v>667618</v>
      </c>
      <c r="T52" s="229">
        <f t="shared" si="8"/>
        <v>658509</v>
      </c>
      <c r="U52" s="229">
        <f t="shared" si="14"/>
        <v>658509</v>
      </c>
      <c r="V52" s="356">
        <f t="shared" si="7"/>
        <v>658509</v>
      </c>
      <c r="W52" s="356">
        <v>0</v>
      </c>
      <c r="X52" s="356">
        <f t="shared" si="9"/>
        <v>0</v>
      </c>
      <c r="Y52" s="229">
        <v>0</v>
      </c>
      <c r="Z52" s="229">
        <f t="shared" si="10"/>
        <v>0</v>
      </c>
      <c r="AA52" s="276" t="s">
        <v>331</v>
      </c>
      <c r="AB52" s="270">
        <f>SUMIF('Allocation Factors'!$B$3:$B$89,'Accumulated Deferred Income Tax'!AA52,'Allocation Factors'!$P$3:$P$89)</f>
        <v>0</v>
      </c>
      <c r="AC52" s="271">
        <f t="shared" si="11"/>
        <v>0</v>
      </c>
      <c r="AD52" s="271">
        <f t="shared" si="12"/>
        <v>0</v>
      </c>
      <c r="AE52" s="30">
        <f t="shared" si="13"/>
        <v>0</v>
      </c>
    </row>
    <row r="53" spans="1:31" s="201" customFormat="1">
      <c r="A53" s="29">
        <v>287249</v>
      </c>
      <c r="B53" s="29">
        <v>190</v>
      </c>
      <c r="C53" s="44" t="s">
        <v>460</v>
      </c>
      <c r="D53" s="272">
        <v>415.839</v>
      </c>
      <c r="E53" s="311" t="s">
        <v>8</v>
      </c>
      <c r="F53" s="29" t="s">
        <v>333</v>
      </c>
      <c r="G53" s="229">
        <v>22018665</v>
      </c>
      <c r="H53" s="229">
        <v>21912915</v>
      </c>
      <c r="I53" s="229">
        <v>21692744</v>
      </c>
      <c r="J53" s="229">
        <v>21481122</v>
      </c>
      <c r="K53" s="229">
        <v>21315650</v>
      </c>
      <c r="L53" s="229">
        <v>21295440</v>
      </c>
      <c r="M53" s="229">
        <v>21154826</v>
      </c>
      <c r="N53" s="229">
        <v>20957022</v>
      </c>
      <c r="O53" s="229">
        <v>21625263</v>
      </c>
      <c r="P53" s="229">
        <v>21460059</v>
      </c>
      <c r="Q53" s="229">
        <v>21292361</v>
      </c>
      <c r="R53" s="229">
        <v>20206400</v>
      </c>
      <c r="S53" s="229">
        <v>19362646</v>
      </c>
      <c r="T53" s="229">
        <f t="shared" si="8"/>
        <v>21257038</v>
      </c>
      <c r="U53" s="229">
        <f t="shared" si="14"/>
        <v>21257038</v>
      </c>
      <c r="V53" s="356">
        <f t="shared" si="7"/>
        <v>21257038</v>
      </c>
      <c r="W53" s="356">
        <v>0</v>
      </c>
      <c r="X53" s="356">
        <f t="shared" si="9"/>
        <v>0</v>
      </c>
      <c r="Y53" s="229">
        <v>0</v>
      </c>
      <c r="Z53" s="229">
        <f t="shared" si="10"/>
        <v>0</v>
      </c>
      <c r="AA53" s="276" t="s">
        <v>331</v>
      </c>
      <c r="AB53" s="270">
        <f>SUMIF('Allocation Factors'!$B$3:$B$89,'Accumulated Deferred Income Tax'!AA53,'Allocation Factors'!$P$3:$P$89)</f>
        <v>0</v>
      </c>
      <c r="AC53" s="271">
        <f t="shared" si="11"/>
        <v>0</v>
      </c>
      <c r="AD53" s="271">
        <f t="shared" si="12"/>
        <v>0</v>
      </c>
      <c r="AE53" s="30">
        <f t="shared" si="13"/>
        <v>0</v>
      </c>
    </row>
    <row r="54" spans="1:31" s="201" customFormat="1">
      <c r="A54" s="29">
        <v>287253</v>
      </c>
      <c r="B54" s="29">
        <v>190</v>
      </c>
      <c r="C54" s="44" t="s">
        <v>490</v>
      </c>
      <c r="D54" s="272">
        <v>705.4</v>
      </c>
      <c r="E54" s="311" t="s">
        <v>8</v>
      </c>
      <c r="F54" s="29" t="s">
        <v>9</v>
      </c>
      <c r="G54" s="229">
        <v>2160947</v>
      </c>
      <c r="H54" s="229">
        <v>2223189</v>
      </c>
      <c r="I54" s="229">
        <v>2168397</v>
      </c>
      <c r="J54" s="229">
        <v>1782678</v>
      </c>
      <c r="K54" s="229">
        <v>1833557</v>
      </c>
      <c r="L54" s="229">
        <v>1898880</v>
      </c>
      <c r="M54" s="229">
        <v>1976773</v>
      </c>
      <c r="N54" s="229">
        <v>1904063</v>
      </c>
      <c r="O54" s="229">
        <v>1966860</v>
      </c>
      <c r="P54" s="229">
        <v>2011564</v>
      </c>
      <c r="Q54" s="229">
        <v>2019933</v>
      </c>
      <c r="R54" s="229">
        <v>2086646</v>
      </c>
      <c r="S54" s="229">
        <v>2155661</v>
      </c>
      <c r="T54" s="229">
        <f t="shared" si="8"/>
        <v>2002570</v>
      </c>
      <c r="U54" s="229">
        <f t="shared" si="14"/>
        <v>2002570</v>
      </c>
      <c r="V54" s="356">
        <f t="shared" si="7"/>
        <v>2002570</v>
      </c>
      <c r="W54" s="356">
        <v>0</v>
      </c>
      <c r="X54" s="356">
        <f t="shared" si="9"/>
        <v>2002570</v>
      </c>
      <c r="Y54" s="229">
        <v>0</v>
      </c>
      <c r="Z54" s="229">
        <f t="shared" si="10"/>
        <v>2002570</v>
      </c>
      <c r="AA54" s="276" t="s">
        <v>30</v>
      </c>
      <c r="AB54" s="270">
        <f>SUMIF('Allocation Factors'!$B$3:$B$89,'Accumulated Deferred Income Tax'!AA54,'Allocation Factors'!$P$3:$P$89)</f>
        <v>0</v>
      </c>
      <c r="AC54" s="271">
        <f t="shared" si="11"/>
        <v>0</v>
      </c>
      <c r="AD54" s="271">
        <f t="shared" si="12"/>
        <v>0</v>
      </c>
      <c r="AE54" s="30">
        <f t="shared" si="13"/>
        <v>0</v>
      </c>
    </row>
    <row r="55" spans="1:31" s="201" customFormat="1">
      <c r="A55" s="29">
        <v>287257</v>
      </c>
      <c r="B55" s="29">
        <v>190</v>
      </c>
      <c r="C55" s="44" t="s">
        <v>493</v>
      </c>
      <c r="D55" s="272">
        <v>705.45299999999997</v>
      </c>
      <c r="E55" s="311" t="s">
        <v>8</v>
      </c>
      <c r="F55" s="29" t="s">
        <v>9</v>
      </c>
      <c r="G55" s="229">
        <v>176874</v>
      </c>
      <c r="H55" s="229">
        <v>179201</v>
      </c>
      <c r="I55" s="229">
        <v>181527</v>
      </c>
      <c r="J55" s="229">
        <v>183853</v>
      </c>
      <c r="K55" s="229">
        <v>186180</v>
      </c>
      <c r="L55" s="229">
        <v>188506</v>
      </c>
      <c r="M55" s="229">
        <v>190832</v>
      </c>
      <c r="N55" s="229">
        <v>193159</v>
      </c>
      <c r="O55" s="229">
        <v>195485</v>
      </c>
      <c r="P55" s="229">
        <v>197812</v>
      </c>
      <c r="Q55" s="229">
        <v>200138</v>
      </c>
      <c r="R55" s="229">
        <v>202464</v>
      </c>
      <c r="S55" s="229">
        <v>204791</v>
      </c>
      <c r="T55" s="229">
        <f t="shared" si="8"/>
        <v>190832</v>
      </c>
      <c r="U55" s="229">
        <f t="shared" si="14"/>
        <v>190832</v>
      </c>
      <c r="V55" s="356">
        <f t="shared" si="7"/>
        <v>190832</v>
      </c>
      <c r="W55" s="356">
        <v>0</v>
      </c>
      <c r="X55" s="356">
        <f t="shared" si="9"/>
        <v>190832</v>
      </c>
      <c r="Y55" s="229">
        <v>0</v>
      </c>
      <c r="Z55" s="229">
        <f t="shared" si="10"/>
        <v>190832</v>
      </c>
      <c r="AA55" s="276" t="s">
        <v>29</v>
      </c>
      <c r="AB55" s="270">
        <f>SUMIF('Allocation Factors'!$B$3:$B$89,'Accumulated Deferred Income Tax'!AA55,'Allocation Factors'!$P$3:$P$89)</f>
        <v>0</v>
      </c>
      <c r="AC55" s="271">
        <f t="shared" si="11"/>
        <v>0</v>
      </c>
      <c r="AD55" s="271">
        <f t="shared" si="12"/>
        <v>0</v>
      </c>
      <c r="AE55" s="30">
        <f t="shared" si="13"/>
        <v>0</v>
      </c>
    </row>
    <row r="56" spans="1:31" s="201" customFormat="1">
      <c r="A56" s="29">
        <v>287258</v>
      </c>
      <c r="B56" s="29">
        <v>190</v>
      </c>
      <c r="C56" s="44" t="s">
        <v>556</v>
      </c>
      <c r="D56" s="272">
        <v>705.45399999999995</v>
      </c>
      <c r="E56" s="311" t="s">
        <v>8</v>
      </c>
      <c r="F56" s="29" t="s">
        <v>9</v>
      </c>
      <c r="G56" s="229">
        <v>1467854</v>
      </c>
      <c r="H56" s="229">
        <v>1512538</v>
      </c>
      <c r="I56" s="229">
        <v>1555461</v>
      </c>
      <c r="J56" s="229">
        <v>1599558</v>
      </c>
      <c r="K56" s="229">
        <v>1643655</v>
      </c>
      <c r="L56" s="229">
        <v>1687752</v>
      </c>
      <c r="M56" s="229">
        <v>1732015</v>
      </c>
      <c r="N56" s="229">
        <v>1776112</v>
      </c>
      <c r="O56" s="229">
        <v>1820208</v>
      </c>
      <c r="P56" s="229">
        <v>1864305</v>
      </c>
      <c r="Q56" s="229">
        <v>1679064</v>
      </c>
      <c r="R56" s="229">
        <v>1721355</v>
      </c>
      <c r="S56" s="229">
        <v>1764471</v>
      </c>
      <c r="T56" s="229">
        <f t="shared" si="8"/>
        <v>1684015</v>
      </c>
      <c r="U56" s="229">
        <f t="shared" si="14"/>
        <v>1684015</v>
      </c>
      <c r="V56" s="356">
        <f t="shared" si="7"/>
        <v>1684015</v>
      </c>
      <c r="W56" s="356">
        <v>0</v>
      </c>
      <c r="X56" s="356">
        <f t="shared" si="9"/>
        <v>1684015</v>
      </c>
      <c r="Y56" s="229">
        <v>0</v>
      </c>
      <c r="Z56" s="229">
        <f t="shared" si="10"/>
        <v>1684015</v>
      </c>
      <c r="AA56" s="276" t="s">
        <v>28</v>
      </c>
      <c r="AB56" s="270">
        <f>SUMIF('Allocation Factors'!$B$3:$B$89,'Accumulated Deferred Income Tax'!AA56,'Allocation Factors'!$P$3:$P$89)</f>
        <v>0</v>
      </c>
      <c r="AC56" s="271">
        <f t="shared" si="11"/>
        <v>0</v>
      </c>
      <c r="AD56" s="271">
        <f t="shared" si="12"/>
        <v>0</v>
      </c>
      <c r="AE56" s="30">
        <f t="shared" si="13"/>
        <v>0</v>
      </c>
    </row>
    <row r="57" spans="1:31" s="201" customFormat="1">
      <c r="A57" s="29">
        <v>287259</v>
      </c>
      <c r="B57" s="29">
        <v>190</v>
      </c>
      <c r="C57" s="44" t="s">
        <v>494</v>
      </c>
      <c r="D57" s="272">
        <v>705.45500000000004</v>
      </c>
      <c r="E57" s="311" t="s">
        <v>8</v>
      </c>
      <c r="F57" s="29" t="s">
        <v>9</v>
      </c>
      <c r="G57" s="229">
        <v>146590</v>
      </c>
      <c r="H57" s="229">
        <v>153758</v>
      </c>
      <c r="I57" s="229">
        <v>160925</v>
      </c>
      <c r="J57" s="229">
        <v>168092</v>
      </c>
      <c r="K57" s="229">
        <v>175259</v>
      </c>
      <c r="L57" s="229">
        <v>182426</v>
      </c>
      <c r="M57" s="229">
        <v>189594</v>
      </c>
      <c r="N57" s="229">
        <v>196761</v>
      </c>
      <c r="O57" s="229">
        <v>203928</v>
      </c>
      <c r="P57" s="229">
        <v>211095</v>
      </c>
      <c r="Q57" s="229">
        <v>218262</v>
      </c>
      <c r="R57" s="229">
        <v>225430</v>
      </c>
      <c r="S57" s="229">
        <v>232597</v>
      </c>
      <c r="T57" s="229">
        <f t="shared" si="8"/>
        <v>189594</v>
      </c>
      <c r="U57" s="229">
        <f t="shared" si="14"/>
        <v>189594</v>
      </c>
      <c r="V57" s="356">
        <f t="shared" si="7"/>
        <v>189594</v>
      </c>
      <c r="W57" s="356">
        <v>0</v>
      </c>
      <c r="X57" s="356">
        <f t="shared" si="9"/>
        <v>189594</v>
      </c>
      <c r="Y57" s="229">
        <v>0</v>
      </c>
      <c r="Z57" s="229">
        <f t="shared" si="10"/>
        <v>189594</v>
      </c>
      <c r="AA57" s="276" t="s">
        <v>32</v>
      </c>
      <c r="AB57" s="270">
        <f>SUMIF('Allocation Factors'!$B$3:$B$89,'Accumulated Deferred Income Tax'!AA57,'Allocation Factors'!$P$3:$P$89)</f>
        <v>0</v>
      </c>
      <c r="AC57" s="271">
        <f t="shared" si="11"/>
        <v>0</v>
      </c>
      <c r="AD57" s="271">
        <f t="shared" si="12"/>
        <v>0</v>
      </c>
      <c r="AE57" s="30">
        <f t="shared" si="13"/>
        <v>0</v>
      </c>
    </row>
    <row r="58" spans="1:31" s="201" customFormat="1">
      <c r="A58" s="29">
        <v>287262</v>
      </c>
      <c r="B58" s="29">
        <v>190</v>
      </c>
      <c r="C58" s="44" t="s">
        <v>584</v>
      </c>
      <c r="D58" s="272">
        <v>100.1</v>
      </c>
      <c r="E58" s="311" t="s">
        <v>8</v>
      </c>
      <c r="F58" s="29" t="s">
        <v>333</v>
      </c>
      <c r="G58" s="229">
        <v>581664</v>
      </c>
      <c r="H58" s="229">
        <v>566602</v>
      </c>
      <c r="I58" s="229">
        <v>551541</v>
      </c>
      <c r="J58" s="229">
        <v>536479</v>
      </c>
      <c r="K58" s="229">
        <v>522188</v>
      </c>
      <c r="L58" s="229">
        <v>509053</v>
      </c>
      <c r="M58" s="229">
        <v>495889</v>
      </c>
      <c r="N58" s="229">
        <v>482762</v>
      </c>
      <c r="O58" s="229">
        <v>469635</v>
      </c>
      <c r="P58" s="229">
        <v>456508</v>
      </c>
      <c r="Q58" s="229">
        <v>443381</v>
      </c>
      <c r="R58" s="229">
        <v>430254</v>
      </c>
      <c r="S58" s="229">
        <v>417127</v>
      </c>
      <c r="T58" s="229">
        <f t="shared" si="8"/>
        <v>496974</v>
      </c>
      <c r="U58" s="229">
        <f t="shared" si="14"/>
        <v>496974</v>
      </c>
      <c r="V58" s="356">
        <f t="shared" si="7"/>
        <v>496974</v>
      </c>
      <c r="W58" s="356">
        <v>0</v>
      </c>
      <c r="X58" s="356">
        <f t="shared" si="9"/>
        <v>0</v>
      </c>
      <c r="Y58" s="229">
        <v>0</v>
      </c>
      <c r="Z58" s="229">
        <f t="shared" si="10"/>
        <v>0</v>
      </c>
      <c r="AA58" s="276" t="s">
        <v>331</v>
      </c>
      <c r="AB58" s="270">
        <f>SUMIF('Allocation Factors'!$B$3:$B$89,'Accumulated Deferred Income Tax'!AA58,'Allocation Factors'!$P$3:$P$89)</f>
        <v>0</v>
      </c>
      <c r="AC58" s="271">
        <f t="shared" si="11"/>
        <v>0</v>
      </c>
      <c r="AD58" s="271">
        <f t="shared" si="12"/>
        <v>0</v>
      </c>
      <c r="AE58" s="30">
        <f t="shared" si="13"/>
        <v>0</v>
      </c>
    </row>
    <row r="59" spans="1:31">
      <c r="A59" s="29">
        <v>287266</v>
      </c>
      <c r="B59" s="29">
        <v>190</v>
      </c>
      <c r="C59" s="44" t="s">
        <v>564</v>
      </c>
      <c r="D59" s="272">
        <v>920.11500000000001</v>
      </c>
      <c r="E59" s="311" t="s">
        <v>8</v>
      </c>
      <c r="F59" s="29" t="s">
        <v>333</v>
      </c>
      <c r="G59" s="229">
        <v>-3833313</v>
      </c>
      <c r="H59" s="229">
        <v>-3755796</v>
      </c>
      <c r="I59" s="229">
        <v>-3720294</v>
      </c>
      <c r="J59" s="229">
        <v>-3702678</v>
      </c>
      <c r="K59" s="229">
        <v>-3616988</v>
      </c>
      <c r="L59" s="229">
        <v>-3361637</v>
      </c>
      <c r="M59" s="229">
        <v>-3076754</v>
      </c>
      <c r="N59" s="229">
        <v>-2776917</v>
      </c>
      <c r="O59" s="229">
        <v>-2496539</v>
      </c>
      <c r="P59" s="229">
        <v>-2219473</v>
      </c>
      <c r="Q59" s="229">
        <v>-1920013</v>
      </c>
      <c r="R59" s="229">
        <v>-1706749</v>
      </c>
      <c r="S59" s="229">
        <v>-1428281</v>
      </c>
      <c r="T59" s="229">
        <f t="shared" si="8"/>
        <v>-2915386</v>
      </c>
      <c r="U59" s="229">
        <f t="shared" si="14"/>
        <v>-2915386</v>
      </c>
      <c r="V59" s="356">
        <f t="shared" si="7"/>
        <v>-2915386</v>
      </c>
      <c r="W59" s="356">
        <v>0</v>
      </c>
      <c r="X59" s="356">
        <f t="shared" si="9"/>
        <v>0</v>
      </c>
      <c r="Y59" s="229">
        <v>0</v>
      </c>
      <c r="Z59" s="229">
        <f t="shared" si="10"/>
        <v>0</v>
      </c>
      <c r="AA59" s="276" t="s">
        <v>331</v>
      </c>
      <c r="AB59" s="270">
        <f>SUMIF('Allocation Factors'!$B$3:$B$89,'Accumulated Deferred Income Tax'!AA59,'Allocation Factors'!$P$3:$P$89)</f>
        <v>0</v>
      </c>
      <c r="AC59" s="271">
        <f t="shared" si="11"/>
        <v>0</v>
      </c>
      <c r="AD59" s="271">
        <f t="shared" si="12"/>
        <v>0</v>
      </c>
      <c r="AE59" s="30">
        <f t="shared" si="13"/>
        <v>0</v>
      </c>
    </row>
    <row r="60" spans="1:31">
      <c r="A60" s="29">
        <v>287268</v>
      </c>
      <c r="B60" s="29">
        <v>190</v>
      </c>
      <c r="C60" s="44" t="s">
        <v>367</v>
      </c>
      <c r="D60" s="272">
        <v>415.70600000000002</v>
      </c>
      <c r="E60" s="311" t="s">
        <v>8</v>
      </c>
      <c r="F60" s="29" t="s">
        <v>333</v>
      </c>
      <c r="G60" s="229">
        <v>435610</v>
      </c>
      <c r="H60" s="229">
        <v>441967</v>
      </c>
      <c r="I60" s="229">
        <v>454135</v>
      </c>
      <c r="J60" s="229">
        <v>467031</v>
      </c>
      <c r="K60" s="229">
        <v>479887</v>
      </c>
      <c r="L60" s="229">
        <v>494706</v>
      </c>
      <c r="M60" s="229">
        <v>508162</v>
      </c>
      <c r="N60" s="229">
        <v>519822</v>
      </c>
      <c r="O60" s="229">
        <v>532733</v>
      </c>
      <c r="P60" s="229">
        <v>546278</v>
      </c>
      <c r="Q60" s="229">
        <v>524415</v>
      </c>
      <c r="R60" s="229">
        <v>536332</v>
      </c>
      <c r="S60" s="229">
        <v>549444</v>
      </c>
      <c r="T60" s="229">
        <f t="shared" si="8"/>
        <v>499833</v>
      </c>
      <c r="U60" s="229">
        <f t="shared" si="14"/>
        <v>499833</v>
      </c>
      <c r="V60" s="356">
        <f t="shared" si="7"/>
        <v>499833</v>
      </c>
      <c r="W60" s="356">
        <v>0</v>
      </c>
      <c r="X60" s="356">
        <f t="shared" si="9"/>
        <v>0</v>
      </c>
      <c r="Y60" s="229">
        <v>0</v>
      </c>
      <c r="Z60" s="229">
        <f t="shared" si="10"/>
        <v>0</v>
      </c>
      <c r="AA60" s="276" t="s">
        <v>331</v>
      </c>
      <c r="AB60" s="270">
        <f>SUMIF('Allocation Factors'!$B$3:$B$89,'Accumulated Deferred Income Tax'!AA60,'Allocation Factors'!$P$3:$P$89)</f>
        <v>0</v>
      </c>
      <c r="AC60" s="271">
        <f t="shared" si="11"/>
        <v>0</v>
      </c>
      <c r="AD60" s="271">
        <f t="shared" si="12"/>
        <v>0</v>
      </c>
      <c r="AE60" s="30">
        <f t="shared" si="13"/>
        <v>0</v>
      </c>
    </row>
    <row r="61" spans="1:31">
      <c r="A61" s="29">
        <v>287269</v>
      </c>
      <c r="B61" s="29">
        <v>190</v>
      </c>
      <c r="C61" s="44" t="s">
        <v>585</v>
      </c>
      <c r="D61" s="272" t="s">
        <v>8</v>
      </c>
      <c r="E61" s="311" t="s">
        <v>8</v>
      </c>
      <c r="F61" s="29" t="s">
        <v>333</v>
      </c>
      <c r="G61" s="229">
        <v>239545</v>
      </c>
      <c r="H61" s="229">
        <v>239545</v>
      </c>
      <c r="I61" s="229">
        <v>239545</v>
      </c>
      <c r="J61" s="229">
        <v>239545</v>
      </c>
      <c r="K61" s="229">
        <v>239545</v>
      </c>
      <c r="L61" s="229">
        <v>244729</v>
      </c>
      <c r="M61" s="229">
        <v>224138</v>
      </c>
      <c r="N61" s="229">
        <v>224138</v>
      </c>
      <c r="O61" s="229">
        <v>224138</v>
      </c>
      <c r="P61" s="229">
        <v>224138</v>
      </c>
      <c r="Q61" s="229">
        <v>224138</v>
      </c>
      <c r="R61" s="229">
        <v>224138</v>
      </c>
      <c r="S61" s="229">
        <v>224138</v>
      </c>
      <c r="T61" s="229">
        <f t="shared" si="8"/>
        <v>231632</v>
      </c>
      <c r="U61" s="229">
        <f t="shared" si="14"/>
        <v>231632</v>
      </c>
      <c r="V61" s="356">
        <f t="shared" si="7"/>
        <v>231632</v>
      </c>
      <c r="W61" s="356">
        <v>0</v>
      </c>
      <c r="X61" s="356">
        <f t="shared" si="9"/>
        <v>0</v>
      </c>
      <c r="Y61" s="229">
        <v>0</v>
      </c>
      <c r="Z61" s="229">
        <f t="shared" si="10"/>
        <v>0</v>
      </c>
      <c r="AA61" s="276" t="s">
        <v>331</v>
      </c>
      <c r="AB61" s="270">
        <f>SUMIF('Allocation Factors'!$B$3:$B$89,'Accumulated Deferred Income Tax'!AA61,'Allocation Factors'!$P$3:$P$89)</f>
        <v>0</v>
      </c>
      <c r="AC61" s="271">
        <f t="shared" si="11"/>
        <v>0</v>
      </c>
      <c r="AD61" s="271">
        <f t="shared" si="12"/>
        <v>0</v>
      </c>
      <c r="AE61" s="30">
        <f t="shared" si="13"/>
        <v>0</v>
      </c>
    </row>
    <row r="62" spans="1:31">
      <c r="A62" s="29">
        <v>287270</v>
      </c>
      <c r="B62" s="29">
        <v>190</v>
      </c>
      <c r="C62" s="44" t="s">
        <v>586</v>
      </c>
      <c r="D62" s="272" t="s">
        <v>8</v>
      </c>
      <c r="E62" s="311" t="s">
        <v>8</v>
      </c>
      <c r="F62" s="29" t="s">
        <v>333</v>
      </c>
      <c r="G62" s="229">
        <v>-923918</v>
      </c>
      <c r="H62" s="229">
        <v>-923918</v>
      </c>
      <c r="I62" s="229">
        <v>-923918</v>
      </c>
      <c r="J62" s="229">
        <v>-923918</v>
      </c>
      <c r="K62" s="229">
        <v>-923918</v>
      </c>
      <c r="L62" s="229">
        <v>-923918</v>
      </c>
      <c r="M62" s="229">
        <v>-675631</v>
      </c>
      <c r="N62" s="229">
        <v>-675631</v>
      </c>
      <c r="O62" s="229">
        <v>-675631</v>
      </c>
      <c r="P62" s="229">
        <v>-675631</v>
      </c>
      <c r="Q62" s="229">
        <v>-675631</v>
      </c>
      <c r="R62" s="229">
        <v>-675631</v>
      </c>
      <c r="S62" s="229">
        <v>-675631</v>
      </c>
      <c r="T62" s="229">
        <f t="shared" si="8"/>
        <v>-789429</v>
      </c>
      <c r="U62" s="229">
        <f t="shared" si="14"/>
        <v>-789429</v>
      </c>
      <c r="V62" s="356">
        <f t="shared" si="7"/>
        <v>-789429</v>
      </c>
      <c r="W62" s="356">
        <v>0</v>
      </c>
      <c r="X62" s="356">
        <f t="shared" si="9"/>
        <v>0</v>
      </c>
      <c r="Y62" s="229">
        <v>0</v>
      </c>
      <c r="Z62" s="229">
        <f t="shared" si="10"/>
        <v>0</v>
      </c>
      <c r="AA62" s="276" t="s">
        <v>331</v>
      </c>
      <c r="AB62" s="270">
        <f>SUMIF('Allocation Factors'!$B$3:$B$89,'Accumulated Deferred Income Tax'!AA62,'Allocation Factors'!$P$3:$P$89)</f>
        <v>0</v>
      </c>
      <c r="AC62" s="271">
        <f t="shared" si="11"/>
        <v>0</v>
      </c>
      <c r="AD62" s="271">
        <f t="shared" si="12"/>
        <v>0</v>
      </c>
      <c r="AE62" s="30">
        <f t="shared" si="13"/>
        <v>0</v>
      </c>
    </row>
    <row r="63" spans="1:31">
      <c r="A63" s="29">
        <v>287271</v>
      </c>
      <c r="B63" s="29">
        <v>190</v>
      </c>
      <c r="C63" s="44" t="s">
        <v>489</v>
      </c>
      <c r="D63" s="272">
        <v>705.33600000000001</v>
      </c>
      <c r="E63" s="311" t="s">
        <v>8</v>
      </c>
      <c r="F63" s="29" t="s">
        <v>9</v>
      </c>
      <c r="G63" s="229">
        <v>0</v>
      </c>
      <c r="H63" s="229">
        <v>0</v>
      </c>
      <c r="I63" s="229">
        <v>0</v>
      </c>
      <c r="J63" s="229">
        <v>0</v>
      </c>
      <c r="K63" s="229">
        <v>0</v>
      </c>
      <c r="L63" s="229">
        <v>0</v>
      </c>
      <c r="M63" s="229">
        <v>0</v>
      </c>
      <c r="N63" s="229">
        <v>0</v>
      </c>
      <c r="O63" s="229">
        <v>0</v>
      </c>
      <c r="P63" s="229">
        <v>25699</v>
      </c>
      <c r="Q63" s="229">
        <v>44624</v>
      </c>
      <c r="R63" s="229">
        <v>0</v>
      </c>
      <c r="S63" s="229">
        <v>74470</v>
      </c>
      <c r="T63" s="229">
        <f t="shared" ref="T63:T64" si="15">ROUND(((G63*1)+(SUM(H63:R63)*2)+(S63*1))/24,0)</f>
        <v>8963</v>
      </c>
      <c r="U63" s="229">
        <f t="shared" si="14"/>
        <v>8963</v>
      </c>
      <c r="V63" s="356">
        <f t="shared" si="7"/>
        <v>8963</v>
      </c>
      <c r="W63" s="356">
        <v>0</v>
      </c>
      <c r="X63" s="356">
        <f t="shared" si="9"/>
        <v>8963</v>
      </c>
      <c r="Y63" s="229">
        <v>0</v>
      </c>
      <c r="Z63" s="229">
        <f t="shared" si="10"/>
        <v>8963</v>
      </c>
      <c r="AA63" s="276" t="s">
        <v>15</v>
      </c>
      <c r="AB63" s="270">
        <f>SUMIF('Allocation Factors'!$B$3:$B$89,'Accumulated Deferred Income Tax'!AA63,'Allocation Factors'!$P$3:$P$89)</f>
        <v>0</v>
      </c>
      <c r="AC63" s="271">
        <f t="shared" si="11"/>
        <v>0</v>
      </c>
      <c r="AD63" s="271">
        <f t="shared" si="12"/>
        <v>0</v>
      </c>
      <c r="AE63" s="30">
        <f t="shared" si="13"/>
        <v>0</v>
      </c>
    </row>
    <row r="64" spans="1:31">
      <c r="A64" s="29">
        <v>287272</v>
      </c>
      <c r="B64" s="29">
        <v>190</v>
      </c>
      <c r="C64" s="44" t="s">
        <v>555</v>
      </c>
      <c r="D64" s="272">
        <v>705.33699999999999</v>
      </c>
      <c r="E64" s="311" t="s">
        <v>8</v>
      </c>
      <c r="F64" s="29" t="s">
        <v>9</v>
      </c>
      <c r="G64" s="229">
        <v>0</v>
      </c>
      <c r="H64" s="229">
        <v>0</v>
      </c>
      <c r="I64" s="229">
        <v>0</v>
      </c>
      <c r="J64" s="229">
        <v>0</v>
      </c>
      <c r="K64" s="229">
        <v>0</v>
      </c>
      <c r="L64" s="229">
        <v>0</v>
      </c>
      <c r="M64" s="229">
        <v>0</v>
      </c>
      <c r="N64" s="229">
        <v>0</v>
      </c>
      <c r="O64" s="229">
        <v>0</v>
      </c>
      <c r="P64" s="229">
        <v>0</v>
      </c>
      <c r="Q64" s="229">
        <v>0</v>
      </c>
      <c r="R64" s="229">
        <v>0</v>
      </c>
      <c r="S64" s="229">
        <v>21210</v>
      </c>
      <c r="T64" s="229">
        <f t="shared" si="15"/>
        <v>884</v>
      </c>
      <c r="U64" s="229">
        <f t="shared" si="14"/>
        <v>884</v>
      </c>
      <c r="V64" s="356">
        <f t="shared" si="7"/>
        <v>884</v>
      </c>
      <c r="W64" s="356">
        <v>0</v>
      </c>
      <c r="X64" s="356">
        <f t="shared" si="9"/>
        <v>884</v>
      </c>
      <c r="Y64" s="229">
        <v>0</v>
      </c>
      <c r="Z64" s="229">
        <f t="shared" si="10"/>
        <v>884</v>
      </c>
      <c r="AA64" s="276" t="s">
        <v>15</v>
      </c>
      <c r="AB64" s="270">
        <f>SUMIF('Allocation Factors'!$B$3:$B$89,'Accumulated Deferred Income Tax'!AA64,'Allocation Factors'!$P$3:$P$89)</f>
        <v>0</v>
      </c>
      <c r="AC64" s="271">
        <f t="shared" si="11"/>
        <v>0</v>
      </c>
      <c r="AD64" s="271">
        <f t="shared" si="12"/>
        <v>0</v>
      </c>
      <c r="AE64" s="30">
        <f t="shared" si="13"/>
        <v>0</v>
      </c>
    </row>
    <row r="65" spans="1:31">
      <c r="A65" s="29">
        <v>287276</v>
      </c>
      <c r="B65" s="29">
        <v>190</v>
      </c>
      <c r="C65" s="44" t="s">
        <v>587</v>
      </c>
      <c r="D65" s="273">
        <v>920.10699999999997</v>
      </c>
      <c r="E65" s="74" t="s">
        <v>8</v>
      </c>
      <c r="F65" s="29" t="s">
        <v>333</v>
      </c>
      <c r="G65" s="229">
        <v>3765</v>
      </c>
      <c r="H65" s="229">
        <v>3765</v>
      </c>
      <c r="I65" s="229">
        <v>3765</v>
      </c>
      <c r="J65" s="229">
        <v>3765</v>
      </c>
      <c r="K65" s="229">
        <v>3765</v>
      </c>
      <c r="L65" s="229">
        <v>3765</v>
      </c>
      <c r="M65" s="229">
        <v>3765</v>
      </c>
      <c r="N65" s="229">
        <v>3765</v>
      </c>
      <c r="O65" s="229">
        <v>3765</v>
      </c>
      <c r="P65" s="229">
        <v>3765</v>
      </c>
      <c r="Q65" s="229">
        <v>3765</v>
      </c>
      <c r="R65" s="229">
        <v>3765</v>
      </c>
      <c r="S65" s="229">
        <v>3765</v>
      </c>
      <c r="T65" s="229">
        <f t="shared" ref="T65:T96" si="16">ROUND(((G65*1)+(SUM(H65:R65)*2)+(S65*1))/24,0)</f>
        <v>3765</v>
      </c>
      <c r="U65" s="229">
        <f t="shared" si="14"/>
        <v>3765</v>
      </c>
      <c r="V65" s="356">
        <f t="shared" si="7"/>
        <v>3765</v>
      </c>
      <c r="W65" s="356">
        <v>0</v>
      </c>
      <c r="X65" s="356">
        <f t="shared" si="9"/>
        <v>0</v>
      </c>
      <c r="Y65" s="229">
        <v>0</v>
      </c>
      <c r="Z65" s="229">
        <f t="shared" si="10"/>
        <v>0</v>
      </c>
      <c r="AA65" s="276" t="s">
        <v>331</v>
      </c>
      <c r="AB65" s="270">
        <f>SUMIF('Allocation Factors'!$B$3:$B$89,'Accumulated Deferred Income Tax'!AA65,'Allocation Factors'!$P$3:$P$89)</f>
        <v>0</v>
      </c>
      <c r="AC65" s="271">
        <f t="shared" si="11"/>
        <v>0</v>
      </c>
      <c r="AD65" s="271">
        <f t="shared" si="12"/>
        <v>0</v>
      </c>
      <c r="AE65" s="30">
        <f t="shared" si="13"/>
        <v>0</v>
      </c>
    </row>
    <row r="66" spans="1:31">
      <c r="A66" s="29">
        <v>287280</v>
      </c>
      <c r="B66" s="29">
        <v>190</v>
      </c>
      <c r="C66" s="44" t="s">
        <v>588</v>
      </c>
      <c r="D66" s="272" t="s">
        <v>8</v>
      </c>
      <c r="E66" s="74" t="s">
        <v>8</v>
      </c>
      <c r="F66" s="29" t="s">
        <v>333</v>
      </c>
      <c r="G66" s="229">
        <v>294419</v>
      </c>
      <c r="H66" s="229">
        <v>294419</v>
      </c>
      <c r="I66" s="229">
        <v>294419</v>
      </c>
      <c r="J66" s="229">
        <v>294419</v>
      </c>
      <c r="K66" s="229">
        <v>294419</v>
      </c>
      <c r="L66" s="229">
        <v>187028</v>
      </c>
      <c r="M66" s="229">
        <v>187100</v>
      </c>
      <c r="N66" s="229">
        <v>187100</v>
      </c>
      <c r="O66" s="229">
        <v>187100</v>
      </c>
      <c r="P66" s="229">
        <v>187100</v>
      </c>
      <c r="Q66" s="229">
        <v>187100</v>
      </c>
      <c r="R66" s="229">
        <v>187100</v>
      </c>
      <c r="S66" s="229">
        <v>187100</v>
      </c>
      <c r="T66" s="229">
        <f t="shared" si="16"/>
        <v>227339</v>
      </c>
      <c r="U66" s="229">
        <f t="shared" si="14"/>
        <v>227339</v>
      </c>
      <c r="V66" s="356">
        <f t="shared" si="7"/>
        <v>227339</v>
      </c>
      <c r="W66" s="356">
        <v>0</v>
      </c>
      <c r="X66" s="356">
        <f t="shared" si="9"/>
        <v>0</v>
      </c>
      <c r="Y66" s="229">
        <v>0</v>
      </c>
      <c r="Z66" s="229">
        <f t="shared" si="10"/>
        <v>0</v>
      </c>
      <c r="AA66" s="276" t="s">
        <v>331</v>
      </c>
      <c r="AB66" s="270">
        <f>SUMIF('Allocation Factors'!$B$3:$B$89,'Accumulated Deferred Income Tax'!AA66,'Allocation Factors'!$P$3:$P$89)</f>
        <v>0</v>
      </c>
      <c r="AC66" s="271">
        <f t="shared" si="11"/>
        <v>0</v>
      </c>
      <c r="AD66" s="271">
        <f t="shared" si="12"/>
        <v>0</v>
      </c>
      <c r="AE66" s="30">
        <f t="shared" si="13"/>
        <v>0</v>
      </c>
    </row>
    <row r="67" spans="1:31">
      <c r="A67" s="29">
        <v>287281</v>
      </c>
      <c r="B67" s="29">
        <v>190</v>
      </c>
      <c r="C67" s="44" t="s">
        <v>589</v>
      </c>
      <c r="D67" s="273" t="s">
        <v>8</v>
      </c>
      <c r="E67" s="74" t="s">
        <v>8</v>
      </c>
      <c r="F67" s="29" t="s">
        <v>9</v>
      </c>
      <c r="G67" s="229">
        <v>384459</v>
      </c>
      <c r="H67" s="229">
        <v>384459</v>
      </c>
      <c r="I67" s="229">
        <v>384459</v>
      </c>
      <c r="J67" s="229">
        <v>384459</v>
      </c>
      <c r="K67" s="229">
        <v>384459</v>
      </c>
      <c r="L67" s="229">
        <v>384459</v>
      </c>
      <c r="M67" s="229">
        <v>255284</v>
      </c>
      <c r="N67" s="229">
        <v>255284</v>
      </c>
      <c r="O67" s="229">
        <v>255284</v>
      </c>
      <c r="P67" s="229">
        <v>255284</v>
      </c>
      <c r="Q67" s="229">
        <v>255284</v>
      </c>
      <c r="R67" s="229">
        <v>255284</v>
      </c>
      <c r="S67" s="229">
        <v>255284</v>
      </c>
      <c r="T67" s="229">
        <f t="shared" si="16"/>
        <v>314489</v>
      </c>
      <c r="U67" s="229">
        <f t="shared" si="14"/>
        <v>314489</v>
      </c>
      <c r="V67" s="356">
        <f t="shared" si="7"/>
        <v>314489</v>
      </c>
      <c r="W67" s="356">
        <v>0</v>
      </c>
      <c r="X67" s="356">
        <f t="shared" ref="X67:X98" si="17">IF(F67="U",V67,0)</f>
        <v>314489</v>
      </c>
      <c r="Y67" s="229">
        <v>0</v>
      </c>
      <c r="Z67" s="229">
        <f t="shared" ref="Z67:Z98" si="18">SUM(X67:Y67)</f>
        <v>314489</v>
      </c>
      <c r="AA67" s="276" t="s">
        <v>15</v>
      </c>
      <c r="AB67" s="270">
        <f>SUMIF('Allocation Factors'!$B$3:$B$89,'Accumulated Deferred Income Tax'!AA67,'Allocation Factors'!$P$3:$P$89)</f>
        <v>0</v>
      </c>
      <c r="AC67" s="271">
        <f t="shared" ref="AC67:AC98" si="19">ROUND(X67*AB67,0)</f>
        <v>0</v>
      </c>
      <c r="AD67" s="271">
        <f t="shared" ref="AD67:AD98" si="20">ROUND(Y67*AB67,0)</f>
        <v>0</v>
      </c>
      <c r="AE67" s="30">
        <f t="shared" ref="AE67:AE98" si="21">SUM(AC67:AD67)</f>
        <v>0</v>
      </c>
    </row>
    <row r="68" spans="1:31" s="200" customFormat="1">
      <c r="A68" s="29">
        <v>287284</v>
      </c>
      <c r="B68" s="29">
        <v>190</v>
      </c>
      <c r="C68" s="28" t="s">
        <v>42</v>
      </c>
      <c r="D68" s="273">
        <v>610.14700000000005</v>
      </c>
      <c r="E68" s="74" t="s">
        <v>8</v>
      </c>
      <c r="F68" s="29" t="s">
        <v>333</v>
      </c>
      <c r="G68" s="229">
        <v>77268</v>
      </c>
      <c r="H68" s="229">
        <v>94126</v>
      </c>
      <c r="I68" s="229">
        <v>102656</v>
      </c>
      <c r="J68" s="229">
        <v>104760</v>
      </c>
      <c r="K68" s="229">
        <v>99649</v>
      </c>
      <c r="L68" s="229">
        <v>92572</v>
      </c>
      <c r="M68" s="229">
        <v>201696</v>
      </c>
      <c r="N68" s="229">
        <v>197176</v>
      </c>
      <c r="O68" s="229">
        <v>242779</v>
      </c>
      <c r="P68" s="229">
        <v>323129</v>
      </c>
      <c r="Q68" s="229">
        <v>343825</v>
      </c>
      <c r="R68" s="229">
        <v>339302</v>
      </c>
      <c r="S68" s="229">
        <v>321724</v>
      </c>
      <c r="T68" s="229">
        <f t="shared" si="16"/>
        <v>195097</v>
      </c>
      <c r="U68" s="229">
        <f t="shared" si="14"/>
        <v>195097</v>
      </c>
      <c r="V68" s="356">
        <f t="shared" si="7"/>
        <v>195097</v>
      </c>
      <c r="W68" s="356">
        <v>0</v>
      </c>
      <c r="X68" s="356">
        <f t="shared" si="17"/>
        <v>0</v>
      </c>
      <c r="Y68" s="229">
        <v>0</v>
      </c>
      <c r="Z68" s="229">
        <f t="shared" si="18"/>
        <v>0</v>
      </c>
      <c r="AA68" s="276" t="s">
        <v>331</v>
      </c>
      <c r="AB68" s="270">
        <f>SUMIF('Allocation Factors'!$B$3:$B$89,'Accumulated Deferred Income Tax'!AA68,'Allocation Factors'!$P$3:$P$89)</f>
        <v>0</v>
      </c>
      <c r="AC68" s="271">
        <f t="shared" si="19"/>
        <v>0</v>
      </c>
      <c r="AD68" s="271">
        <f t="shared" si="20"/>
        <v>0</v>
      </c>
      <c r="AE68" s="30">
        <f t="shared" si="21"/>
        <v>0</v>
      </c>
    </row>
    <row r="69" spans="1:31">
      <c r="A69" s="29">
        <v>287290</v>
      </c>
      <c r="B69" s="29">
        <v>190</v>
      </c>
      <c r="C69" s="28" t="s">
        <v>36</v>
      </c>
      <c r="D69" s="273">
        <v>425.15</v>
      </c>
      <c r="E69" s="74" t="s">
        <v>8</v>
      </c>
      <c r="F69" s="29" t="s">
        <v>333</v>
      </c>
      <c r="G69" s="229">
        <v>265061</v>
      </c>
      <c r="H69" s="229">
        <v>265061</v>
      </c>
      <c r="I69" s="229">
        <v>265061</v>
      </c>
      <c r="J69" s="229">
        <v>266437</v>
      </c>
      <c r="K69" s="229">
        <v>266437</v>
      </c>
      <c r="L69" s="229">
        <v>266437</v>
      </c>
      <c r="M69" s="229">
        <v>267814</v>
      </c>
      <c r="N69" s="229">
        <v>267814</v>
      </c>
      <c r="O69" s="229">
        <v>267814</v>
      </c>
      <c r="P69" s="229">
        <v>268399</v>
      </c>
      <c r="Q69" s="229">
        <v>268399</v>
      </c>
      <c r="R69" s="229">
        <v>268399</v>
      </c>
      <c r="S69" s="229">
        <v>268888</v>
      </c>
      <c r="T69" s="229">
        <f t="shared" si="16"/>
        <v>267087</v>
      </c>
      <c r="U69" s="229">
        <f t="shared" ref="U69:U100" si="22">+T69</f>
        <v>267087</v>
      </c>
      <c r="V69" s="356">
        <f t="shared" ref="V69:V132" si="23">+U69</f>
        <v>267087</v>
      </c>
      <c r="W69" s="356">
        <v>0</v>
      </c>
      <c r="X69" s="356">
        <f t="shared" si="17"/>
        <v>0</v>
      </c>
      <c r="Y69" s="229">
        <v>0</v>
      </c>
      <c r="Z69" s="229">
        <f t="shared" si="18"/>
        <v>0</v>
      </c>
      <c r="AA69" s="276" t="s">
        <v>331</v>
      </c>
      <c r="AB69" s="270">
        <f>SUMIF('Allocation Factors'!$B$3:$B$89,'Accumulated Deferred Income Tax'!AA69,'Allocation Factors'!$P$3:$P$89)</f>
        <v>0</v>
      </c>
      <c r="AC69" s="271">
        <f t="shared" si="19"/>
        <v>0</v>
      </c>
      <c r="AD69" s="271">
        <f t="shared" si="20"/>
        <v>0</v>
      </c>
      <c r="AE69" s="30">
        <f t="shared" si="21"/>
        <v>0</v>
      </c>
    </row>
    <row r="70" spans="1:31">
      <c r="A70" s="29">
        <v>287297</v>
      </c>
      <c r="B70" s="29">
        <v>190</v>
      </c>
      <c r="C70" s="90" t="s">
        <v>550</v>
      </c>
      <c r="D70" s="273">
        <v>505.15499999999997</v>
      </c>
      <c r="E70" s="74" t="s">
        <v>8</v>
      </c>
      <c r="F70" s="29" t="s">
        <v>9</v>
      </c>
      <c r="G70" s="229">
        <v>0</v>
      </c>
      <c r="H70" s="229">
        <v>0</v>
      </c>
      <c r="I70" s="229">
        <v>0</v>
      </c>
      <c r="J70" s="229">
        <v>0</v>
      </c>
      <c r="K70" s="229">
        <v>0</v>
      </c>
      <c r="L70" s="229">
        <v>0</v>
      </c>
      <c r="M70" s="229">
        <v>69114</v>
      </c>
      <c r="N70" s="229">
        <v>69114</v>
      </c>
      <c r="O70" s="229">
        <v>69114</v>
      </c>
      <c r="P70" s="229">
        <v>34557</v>
      </c>
      <c r="Q70" s="229">
        <v>32637</v>
      </c>
      <c r="R70" s="229">
        <v>32637</v>
      </c>
      <c r="S70" s="229">
        <v>28798</v>
      </c>
      <c r="T70" s="229">
        <f t="shared" si="16"/>
        <v>26798</v>
      </c>
      <c r="U70" s="229">
        <f t="shared" si="22"/>
        <v>26798</v>
      </c>
      <c r="V70" s="356">
        <f t="shared" si="23"/>
        <v>26798</v>
      </c>
      <c r="W70" s="356">
        <v>0</v>
      </c>
      <c r="X70" s="356">
        <f t="shared" si="17"/>
        <v>26798</v>
      </c>
      <c r="Y70" s="229">
        <v>0</v>
      </c>
      <c r="Z70" s="229">
        <f t="shared" si="18"/>
        <v>26798</v>
      </c>
      <c r="AA70" s="276" t="s">
        <v>15</v>
      </c>
      <c r="AB70" s="270">
        <f>SUMIF('Allocation Factors'!$B$3:$B$89,'Accumulated Deferred Income Tax'!AA70,'Allocation Factors'!$P$3:$P$89)</f>
        <v>0</v>
      </c>
      <c r="AC70" s="271">
        <f t="shared" si="19"/>
        <v>0</v>
      </c>
      <c r="AD70" s="271">
        <f t="shared" si="20"/>
        <v>0</v>
      </c>
      <c r="AE70" s="30">
        <f t="shared" si="21"/>
        <v>0</v>
      </c>
    </row>
    <row r="71" spans="1:31">
      <c r="A71" s="29">
        <v>287298</v>
      </c>
      <c r="B71" s="29">
        <v>190</v>
      </c>
      <c r="C71" s="28" t="s">
        <v>590</v>
      </c>
      <c r="D71" s="273">
        <v>205.21</v>
      </c>
      <c r="E71" s="74" t="s">
        <v>8</v>
      </c>
      <c r="F71" s="29" t="s">
        <v>9</v>
      </c>
      <c r="G71" s="229">
        <v>501567</v>
      </c>
      <c r="H71" s="229">
        <v>501567</v>
      </c>
      <c r="I71" s="229">
        <v>501567</v>
      </c>
      <c r="J71" s="229">
        <v>501567</v>
      </c>
      <c r="K71" s="229">
        <v>501567</v>
      </c>
      <c r="L71" s="229">
        <v>501567</v>
      </c>
      <c r="M71" s="229">
        <v>501567</v>
      </c>
      <c r="N71" s="229">
        <v>501567</v>
      </c>
      <c r="O71" s="229">
        <v>501567</v>
      </c>
      <c r="P71" s="229">
        <v>501567</v>
      </c>
      <c r="Q71" s="229">
        <v>501567</v>
      </c>
      <c r="R71" s="229">
        <v>501567</v>
      </c>
      <c r="S71" s="229">
        <v>501567</v>
      </c>
      <c r="T71" s="229">
        <f t="shared" si="16"/>
        <v>501567</v>
      </c>
      <c r="U71" s="229">
        <f t="shared" si="22"/>
        <v>501567</v>
      </c>
      <c r="V71" s="356">
        <f t="shared" si="23"/>
        <v>501567</v>
      </c>
      <c r="W71" s="356">
        <v>0</v>
      </c>
      <c r="X71" s="356">
        <f t="shared" si="17"/>
        <v>501567</v>
      </c>
      <c r="Y71" s="229">
        <v>0</v>
      </c>
      <c r="Z71" s="229">
        <f t="shared" si="18"/>
        <v>501567</v>
      </c>
      <c r="AA71" s="276" t="s">
        <v>119</v>
      </c>
      <c r="AB71" s="270">
        <f>SUMIF('Allocation Factors'!$B$3:$B$89,'Accumulated Deferred Income Tax'!AA71,'Allocation Factors'!$P$3:$P$89)</f>
        <v>0</v>
      </c>
      <c r="AC71" s="271">
        <f t="shared" si="19"/>
        <v>0</v>
      </c>
      <c r="AD71" s="271">
        <f t="shared" si="20"/>
        <v>0</v>
      </c>
      <c r="AE71" s="30">
        <f t="shared" si="21"/>
        <v>0</v>
      </c>
    </row>
    <row r="72" spans="1:31">
      <c r="A72" s="29">
        <v>287299</v>
      </c>
      <c r="B72" s="29">
        <v>190</v>
      </c>
      <c r="C72" s="28" t="s">
        <v>554</v>
      </c>
      <c r="D72" s="273">
        <v>705.26499999999999</v>
      </c>
      <c r="E72" s="74" t="s">
        <v>8</v>
      </c>
      <c r="F72" s="29" t="s">
        <v>9</v>
      </c>
      <c r="G72" s="229">
        <v>672724</v>
      </c>
      <c r="H72" s="229">
        <v>736098</v>
      </c>
      <c r="I72" s="229">
        <v>817699</v>
      </c>
      <c r="J72" s="229">
        <v>722217</v>
      </c>
      <c r="K72" s="229">
        <v>629798</v>
      </c>
      <c r="L72" s="229">
        <v>690719</v>
      </c>
      <c r="M72" s="229">
        <v>1075744</v>
      </c>
      <c r="N72" s="229">
        <v>725749</v>
      </c>
      <c r="O72" s="229">
        <v>869925</v>
      </c>
      <c r="P72" s="229">
        <v>885266</v>
      </c>
      <c r="Q72" s="229">
        <v>752115</v>
      </c>
      <c r="R72" s="229">
        <v>690319</v>
      </c>
      <c r="S72" s="229">
        <v>704974</v>
      </c>
      <c r="T72" s="229">
        <f t="shared" si="16"/>
        <v>773708</v>
      </c>
      <c r="U72" s="229">
        <f t="shared" si="22"/>
        <v>773708</v>
      </c>
      <c r="V72" s="356">
        <f t="shared" si="23"/>
        <v>773708</v>
      </c>
      <c r="W72" s="356">
        <v>0</v>
      </c>
      <c r="X72" s="356">
        <f t="shared" si="17"/>
        <v>773708</v>
      </c>
      <c r="Y72" s="229">
        <v>0</v>
      </c>
      <c r="Z72" s="229">
        <f t="shared" si="18"/>
        <v>773708</v>
      </c>
      <c r="AA72" s="276" t="s">
        <v>15</v>
      </c>
      <c r="AB72" s="270">
        <f>SUMIF('Allocation Factors'!$B$3:$B$89,'Accumulated Deferred Income Tax'!AA72,'Allocation Factors'!$P$3:$P$89)</f>
        <v>0</v>
      </c>
      <c r="AC72" s="271">
        <f t="shared" si="19"/>
        <v>0</v>
      </c>
      <c r="AD72" s="271">
        <f t="shared" si="20"/>
        <v>0</v>
      </c>
      <c r="AE72" s="30">
        <f t="shared" si="21"/>
        <v>0</v>
      </c>
    </row>
    <row r="73" spans="1:31">
      <c r="A73" s="29">
        <v>287300</v>
      </c>
      <c r="B73" s="29">
        <v>190</v>
      </c>
      <c r="C73" s="90" t="s">
        <v>507</v>
      </c>
      <c r="D73" s="273">
        <v>920.18200000000002</v>
      </c>
      <c r="E73" s="74" t="s">
        <v>8</v>
      </c>
      <c r="F73" s="29" t="s">
        <v>333</v>
      </c>
      <c r="G73" s="229">
        <v>3855076</v>
      </c>
      <c r="H73" s="229">
        <v>3962805</v>
      </c>
      <c r="I73" s="229">
        <v>4043079</v>
      </c>
      <c r="J73" s="229">
        <v>5276654</v>
      </c>
      <c r="K73" s="229">
        <v>5174083</v>
      </c>
      <c r="L73" s="229">
        <v>5245743</v>
      </c>
      <c r="M73" s="229">
        <v>5102064</v>
      </c>
      <c r="N73" s="229">
        <v>3611072</v>
      </c>
      <c r="O73" s="229">
        <v>3541142</v>
      </c>
      <c r="P73" s="229">
        <v>3721944</v>
      </c>
      <c r="Q73" s="229">
        <v>3970371</v>
      </c>
      <c r="R73" s="229">
        <v>3878321</v>
      </c>
      <c r="S73" s="229">
        <v>3991236</v>
      </c>
      <c r="T73" s="229">
        <f t="shared" si="16"/>
        <v>4287536</v>
      </c>
      <c r="U73" s="229">
        <f t="shared" si="22"/>
        <v>4287536</v>
      </c>
      <c r="V73" s="356">
        <f t="shared" si="23"/>
        <v>4287536</v>
      </c>
      <c r="W73" s="356">
        <v>0</v>
      </c>
      <c r="X73" s="356">
        <f t="shared" si="17"/>
        <v>0</v>
      </c>
      <c r="Y73" s="229">
        <v>0</v>
      </c>
      <c r="Z73" s="229">
        <f t="shared" si="18"/>
        <v>0</v>
      </c>
      <c r="AA73" s="276" t="s">
        <v>331</v>
      </c>
      <c r="AB73" s="270">
        <f>SUMIF('Allocation Factors'!$B$3:$B$89,'Accumulated Deferred Income Tax'!AA73,'Allocation Factors'!$P$3:$P$89)</f>
        <v>0</v>
      </c>
      <c r="AC73" s="271">
        <f t="shared" si="19"/>
        <v>0</v>
      </c>
      <c r="AD73" s="271">
        <f t="shared" si="20"/>
        <v>0</v>
      </c>
      <c r="AE73" s="30">
        <f t="shared" si="21"/>
        <v>0</v>
      </c>
    </row>
    <row r="74" spans="1:31">
      <c r="A74" s="29">
        <v>287302</v>
      </c>
      <c r="B74" s="29">
        <v>190</v>
      </c>
      <c r="C74" s="90" t="s">
        <v>552</v>
      </c>
      <c r="D74" s="273">
        <v>610.11400000000003</v>
      </c>
      <c r="E74" s="74" t="s">
        <v>8</v>
      </c>
      <c r="F74" s="29" t="s">
        <v>9</v>
      </c>
      <c r="G74" s="229">
        <v>754358</v>
      </c>
      <c r="H74" s="229">
        <v>754358</v>
      </c>
      <c r="I74" s="229">
        <v>754358</v>
      </c>
      <c r="J74" s="229">
        <v>754358</v>
      </c>
      <c r="K74" s="229">
        <v>754358</v>
      </c>
      <c r="L74" s="229">
        <v>754358</v>
      </c>
      <c r="M74" s="229">
        <v>1565176</v>
      </c>
      <c r="N74" s="229">
        <v>1565176</v>
      </c>
      <c r="O74" s="229">
        <v>1565176</v>
      </c>
      <c r="P74" s="229">
        <v>1565176</v>
      </c>
      <c r="Q74" s="229">
        <v>1565176</v>
      </c>
      <c r="R74" s="229">
        <v>1565176</v>
      </c>
      <c r="S74" s="229">
        <v>1565176</v>
      </c>
      <c r="T74" s="229">
        <f t="shared" si="16"/>
        <v>1193551</v>
      </c>
      <c r="U74" s="229">
        <f t="shared" si="22"/>
        <v>1193551</v>
      </c>
      <c r="V74" s="356">
        <f t="shared" si="23"/>
        <v>1193551</v>
      </c>
      <c r="W74" s="356">
        <v>0</v>
      </c>
      <c r="X74" s="356">
        <f t="shared" si="17"/>
        <v>1193551</v>
      </c>
      <c r="Y74" s="229">
        <v>0</v>
      </c>
      <c r="Z74" s="229">
        <f t="shared" si="18"/>
        <v>1193551</v>
      </c>
      <c r="AA74" s="276" t="s">
        <v>170</v>
      </c>
      <c r="AB74" s="270">
        <f>SUMIF('Allocation Factors'!$B$3:$B$89,'Accumulated Deferred Income Tax'!AA74,'Allocation Factors'!$P$3:$P$89)</f>
        <v>0.22591574269314921</v>
      </c>
      <c r="AC74" s="271">
        <f t="shared" si="19"/>
        <v>269642</v>
      </c>
      <c r="AD74" s="271">
        <f t="shared" si="20"/>
        <v>0</v>
      </c>
      <c r="AE74" s="30">
        <f t="shared" si="21"/>
        <v>269642</v>
      </c>
    </row>
    <row r="75" spans="1:31" ht="12.75" customHeight="1">
      <c r="A75" s="29">
        <v>287304</v>
      </c>
      <c r="B75" s="29">
        <v>190</v>
      </c>
      <c r="C75" s="28" t="s">
        <v>553</v>
      </c>
      <c r="D75" s="273">
        <v>610.14599999999996</v>
      </c>
      <c r="E75" s="74" t="s">
        <v>8</v>
      </c>
      <c r="F75" s="29" t="s">
        <v>9</v>
      </c>
      <c r="G75" s="229">
        <v>-65320</v>
      </c>
      <c r="H75" s="229">
        <v>-65326</v>
      </c>
      <c r="I75" s="229">
        <v>-65315</v>
      </c>
      <c r="J75" s="229">
        <v>-65344</v>
      </c>
      <c r="K75" s="229">
        <v>-65338</v>
      </c>
      <c r="L75" s="229">
        <v>-65337</v>
      </c>
      <c r="M75" s="229">
        <v>-65343</v>
      </c>
      <c r="N75" s="229">
        <v>-65353</v>
      </c>
      <c r="O75" s="229">
        <v>-65338</v>
      </c>
      <c r="P75" s="229">
        <v>-65378</v>
      </c>
      <c r="Q75" s="229">
        <v>-65378</v>
      </c>
      <c r="R75" s="229">
        <v>-65382</v>
      </c>
      <c r="S75" s="229">
        <v>-65394</v>
      </c>
      <c r="T75" s="229">
        <f t="shared" si="16"/>
        <v>-65349</v>
      </c>
      <c r="U75" s="229">
        <f t="shared" si="22"/>
        <v>-65349</v>
      </c>
      <c r="V75" s="356">
        <f t="shared" si="23"/>
        <v>-65349</v>
      </c>
      <c r="W75" s="356">
        <v>0</v>
      </c>
      <c r="X75" s="356">
        <f t="shared" si="17"/>
        <v>-65349</v>
      </c>
      <c r="Y75" s="229">
        <v>0</v>
      </c>
      <c r="Z75" s="229">
        <f t="shared" si="18"/>
        <v>-65349</v>
      </c>
      <c r="AA75" s="276" t="s">
        <v>30</v>
      </c>
      <c r="AB75" s="270">
        <f>SUMIF('Allocation Factors'!$B$3:$B$89,'Accumulated Deferred Income Tax'!AA75,'Allocation Factors'!$P$3:$P$89)</f>
        <v>0</v>
      </c>
      <c r="AC75" s="271">
        <f t="shared" si="19"/>
        <v>0</v>
      </c>
      <c r="AD75" s="271">
        <f t="shared" si="20"/>
        <v>0</v>
      </c>
      <c r="AE75" s="30">
        <f t="shared" si="21"/>
        <v>0</v>
      </c>
    </row>
    <row r="76" spans="1:31">
      <c r="A76" s="29">
        <v>287312</v>
      </c>
      <c r="B76" s="29">
        <v>190</v>
      </c>
      <c r="C76" s="28" t="s">
        <v>292</v>
      </c>
      <c r="D76" s="273" t="s">
        <v>25</v>
      </c>
      <c r="E76" s="74" t="s">
        <v>8</v>
      </c>
      <c r="F76" s="29" t="s">
        <v>333</v>
      </c>
      <c r="G76" s="229">
        <v>323618</v>
      </c>
      <c r="H76" s="229">
        <v>313434</v>
      </c>
      <c r="I76" s="229">
        <v>303249</v>
      </c>
      <c r="J76" s="229">
        <v>293064</v>
      </c>
      <c r="K76" s="229">
        <v>282880</v>
      </c>
      <c r="L76" s="229">
        <v>273709</v>
      </c>
      <c r="M76" s="229">
        <v>264602</v>
      </c>
      <c r="N76" s="229">
        <v>255247</v>
      </c>
      <c r="O76" s="229">
        <v>245893</v>
      </c>
      <c r="P76" s="229">
        <v>236538</v>
      </c>
      <c r="Q76" s="229">
        <v>227184</v>
      </c>
      <c r="R76" s="229">
        <v>217829</v>
      </c>
      <c r="S76" s="229">
        <v>208474</v>
      </c>
      <c r="T76" s="229">
        <f t="shared" si="16"/>
        <v>264973</v>
      </c>
      <c r="U76" s="229">
        <f t="shared" si="22"/>
        <v>264973</v>
      </c>
      <c r="V76" s="356">
        <f t="shared" si="23"/>
        <v>264973</v>
      </c>
      <c r="W76" s="356">
        <v>0</v>
      </c>
      <c r="X76" s="356">
        <f t="shared" si="17"/>
        <v>0</v>
      </c>
      <c r="Y76" s="229">
        <v>0</v>
      </c>
      <c r="Z76" s="229">
        <f t="shared" si="18"/>
        <v>0</v>
      </c>
      <c r="AA76" s="276" t="s">
        <v>331</v>
      </c>
      <c r="AB76" s="270">
        <f>SUMIF('Allocation Factors'!$B$3:$B$89,'Accumulated Deferred Income Tax'!AA76,'Allocation Factors'!$P$3:$P$89)</f>
        <v>0</v>
      </c>
      <c r="AC76" s="271">
        <f t="shared" si="19"/>
        <v>0</v>
      </c>
      <c r="AD76" s="271">
        <f t="shared" si="20"/>
        <v>0</v>
      </c>
      <c r="AE76" s="30">
        <f t="shared" si="21"/>
        <v>0</v>
      </c>
    </row>
    <row r="77" spans="1:31">
      <c r="A77" s="29">
        <v>287316</v>
      </c>
      <c r="B77" s="29">
        <v>190</v>
      </c>
      <c r="C77" s="28" t="s">
        <v>500</v>
      </c>
      <c r="D77" s="273">
        <v>715.72</v>
      </c>
      <c r="E77" s="74" t="s">
        <v>8</v>
      </c>
      <c r="F77" s="29" t="s">
        <v>333</v>
      </c>
      <c r="G77" s="229">
        <v>110817</v>
      </c>
      <c r="H77" s="229">
        <v>140638</v>
      </c>
      <c r="I77" s="229">
        <v>123883</v>
      </c>
      <c r="J77" s="229">
        <v>133907</v>
      </c>
      <c r="K77" s="229">
        <v>137308</v>
      </c>
      <c r="L77" s="229">
        <v>116096</v>
      </c>
      <c r="M77" s="229">
        <v>115544</v>
      </c>
      <c r="N77" s="229">
        <v>146963</v>
      </c>
      <c r="O77" s="229">
        <v>74957</v>
      </c>
      <c r="P77" s="229">
        <v>0</v>
      </c>
      <c r="Q77" s="229">
        <v>0</v>
      </c>
      <c r="R77" s="229">
        <v>0</v>
      </c>
      <c r="S77" s="229">
        <v>0</v>
      </c>
      <c r="T77" s="229">
        <f t="shared" si="16"/>
        <v>87059</v>
      </c>
      <c r="U77" s="229">
        <f t="shared" si="22"/>
        <v>87059</v>
      </c>
      <c r="V77" s="356">
        <f t="shared" si="23"/>
        <v>87059</v>
      </c>
      <c r="W77" s="356">
        <v>0</v>
      </c>
      <c r="X77" s="356">
        <f t="shared" si="17"/>
        <v>0</v>
      </c>
      <c r="Y77" s="229">
        <v>0</v>
      </c>
      <c r="Z77" s="229">
        <f t="shared" si="18"/>
        <v>0</v>
      </c>
      <c r="AA77" s="276" t="s">
        <v>331</v>
      </c>
      <c r="AB77" s="270">
        <f>SUMIF('Allocation Factors'!$B$3:$B$89,'Accumulated Deferred Income Tax'!AA77,'Allocation Factors'!$P$3:$P$89)</f>
        <v>0</v>
      </c>
      <c r="AC77" s="271">
        <f t="shared" si="19"/>
        <v>0</v>
      </c>
      <c r="AD77" s="271">
        <f t="shared" si="20"/>
        <v>0</v>
      </c>
      <c r="AE77" s="30">
        <f t="shared" si="21"/>
        <v>0</v>
      </c>
    </row>
    <row r="78" spans="1:31">
      <c r="A78" s="29">
        <v>287321</v>
      </c>
      <c r="B78" s="29">
        <v>190</v>
      </c>
      <c r="C78" s="28" t="s">
        <v>591</v>
      </c>
      <c r="D78" s="273">
        <v>100.1</v>
      </c>
      <c r="E78" s="74" t="s">
        <v>8</v>
      </c>
      <c r="F78" s="29" t="s">
        <v>333</v>
      </c>
      <c r="G78" s="229">
        <v>2185616</v>
      </c>
      <c r="H78" s="229">
        <v>2128990</v>
      </c>
      <c r="I78" s="229">
        <v>2072364</v>
      </c>
      <c r="J78" s="229">
        <v>2015738</v>
      </c>
      <c r="K78" s="229">
        <v>1962012</v>
      </c>
      <c r="L78" s="229">
        <v>1912634</v>
      </c>
      <c r="M78" s="229">
        <v>1863169</v>
      </c>
      <c r="N78" s="229">
        <v>1813823</v>
      </c>
      <c r="O78" s="229">
        <v>1764476</v>
      </c>
      <c r="P78" s="229">
        <v>1715130</v>
      </c>
      <c r="Q78" s="229">
        <v>1665784</v>
      </c>
      <c r="R78" s="229">
        <v>1616438</v>
      </c>
      <c r="S78" s="229">
        <v>1567091</v>
      </c>
      <c r="T78" s="229">
        <f t="shared" si="16"/>
        <v>1867243</v>
      </c>
      <c r="U78" s="229">
        <f t="shared" si="22"/>
        <v>1867243</v>
      </c>
      <c r="V78" s="356">
        <f t="shared" si="23"/>
        <v>1867243</v>
      </c>
      <c r="W78" s="356">
        <v>0</v>
      </c>
      <c r="X78" s="356">
        <f t="shared" si="17"/>
        <v>0</v>
      </c>
      <c r="Y78" s="229">
        <v>0</v>
      </c>
      <c r="Z78" s="229">
        <f t="shared" si="18"/>
        <v>0</v>
      </c>
      <c r="AA78" s="276" t="s">
        <v>331</v>
      </c>
      <c r="AB78" s="270">
        <f>SUMIF('Allocation Factors'!$B$3:$B$89,'Accumulated Deferred Income Tax'!AA78,'Allocation Factors'!$P$3:$P$89)</f>
        <v>0</v>
      </c>
      <c r="AC78" s="271">
        <f t="shared" si="19"/>
        <v>0</v>
      </c>
      <c r="AD78" s="271">
        <f t="shared" si="20"/>
        <v>0</v>
      </c>
      <c r="AE78" s="30">
        <f t="shared" si="21"/>
        <v>0</v>
      </c>
    </row>
    <row r="79" spans="1:31">
      <c r="A79" s="29">
        <v>287323</v>
      </c>
      <c r="B79" s="29">
        <v>190</v>
      </c>
      <c r="C79" s="28" t="s">
        <v>473</v>
      </c>
      <c r="D79" s="273">
        <v>505.4</v>
      </c>
      <c r="E79" s="74" t="s">
        <v>8</v>
      </c>
      <c r="F79" s="269" t="s">
        <v>9</v>
      </c>
      <c r="G79" s="229">
        <v>371688</v>
      </c>
      <c r="H79" s="229">
        <v>424304</v>
      </c>
      <c r="I79" s="229">
        <v>473928</v>
      </c>
      <c r="J79" s="229">
        <v>292934</v>
      </c>
      <c r="K79" s="229">
        <v>301471</v>
      </c>
      <c r="L79" s="229">
        <v>321244</v>
      </c>
      <c r="M79" s="229">
        <v>34404</v>
      </c>
      <c r="N79" s="229">
        <v>84616</v>
      </c>
      <c r="O79" s="229">
        <v>131620</v>
      </c>
      <c r="P79" s="229">
        <v>181114</v>
      </c>
      <c r="Q79" s="229">
        <v>225997</v>
      </c>
      <c r="R79" s="229">
        <v>268886</v>
      </c>
      <c r="S79" s="229">
        <v>318869</v>
      </c>
      <c r="T79" s="229">
        <f t="shared" si="16"/>
        <v>257150</v>
      </c>
      <c r="U79" s="229">
        <f t="shared" si="22"/>
        <v>257150</v>
      </c>
      <c r="V79" s="356">
        <f t="shared" si="23"/>
        <v>257150</v>
      </c>
      <c r="W79" s="356">
        <v>0</v>
      </c>
      <c r="X79" s="356">
        <f t="shared" si="17"/>
        <v>257150</v>
      </c>
      <c r="Y79" s="229">
        <v>0</v>
      </c>
      <c r="Z79" s="229">
        <f t="shared" si="18"/>
        <v>257150</v>
      </c>
      <c r="AA79" s="276" t="s">
        <v>10</v>
      </c>
      <c r="AB79" s="270">
        <f>SUMIF('Allocation Factors'!$B$3:$B$89,'Accumulated Deferred Income Tax'!AA79,'Allocation Factors'!$P$3:$P$89)</f>
        <v>6.7017620954721469E-2</v>
      </c>
      <c r="AC79" s="271">
        <f t="shared" si="19"/>
        <v>17234</v>
      </c>
      <c r="AD79" s="271">
        <f t="shared" si="20"/>
        <v>0</v>
      </c>
      <c r="AE79" s="30">
        <f t="shared" si="21"/>
        <v>17234</v>
      </c>
    </row>
    <row r="80" spans="1:31">
      <c r="A80" s="29">
        <v>287324</v>
      </c>
      <c r="B80" s="29">
        <v>190</v>
      </c>
      <c r="C80" s="28" t="s">
        <v>557</v>
      </c>
      <c r="D80" s="273">
        <v>720.2</v>
      </c>
      <c r="E80" s="74" t="s">
        <v>8</v>
      </c>
      <c r="F80" s="269" t="s">
        <v>9</v>
      </c>
      <c r="G80" s="229">
        <v>2139444</v>
      </c>
      <c r="H80" s="229">
        <v>2173052</v>
      </c>
      <c r="I80" s="229">
        <v>2216343</v>
      </c>
      <c r="J80" s="229">
        <v>2212441</v>
      </c>
      <c r="K80" s="229">
        <v>2087297</v>
      </c>
      <c r="L80" s="229">
        <v>2124658</v>
      </c>
      <c r="M80" s="229">
        <v>2116778</v>
      </c>
      <c r="N80" s="229">
        <v>2026215</v>
      </c>
      <c r="O80" s="229">
        <v>2064033</v>
      </c>
      <c r="P80" s="229">
        <v>2082505</v>
      </c>
      <c r="Q80" s="229">
        <v>2142912</v>
      </c>
      <c r="R80" s="229">
        <v>2052860</v>
      </c>
      <c r="S80" s="229">
        <v>2156606</v>
      </c>
      <c r="T80" s="229">
        <f t="shared" si="16"/>
        <v>2120593</v>
      </c>
      <c r="U80" s="229">
        <f t="shared" si="22"/>
        <v>2120593</v>
      </c>
      <c r="V80" s="356">
        <f t="shared" si="23"/>
        <v>2120593</v>
      </c>
      <c r="W80" s="356">
        <v>0</v>
      </c>
      <c r="X80" s="356">
        <f t="shared" si="17"/>
        <v>2120593</v>
      </c>
      <c r="Y80" s="229">
        <v>0</v>
      </c>
      <c r="Z80" s="229">
        <f t="shared" si="18"/>
        <v>2120593</v>
      </c>
      <c r="AA80" s="276" t="s">
        <v>10</v>
      </c>
      <c r="AB80" s="270">
        <f>SUMIF('Allocation Factors'!$B$3:$B$89,'Accumulated Deferred Income Tax'!AA80,'Allocation Factors'!$P$3:$P$89)</f>
        <v>6.7017620954721469E-2</v>
      </c>
      <c r="AC80" s="271">
        <f t="shared" si="19"/>
        <v>142117</v>
      </c>
      <c r="AD80" s="271">
        <f t="shared" si="20"/>
        <v>0</v>
      </c>
      <c r="AE80" s="30">
        <f t="shared" si="21"/>
        <v>142117</v>
      </c>
    </row>
    <row r="81" spans="1:31">
      <c r="A81" s="29">
        <v>287326</v>
      </c>
      <c r="B81" s="29">
        <v>190</v>
      </c>
      <c r="C81" s="28" t="s">
        <v>558</v>
      </c>
      <c r="D81" s="273">
        <v>720.5</v>
      </c>
      <c r="E81" s="74" t="s">
        <v>8</v>
      </c>
      <c r="F81" s="269" t="s">
        <v>9</v>
      </c>
      <c r="G81" s="229">
        <v>282138</v>
      </c>
      <c r="H81" s="229">
        <v>277760</v>
      </c>
      <c r="I81" s="229">
        <v>270696</v>
      </c>
      <c r="J81" s="229">
        <v>260045</v>
      </c>
      <c r="K81" s="229">
        <v>235846</v>
      </c>
      <c r="L81" s="229">
        <v>338817</v>
      </c>
      <c r="M81" s="229">
        <v>326417</v>
      </c>
      <c r="N81" s="229">
        <v>266892</v>
      </c>
      <c r="O81" s="229">
        <v>258280</v>
      </c>
      <c r="P81" s="229">
        <v>244160</v>
      </c>
      <c r="Q81" s="229">
        <v>232887</v>
      </c>
      <c r="R81" s="229">
        <v>221598</v>
      </c>
      <c r="S81" s="229">
        <v>218854</v>
      </c>
      <c r="T81" s="229">
        <f t="shared" si="16"/>
        <v>265325</v>
      </c>
      <c r="U81" s="229">
        <f t="shared" si="22"/>
        <v>265325</v>
      </c>
      <c r="V81" s="356">
        <f t="shared" si="23"/>
        <v>265325</v>
      </c>
      <c r="W81" s="356">
        <v>0</v>
      </c>
      <c r="X81" s="356">
        <f t="shared" si="17"/>
        <v>265325</v>
      </c>
      <c r="Y81" s="229">
        <v>0</v>
      </c>
      <c r="Z81" s="229">
        <f t="shared" si="18"/>
        <v>265325</v>
      </c>
      <c r="AA81" s="276" t="s">
        <v>10</v>
      </c>
      <c r="AB81" s="270">
        <f>SUMIF('Allocation Factors'!$B$3:$B$89,'Accumulated Deferred Income Tax'!AA81,'Allocation Factors'!$P$3:$P$89)</f>
        <v>6.7017620954721469E-2</v>
      </c>
      <c r="AC81" s="271">
        <f t="shared" si="19"/>
        <v>17781</v>
      </c>
      <c r="AD81" s="271">
        <f t="shared" si="20"/>
        <v>0</v>
      </c>
      <c r="AE81" s="30">
        <f t="shared" si="21"/>
        <v>17781</v>
      </c>
    </row>
    <row r="82" spans="1:31">
      <c r="A82" s="29">
        <v>287327</v>
      </c>
      <c r="B82" s="29">
        <v>190</v>
      </c>
      <c r="C82" s="28" t="s">
        <v>501</v>
      </c>
      <c r="D82" s="273">
        <v>720.3</v>
      </c>
      <c r="E82" s="74" t="s">
        <v>8</v>
      </c>
      <c r="F82" s="29" t="s">
        <v>9</v>
      </c>
      <c r="G82" s="229">
        <v>441164</v>
      </c>
      <c r="H82" s="229">
        <v>438835</v>
      </c>
      <c r="I82" s="229">
        <v>438835</v>
      </c>
      <c r="J82" s="229">
        <v>437991</v>
      </c>
      <c r="K82" s="229">
        <v>434805</v>
      </c>
      <c r="L82" s="229">
        <v>434374</v>
      </c>
      <c r="M82" s="229">
        <v>415630</v>
      </c>
      <c r="N82" s="229">
        <v>419863</v>
      </c>
      <c r="O82" s="229">
        <v>410592</v>
      </c>
      <c r="P82" s="229">
        <v>409762</v>
      </c>
      <c r="Q82" s="229">
        <v>407505</v>
      </c>
      <c r="R82" s="229">
        <v>407505</v>
      </c>
      <c r="S82" s="229">
        <v>405871</v>
      </c>
      <c r="T82" s="229">
        <f t="shared" si="16"/>
        <v>423268</v>
      </c>
      <c r="U82" s="229">
        <f t="shared" si="22"/>
        <v>423268</v>
      </c>
      <c r="V82" s="356">
        <f t="shared" si="23"/>
        <v>423268</v>
      </c>
      <c r="W82" s="356">
        <v>0</v>
      </c>
      <c r="X82" s="356">
        <f t="shared" si="17"/>
        <v>423268</v>
      </c>
      <c r="Y82" s="229">
        <v>0</v>
      </c>
      <c r="Z82" s="229">
        <f t="shared" si="18"/>
        <v>423268</v>
      </c>
      <c r="AA82" s="276" t="s">
        <v>10</v>
      </c>
      <c r="AB82" s="270">
        <f>SUMIF('Allocation Factors'!$B$3:$B$89,'Accumulated Deferred Income Tax'!AA82,'Allocation Factors'!$P$3:$P$89)</f>
        <v>6.7017620954721469E-2</v>
      </c>
      <c r="AC82" s="271">
        <f t="shared" si="19"/>
        <v>28366</v>
      </c>
      <c r="AD82" s="271">
        <f t="shared" si="20"/>
        <v>0</v>
      </c>
      <c r="AE82" s="30">
        <f t="shared" si="21"/>
        <v>28366</v>
      </c>
    </row>
    <row r="83" spans="1:31">
      <c r="A83" s="29">
        <v>287332</v>
      </c>
      <c r="B83" s="29">
        <v>190</v>
      </c>
      <c r="C83" s="28" t="s">
        <v>474</v>
      </c>
      <c r="D83" s="273">
        <v>505.6</v>
      </c>
      <c r="E83" s="74" t="s">
        <v>8</v>
      </c>
      <c r="F83" s="29" t="s">
        <v>9</v>
      </c>
      <c r="G83" s="229">
        <v>7142341</v>
      </c>
      <c r="H83" s="229">
        <v>6681301</v>
      </c>
      <c r="I83" s="229">
        <v>6468098</v>
      </c>
      <c r="J83" s="229">
        <v>6519164</v>
      </c>
      <c r="K83" s="229">
        <v>6452009</v>
      </c>
      <c r="L83" s="229">
        <v>6427464</v>
      </c>
      <c r="M83" s="229">
        <v>6431421</v>
      </c>
      <c r="N83" s="229">
        <v>6656734</v>
      </c>
      <c r="O83" s="229">
        <v>6904063</v>
      </c>
      <c r="P83" s="229">
        <v>7082957</v>
      </c>
      <c r="Q83" s="229">
        <v>7229889</v>
      </c>
      <c r="R83" s="229">
        <v>7273129</v>
      </c>
      <c r="S83" s="229">
        <v>7019404</v>
      </c>
      <c r="T83" s="229">
        <f t="shared" si="16"/>
        <v>6767258</v>
      </c>
      <c r="U83" s="229">
        <f t="shared" si="22"/>
        <v>6767258</v>
      </c>
      <c r="V83" s="356">
        <f t="shared" si="23"/>
        <v>6767258</v>
      </c>
      <c r="W83" s="356">
        <v>0</v>
      </c>
      <c r="X83" s="356">
        <f t="shared" si="17"/>
        <v>6767258</v>
      </c>
      <c r="Y83" s="229">
        <v>0</v>
      </c>
      <c r="Z83" s="229">
        <f t="shared" si="18"/>
        <v>6767258</v>
      </c>
      <c r="AA83" s="276" t="s">
        <v>10</v>
      </c>
      <c r="AB83" s="270">
        <f>SUMIF('Allocation Factors'!$B$3:$B$89,'Accumulated Deferred Income Tax'!AA83,'Allocation Factors'!$P$3:$P$89)</f>
        <v>6.7017620954721469E-2</v>
      </c>
      <c r="AC83" s="271">
        <f t="shared" si="19"/>
        <v>453526</v>
      </c>
      <c r="AD83" s="271">
        <f t="shared" si="20"/>
        <v>0</v>
      </c>
      <c r="AE83" s="30">
        <f t="shared" si="21"/>
        <v>453526</v>
      </c>
    </row>
    <row r="84" spans="1:31">
      <c r="A84" s="29">
        <v>287336</v>
      </c>
      <c r="B84" s="29">
        <v>190</v>
      </c>
      <c r="C84" s="28" t="s">
        <v>503</v>
      </c>
      <c r="D84" s="273">
        <v>730.12</v>
      </c>
      <c r="E84" s="74" t="s">
        <v>8</v>
      </c>
      <c r="F84" s="29" t="s">
        <v>333</v>
      </c>
      <c r="G84" s="229">
        <v>29132426</v>
      </c>
      <c r="H84" s="229">
        <v>33960575</v>
      </c>
      <c r="I84" s="229">
        <v>25323697</v>
      </c>
      <c r="J84" s="229">
        <v>25671267</v>
      </c>
      <c r="K84" s="229">
        <v>512109</v>
      </c>
      <c r="L84" s="229">
        <v>12131592</v>
      </c>
      <c r="M84" s="229">
        <v>24031255</v>
      </c>
      <c r="N84" s="229">
        <v>18798573</v>
      </c>
      <c r="O84" s="229">
        <v>11925662</v>
      </c>
      <c r="P84" s="229">
        <v>19520495</v>
      </c>
      <c r="Q84" s="229">
        <v>21451634</v>
      </c>
      <c r="R84" s="229">
        <v>24249494</v>
      </c>
      <c r="S84" s="229">
        <v>25169745</v>
      </c>
      <c r="T84" s="229">
        <f t="shared" si="16"/>
        <v>20393953</v>
      </c>
      <c r="U84" s="229">
        <f t="shared" si="22"/>
        <v>20393953</v>
      </c>
      <c r="V84" s="356">
        <f t="shared" si="23"/>
        <v>20393953</v>
      </c>
      <c r="W84" s="356">
        <v>0</v>
      </c>
      <c r="X84" s="356">
        <f t="shared" si="17"/>
        <v>0</v>
      </c>
      <c r="Y84" s="229">
        <v>0</v>
      </c>
      <c r="Z84" s="229">
        <f t="shared" si="18"/>
        <v>0</v>
      </c>
      <c r="AA84" s="276" t="s">
        <v>331</v>
      </c>
      <c r="AB84" s="270">
        <f>SUMIF('Allocation Factors'!$B$3:$B$89,'Accumulated Deferred Income Tax'!AA84,'Allocation Factors'!$P$3:$P$89)</f>
        <v>0</v>
      </c>
      <c r="AC84" s="271">
        <f t="shared" si="19"/>
        <v>0</v>
      </c>
      <c r="AD84" s="271">
        <f t="shared" si="20"/>
        <v>0</v>
      </c>
      <c r="AE84" s="30">
        <f t="shared" si="21"/>
        <v>0</v>
      </c>
    </row>
    <row r="85" spans="1:31">
      <c r="A85" s="29">
        <v>287337</v>
      </c>
      <c r="B85" s="29">
        <v>190</v>
      </c>
      <c r="C85" s="28" t="s">
        <v>255</v>
      </c>
      <c r="D85" s="273">
        <v>715.10500000000002</v>
      </c>
      <c r="E85" s="74" t="s">
        <v>8</v>
      </c>
      <c r="F85" s="29" t="s">
        <v>9</v>
      </c>
      <c r="G85" s="229">
        <v>548775</v>
      </c>
      <c r="H85" s="229">
        <v>480178</v>
      </c>
      <c r="I85" s="229">
        <v>411581</v>
      </c>
      <c r="J85" s="229">
        <v>342984</v>
      </c>
      <c r="K85" s="229">
        <v>274388</v>
      </c>
      <c r="L85" s="229">
        <v>205791</v>
      </c>
      <c r="M85" s="229">
        <v>137194</v>
      </c>
      <c r="N85" s="229">
        <v>68597</v>
      </c>
      <c r="O85" s="229">
        <v>0</v>
      </c>
      <c r="P85" s="229">
        <v>0</v>
      </c>
      <c r="Q85" s="229">
        <v>571551</v>
      </c>
      <c r="R85" s="229">
        <v>502875</v>
      </c>
      <c r="S85" s="229">
        <v>434199</v>
      </c>
      <c r="T85" s="229">
        <f t="shared" si="16"/>
        <v>290552</v>
      </c>
      <c r="U85" s="229">
        <f t="shared" si="22"/>
        <v>290552</v>
      </c>
      <c r="V85" s="356">
        <f t="shared" si="23"/>
        <v>290552</v>
      </c>
      <c r="W85" s="356">
        <v>0</v>
      </c>
      <c r="X85" s="356">
        <f t="shared" si="17"/>
        <v>290552</v>
      </c>
      <c r="Y85" s="229">
        <v>0</v>
      </c>
      <c r="Z85" s="229">
        <f t="shared" si="18"/>
        <v>290552</v>
      </c>
      <c r="AA85" s="276" t="s">
        <v>19</v>
      </c>
      <c r="AB85" s="270">
        <f>SUMIF('Allocation Factors'!$B$3:$B$89,'Accumulated Deferred Income Tax'!AA85,'Allocation Factors'!$P$3:$P$89)</f>
        <v>7.8111041399714837E-2</v>
      </c>
      <c r="AC85" s="271">
        <f t="shared" si="19"/>
        <v>22695</v>
      </c>
      <c r="AD85" s="271">
        <f t="shared" si="20"/>
        <v>0</v>
      </c>
      <c r="AE85" s="30">
        <f t="shared" si="21"/>
        <v>22695</v>
      </c>
    </row>
    <row r="86" spans="1:31">
      <c r="A86" s="29">
        <v>287338</v>
      </c>
      <c r="B86" s="29">
        <v>190</v>
      </c>
      <c r="C86" s="28" t="s">
        <v>523</v>
      </c>
      <c r="D86" s="273">
        <v>415.11</v>
      </c>
      <c r="E86" s="74" t="s">
        <v>8</v>
      </c>
      <c r="F86" s="29" t="s">
        <v>9</v>
      </c>
      <c r="G86" s="229">
        <v>145079</v>
      </c>
      <c r="H86" s="229">
        <v>118345</v>
      </c>
      <c r="I86" s="229">
        <v>116974</v>
      </c>
      <c r="J86" s="229">
        <v>115103</v>
      </c>
      <c r="K86" s="229">
        <v>156219</v>
      </c>
      <c r="L86" s="229">
        <v>156219</v>
      </c>
      <c r="M86" s="229">
        <v>574232</v>
      </c>
      <c r="N86" s="229">
        <v>492000</v>
      </c>
      <c r="O86" s="229">
        <v>495049</v>
      </c>
      <c r="P86" s="229">
        <v>495048</v>
      </c>
      <c r="Q86" s="229">
        <v>492000</v>
      </c>
      <c r="R86" s="229">
        <v>492000</v>
      </c>
      <c r="S86" s="229">
        <v>518765</v>
      </c>
      <c r="T86" s="229">
        <f t="shared" si="16"/>
        <v>336259</v>
      </c>
      <c r="U86" s="229">
        <f t="shared" si="22"/>
        <v>336259</v>
      </c>
      <c r="V86" s="356">
        <f t="shared" si="23"/>
        <v>336259</v>
      </c>
      <c r="W86" s="356">
        <v>0</v>
      </c>
      <c r="X86" s="356">
        <f t="shared" si="17"/>
        <v>336259</v>
      </c>
      <c r="Y86" s="229">
        <v>0</v>
      </c>
      <c r="Z86" s="229">
        <f t="shared" si="18"/>
        <v>336259</v>
      </c>
      <c r="AA86" s="276" t="s">
        <v>19</v>
      </c>
      <c r="AB86" s="270">
        <f>SUMIF('Allocation Factors'!$B$3:$B$89,'Accumulated Deferred Income Tax'!AA86,'Allocation Factors'!$P$3:$P$89)</f>
        <v>7.8111041399714837E-2</v>
      </c>
      <c r="AC86" s="271">
        <f t="shared" si="19"/>
        <v>26266</v>
      </c>
      <c r="AD86" s="271">
        <f t="shared" si="20"/>
        <v>0</v>
      </c>
      <c r="AE86" s="30">
        <f t="shared" si="21"/>
        <v>26266</v>
      </c>
    </row>
    <row r="87" spans="1:31">
      <c r="A87" s="29">
        <v>287339</v>
      </c>
      <c r="B87" s="29">
        <v>190</v>
      </c>
      <c r="C87" s="28" t="s">
        <v>23</v>
      </c>
      <c r="D87" s="273" t="s">
        <v>24</v>
      </c>
      <c r="E87" s="74" t="s">
        <v>8</v>
      </c>
      <c r="F87" s="29" t="s">
        <v>333</v>
      </c>
      <c r="G87" s="229">
        <v>52606770</v>
      </c>
      <c r="H87" s="229">
        <v>52739506</v>
      </c>
      <c r="I87" s="229">
        <v>52834743</v>
      </c>
      <c r="J87" s="229">
        <v>53035255</v>
      </c>
      <c r="K87" s="229">
        <v>53193001</v>
      </c>
      <c r="L87" s="229">
        <v>53309503</v>
      </c>
      <c r="M87" s="229">
        <v>53101152</v>
      </c>
      <c r="N87" s="229">
        <v>53283990</v>
      </c>
      <c r="O87" s="229">
        <v>53447578</v>
      </c>
      <c r="P87" s="229">
        <v>53528435</v>
      </c>
      <c r="Q87" s="229">
        <v>53669120</v>
      </c>
      <c r="R87" s="229">
        <v>53765573</v>
      </c>
      <c r="S87" s="229">
        <v>54787197</v>
      </c>
      <c r="T87" s="229">
        <f t="shared" si="16"/>
        <v>53300403</v>
      </c>
      <c r="U87" s="229">
        <f t="shared" si="22"/>
        <v>53300403</v>
      </c>
      <c r="V87" s="356">
        <f t="shared" si="23"/>
        <v>53300403</v>
      </c>
      <c r="W87" s="356">
        <v>0</v>
      </c>
      <c r="X87" s="356">
        <f t="shared" si="17"/>
        <v>0</v>
      </c>
      <c r="Y87" s="229">
        <v>0</v>
      </c>
      <c r="Z87" s="229">
        <f t="shared" si="18"/>
        <v>0</v>
      </c>
      <c r="AA87" s="276" t="s">
        <v>331</v>
      </c>
      <c r="AB87" s="270">
        <f>SUMIF('Allocation Factors'!$B$3:$B$89,'Accumulated Deferred Income Tax'!AA87,'Allocation Factors'!$P$3:$P$89)</f>
        <v>0</v>
      </c>
      <c r="AC87" s="271">
        <f t="shared" si="19"/>
        <v>0</v>
      </c>
      <c r="AD87" s="271">
        <f t="shared" si="20"/>
        <v>0</v>
      </c>
      <c r="AE87" s="30">
        <f t="shared" si="21"/>
        <v>0</v>
      </c>
    </row>
    <row r="88" spans="1:31">
      <c r="A88" s="29">
        <v>287340</v>
      </c>
      <c r="B88" s="29">
        <v>190</v>
      </c>
      <c r="C88" s="28" t="s">
        <v>448</v>
      </c>
      <c r="D88" s="273">
        <v>220.1</v>
      </c>
      <c r="E88" s="74" t="s">
        <v>8</v>
      </c>
      <c r="F88" s="29" t="s">
        <v>9</v>
      </c>
      <c r="G88" s="229">
        <v>2657105</v>
      </c>
      <c r="H88" s="229">
        <v>2611064</v>
      </c>
      <c r="I88" s="229">
        <v>2614787</v>
      </c>
      <c r="J88" s="229">
        <v>2533092</v>
      </c>
      <c r="K88" s="229">
        <v>2317386</v>
      </c>
      <c r="L88" s="229">
        <v>2308429</v>
      </c>
      <c r="M88" s="229">
        <v>2261920</v>
      </c>
      <c r="N88" s="229">
        <v>2429689</v>
      </c>
      <c r="O88" s="229">
        <v>2523795</v>
      </c>
      <c r="P88" s="229">
        <v>2701652</v>
      </c>
      <c r="Q88" s="229">
        <v>2740657</v>
      </c>
      <c r="R88" s="229">
        <v>2713091</v>
      </c>
      <c r="S88" s="229">
        <v>2760024</v>
      </c>
      <c r="T88" s="229">
        <f t="shared" si="16"/>
        <v>2538677</v>
      </c>
      <c r="U88" s="229">
        <f t="shared" si="22"/>
        <v>2538677</v>
      </c>
      <c r="V88" s="356">
        <f t="shared" si="23"/>
        <v>2538677</v>
      </c>
      <c r="W88" s="356">
        <v>0</v>
      </c>
      <c r="X88" s="356">
        <f t="shared" si="17"/>
        <v>2538677</v>
      </c>
      <c r="Y88" s="229">
        <v>0</v>
      </c>
      <c r="Z88" s="229">
        <f t="shared" si="18"/>
        <v>2538677</v>
      </c>
      <c r="AA88" s="276" t="s">
        <v>58</v>
      </c>
      <c r="AB88" s="270">
        <f>SUMIF('Allocation Factors'!$B$3:$B$89,'Accumulated Deferred Income Tax'!AA88,'Allocation Factors'!$P$3:$P$89)</f>
        <v>0.12556621707988092</v>
      </c>
      <c r="AC88" s="271">
        <f t="shared" si="19"/>
        <v>318772</v>
      </c>
      <c r="AD88" s="271">
        <f t="shared" si="20"/>
        <v>0</v>
      </c>
      <c r="AE88" s="30">
        <f t="shared" si="21"/>
        <v>318772</v>
      </c>
    </row>
    <row r="89" spans="1:31">
      <c r="A89" s="29">
        <v>287341</v>
      </c>
      <c r="B89" s="29">
        <v>190</v>
      </c>
      <c r="C89" s="28" t="s">
        <v>561</v>
      </c>
      <c r="D89" s="273">
        <v>910.53</v>
      </c>
      <c r="E89" s="74" t="s">
        <v>8</v>
      </c>
      <c r="F89" s="29" t="s">
        <v>9</v>
      </c>
      <c r="G89" s="229">
        <v>1466713</v>
      </c>
      <c r="H89" s="229">
        <v>1423687</v>
      </c>
      <c r="I89" s="229">
        <v>1841044</v>
      </c>
      <c r="J89" s="229">
        <v>3486548</v>
      </c>
      <c r="K89" s="229">
        <v>3526579</v>
      </c>
      <c r="L89" s="229">
        <v>3436917</v>
      </c>
      <c r="M89" s="229">
        <v>3872782</v>
      </c>
      <c r="N89" s="229">
        <v>3851693</v>
      </c>
      <c r="O89" s="229">
        <v>3845396</v>
      </c>
      <c r="P89" s="229">
        <v>3837641</v>
      </c>
      <c r="Q89" s="229">
        <v>3975849</v>
      </c>
      <c r="R89" s="229">
        <v>3929670</v>
      </c>
      <c r="S89" s="229">
        <v>4003028</v>
      </c>
      <c r="T89" s="229">
        <f t="shared" si="16"/>
        <v>3313556</v>
      </c>
      <c r="U89" s="229">
        <f t="shared" si="22"/>
        <v>3313556</v>
      </c>
      <c r="V89" s="356">
        <f t="shared" si="23"/>
        <v>3313556</v>
      </c>
      <c r="W89" s="356">
        <v>0</v>
      </c>
      <c r="X89" s="356">
        <f t="shared" si="17"/>
        <v>3313556</v>
      </c>
      <c r="Y89" s="229">
        <v>0</v>
      </c>
      <c r="Z89" s="229">
        <f t="shared" si="18"/>
        <v>3313556</v>
      </c>
      <c r="AA89" s="276" t="s">
        <v>10</v>
      </c>
      <c r="AB89" s="270">
        <f>SUMIF('Allocation Factors'!$B$3:$B$89,'Accumulated Deferred Income Tax'!AA89,'Allocation Factors'!$P$3:$P$89)</f>
        <v>6.7017620954721469E-2</v>
      </c>
      <c r="AC89" s="271">
        <f t="shared" si="19"/>
        <v>222067</v>
      </c>
      <c r="AD89" s="271">
        <f t="shared" si="20"/>
        <v>0</v>
      </c>
      <c r="AE89" s="30">
        <f t="shared" si="21"/>
        <v>222067</v>
      </c>
    </row>
    <row r="90" spans="1:31">
      <c r="A90" s="29">
        <v>287354</v>
      </c>
      <c r="B90" s="29">
        <v>190</v>
      </c>
      <c r="C90" s="28" t="s">
        <v>256</v>
      </c>
      <c r="D90" s="273">
        <v>505.15</v>
      </c>
      <c r="E90" s="74" t="s">
        <v>8</v>
      </c>
      <c r="F90" s="276" t="s">
        <v>333</v>
      </c>
      <c r="G90" s="229">
        <v>1071538</v>
      </c>
      <c r="H90" s="229">
        <v>1071538</v>
      </c>
      <c r="I90" s="229">
        <v>1075483</v>
      </c>
      <c r="J90" s="229">
        <v>1104987</v>
      </c>
      <c r="K90" s="229">
        <v>1197054</v>
      </c>
      <c r="L90" s="229">
        <v>1197054</v>
      </c>
      <c r="M90" s="229">
        <v>1161582</v>
      </c>
      <c r="N90" s="229">
        <v>1192168</v>
      </c>
      <c r="O90" s="229">
        <v>1192168</v>
      </c>
      <c r="P90" s="229">
        <v>1192168</v>
      </c>
      <c r="Q90" s="229">
        <v>1192168</v>
      </c>
      <c r="R90" s="229">
        <v>1192168</v>
      </c>
      <c r="S90" s="229">
        <v>2790506</v>
      </c>
      <c r="T90" s="229">
        <f t="shared" si="16"/>
        <v>1224963</v>
      </c>
      <c r="U90" s="229">
        <f t="shared" si="22"/>
        <v>1224963</v>
      </c>
      <c r="V90" s="356">
        <f t="shared" si="23"/>
        <v>1224963</v>
      </c>
      <c r="W90" s="356">
        <v>0</v>
      </c>
      <c r="X90" s="356">
        <f t="shared" si="17"/>
        <v>0</v>
      </c>
      <c r="Y90" s="229">
        <v>0</v>
      </c>
      <c r="Z90" s="229">
        <f t="shared" si="18"/>
        <v>0</v>
      </c>
      <c r="AA90" s="276" t="s">
        <v>331</v>
      </c>
      <c r="AB90" s="270">
        <f>SUMIF('Allocation Factors'!$B$3:$B$89,'Accumulated Deferred Income Tax'!AA90,'Allocation Factors'!$P$3:$P$89)</f>
        <v>0</v>
      </c>
      <c r="AC90" s="271">
        <f t="shared" si="19"/>
        <v>0</v>
      </c>
      <c r="AD90" s="271">
        <f t="shared" si="20"/>
        <v>0</v>
      </c>
      <c r="AE90" s="30">
        <f t="shared" si="21"/>
        <v>0</v>
      </c>
    </row>
    <row r="91" spans="1:31">
      <c r="A91" s="29">
        <v>287370</v>
      </c>
      <c r="B91" s="29">
        <v>190</v>
      </c>
      <c r="C91" s="28" t="s">
        <v>61</v>
      </c>
      <c r="D91" s="273">
        <v>425.21499999999997</v>
      </c>
      <c r="E91" s="74" t="s">
        <v>8</v>
      </c>
      <c r="F91" s="29" t="s">
        <v>9</v>
      </c>
      <c r="G91" s="229">
        <v>68920</v>
      </c>
      <c r="H91" s="229">
        <v>1229117</v>
      </c>
      <c r="I91" s="229">
        <v>1105115</v>
      </c>
      <c r="J91" s="229">
        <v>981114</v>
      </c>
      <c r="K91" s="229">
        <v>957082</v>
      </c>
      <c r="L91" s="229">
        <v>832183</v>
      </c>
      <c r="M91" s="229">
        <v>707283</v>
      </c>
      <c r="N91" s="229">
        <v>661920</v>
      </c>
      <c r="O91" s="229">
        <v>536276</v>
      </c>
      <c r="P91" s="229">
        <v>410631</v>
      </c>
      <c r="Q91" s="229">
        <v>325685</v>
      </c>
      <c r="R91" s="229">
        <v>200007</v>
      </c>
      <c r="S91" s="229">
        <v>74330</v>
      </c>
      <c r="T91" s="229">
        <f t="shared" si="16"/>
        <v>668170</v>
      </c>
      <c r="U91" s="229">
        <f t="shared" si="22"/>
        <v>668170</v>
      </c>
      <c r="V91" s="356">
        <f t="shared" si="23"/>
        <v>668170</v>
      </c>
      <c r="W91" s="356">
        <v>0</v>
      </c>
      <c r="X91" s="356">
        <f t="shared" si="17"/>
        <v>668170</v>
      </c>
      <c r="Y91" s="229">
        <v>0</v>
      </c>
      <c r="Z91" s="229">
        <f t="shared" si="18"/>
        <v>668170</v>
      </c>
      <c r="AA91" s="276" t="s">
        <v>21</v>
      </c>
      <c r="AB91" s="270">
        <f>SUMIF('Allocation Factors'!$B$3:$B$89,'Accumulated Deferred Income Tax'!AA91,'Allocation Factors'!$P$3:$P$89)</f>
        <v>6.4409240866138473E-2</v>
      </c>
      <c r="AC91" s="271">
        <f t="shared" si="19"/>
        <v>43036</v>
      </c>
      <c r="AD91" s="271">
        <f t="shared" si="20"/>
        <v>0</v>
      </c>
      <c r="AE91" s="30">
        <f t="shared" si="21"/>
        <v>43036</v>
      </c>
    </row>
    <row r="92" spans="1:31">
      <c r="A92" s="29">
        <v>287371</v>
      </c>
      <c r="B92" s="29">
        <v>190</v>
      </c>
      <c r="C92" s="90" t="s">
        <v>592</v>
      </c>
      <c r="D92" s="273">
        <v>930.1</v>
      </c>
      <c r="E92" s="74" t="s">
        <v>8</v>
      </c>
      <c r="F92" s="276" t="s">
        <v>9</v>
      </c>
      <c r="G92" s="229">
        <v>2105655</v>
      </c>
      <c r="H92" s="229">
        <v>2105655</v>
      </c>
      <c r="I92" s="229">
        <v>2105655</v>
      </c>
      <c r="J92" s="229">
        <v>2105655</v>
      </c>
      <c r="K92" s="229">
        <v>2105655</v>
      </c>
      <c r="L92" s="229">
        <v>2105655</v>
      </c>
      <c r="M92" s="229">
        <v>1599420</v>
      </c>
      <c r="N92" s="229">
        <v>1599420</v>
      </c>
      <c r="O92" s="229">
        <v>1599420</v>
      </c>
      <c r="P92" s="229">
        <v>1599420</v>
      </c>
      <c r="Q92" s="229">
        <v>1599420</v>
      </c>
      <c r="R92" s="229">
        <v>1599420</v>
      </c>
      <c r="S92" s="229">
        <v>1599420</v>
      </c>
      <c r="T92" s="229">
        <f t="shared" si="16"/>
        <v>1831444</v>
      </c>
      <c r="U92" s="229">
        <f t="shared" si="22"/>
        <v>1831444</v>
      </c>
      <c r="V92" s="356">
        <f t="shared" si="23"/>
        <v>1831444</v>
      </c>
      <c r="W92" s="356">
        <v>0</v>
      </c>
      <c r="X92" s="356">
        <f t="shared" si="17"/>
        <v>1831444</v>
      </c>
      <c r="Y92" s="229">
        <v>0</v>
      </c>
      <c r="Z92" s="229">
        <f t="shared" si="18"/>
        <v>1831444</v>
      </c>
      <c r="AA92" s="276" t="s">
        <v>19</v>
      </c>
      <c r="AB92" s="270">
        <f>SUMIF('Allocation Factors'!$B$3:$B$89,'Accumulated Deferred Income Tax'!AA92,'Allocation Factors'!$P$3:$P$89)</f>
        <v>7.8111041399714837E-2</v>
      </c>
      <c r="AC92" s="271">
        <f t="shared" si="19"/>
        <v>143056</v>
      </c>
      <c r="AD92" s="271">
        <f t="shared" si="20"/>
        <v>0</v>
      </c>
      <c r="AE92" s="30">
        <f t="shared" si="21"/>
        <v>143056</v>
      </c>
    </row>
    <row r="93" spans="1:31">
      <c r="A93" s="29">
        <v>287373</v>
      </c>
      <c r="B93" s="29">
        <v>190</v>
      </c>
      <c r="C93" s="28" t="s">
        <v>562</v>
      </c>
      <c r="D93" s="273">
        <v>910.58</v>
      </c>
      <c r="E93" s="74" t="s">
        <v>8</v>
      </c>
      <c r="F93" s="276" t="s">
        <v>333</v>
      </c>
      <c r="G93" s="229">
        <v>669581</v>
      </c>
      <c r="H93" s="229">
        <v>666095</v>
      </c>
      <c r="I93" s="229">
        <v>665135</v>
      </c>
      <c r="J93" s="229">
        <v>664659</v>
      </c>
      <c r="K93" s="229">
        <v>664150</v>
      </c>
      <c r="L93" s="229">
        <v>658791</v>
      </c>
      <c r="M93" s="229">
        <v>654818</v>
      </c>
      <c r="N93" s="229">
        <v>655532</v>
      </c>
      <c r="O93" s="229">
        <v>656735</v>
      </c>
      <c r="P93" s="229">
        <v>654949</v>
      </c>
      <c r="Q93" s="229">
        <v>653052</v>
      </c>
      <c r="R93" s="229">
        <v>653319</v>
      </c>
      <c r="S93" s="229">
        <v>653638</v>
      </c>
      <c r="T93" s="229">
        <f t="shared" si="16"/>
        <v>659070</v>
      </c>
      <c r="U93" s="229">
        <f t="shared" si="22"/>
        <v>659070</v>
      </c>
      <c r="V93" s="356">
        <f t="shared" si="23"/>
        <v>659070</v>
      </c>
      <c r="W93" s="356">
        <v>0</v>
      </c>
      <c r="X93" s="356">
        <f t="shared" si="17"/>
        <v>0</v>
      </c>
      <c r="Y93" s="229">
        <v>0</v>
      </c>
      <c r="Z93" s="229">
        <f t="shared" si="18"/>
        <v>0</v>
      </c>
      <c r="AA93" s="276" t="s">
        <v>331</v>
      </c>
      <c r="AB93" s="270">
        <f>SUMIF('Allocation Factors'!$B$3:$B$89,'Accumulated Deferred Income Tax'!AA93,'Allocation Factors'!$P$3:$P$89)</f>
        <v>0</v>
      </c>
      <c r="AC93" s="271">
        <f t="shared" si="19"/>
        <v>0</v>
      </c>
      <c r="AD93" s="271">
        <f t="shared" si="20"/>
        <v>0</v>
      </c>
      <c r="AE93" s="30">
        <f t="shared" si="21"/>
        <v>0</v>
      </c>
    </row>
    <row r="94" spans="1:31">
      <c r="A94" s="29">
        <v>287374</v>
      </c>
      <c r="B94" s="29">
        <v>190</v>
      </c>
      <c r="C94" s="28" t="s">
        <v>593</v>
      </c>
      <c r="D94" s="273">
        <v>100.105</v>
      </c>
      <c r="E94" s="74" t="s">
        <v>8</v>
      </c>
      <c r="F94" s="29" t="s">
        <v>9</v>
      </c>
      <c r="G94" s="229">
        <v>54839</v>
      </c>
      <c r="H94" s="229">
        <v>54839</v>
      </c>
      <c r="I94" s="229">
        <v>54839</v>
      </c>
      <c r="J94" s="229">
        <v>54839</v>
      </c>
      <c r="K94" s="229">
        <v>54839</v>
      </c>
      <c r="L94" s="229">
        <v>54839</v>
      </c>
      <c r="M94" s="229">
        <v>181679</v>
      </c>
      <c r="N94" s="229">
        <v>181679</v>
      </c>
      <c r="O94" s="229">
        <v>181679</v>
      </c>
      <c r="P94" s="229">
        <v>181679</v>
      </c>
      <c r="Q94" s="229">
        <v>181679</v>
      </c>
      <c r="R94" s="229">
        <v>181679</v>
      </c>
      <c r="S94" s="229">
        <v>185908</v>
      </c>
      <c r="T94" s="229">
        <f t="shared" si="16"/>
        <v>123720</v>
      </c>
      <c r="U94" s="229">
        <f t="shared" si="22"/>
        <v>123720</v>
      </c>
      <c r="V94" s="356">
        <f t="shared" si="23"/>
        <v>123720</v>
      </c>
      <c r="W94" s="356">
        <v>0</v>
      </c>
      <c r="X94" s="356">
        <f t="shared" si="17"/>
        <v>123720</v>
      </c>
      <c r="Y94" s="229">
        <v>0</v>
      </c>
      <c r="Z94" s="229">
        <f t="shared" si="18"/>
        <v>123720</v>
      </c>
      <c r="AA94" s="276" t="s">
        <v>26</v>
      </c>
      <c r="AB94" s="270">
        <f>SUMIF('Allocation Factors'!$B$3:$B$89,'Accumulated Deferred Income Tax'!AA94,'Allocation Factors'!$P$3:$P$89)</f>
        <v>1</v>
      </c>
      <c r="AC94" s="271">
        <f t="shared" si="19"/>
        <v>123720</v>
      </c>
      <c r="AD94" s="271">
        <f t="shared" si="20"/>
        <v>0</v>
      </c>
      <c r="AE94" s="30">
        <f t="shared" si="21"/>
        <v>123720</v>
      </c>
    </row>
    <row r="95" spans="1:31">
      <c r="A95" s="29">
        <v>287389</v>
      </c>
      <c r="B95" s="29">
        <v>190</v>
      </c>
      <c r="C95" s="28" t="s">
        <v>480</v>
      </c>
      <c r="D95" s="273">
        <v>610.14499999999998</v>
      </c>
      <c r="E95" s="74" t="s">
        <v>8</v>
      </c>
      <c r="F95" s="29" t="s">
        <v>9</v>
      </c>
      <c r="G95" s="229">
        <v>1515732</v>
      </c>
      <c r="H95" s="229">
        <v>2392420</v>
      </c>
      <c r="I95" s="229">
        <v>3385063</v>
      </c>
      <c r="J95" s="229">
        <v>4816898</v>
      </c>
      <c r="K95" s="229">
        <v>5146761</v>
      </c>
      <c r="L95" s="229">
        <v>5134606</v>
      </c>
      <c r="M95" s="229">
        <v>5131927</v>
      </c>
      <c r="N95" s="229">
        <v>6124246</v>
      </c>
      <c r="O95" s="229">
        <v>4891792</v>
      </c>
      <c r="P95" s="229">
        <v>6002332</v>
      </c>
      <c r="Q95" s="229">
        <v>6295686</v>
      </c>
      <c r="R95" s="229">
        <v>6574373</v>
      </c>
      <c r="S95" s="229">
        <v>7206828</v>
      </c>
      <c r="T95" s="229">
        <f t="shared" si="16"/>
        <v>5021449</v>
      </c>
      <c r="U95" s="229">
        <f t="shared" si="22"/>
        <v>5021449</v>
      </c>
      <c r="V95" s="356">
        <f t="shared" si="23"/>
        <v>5021449</v>
      </c>
      <c r="W95" s="356">
        <v>0</v>
      </c>
      <c r="X95" s="356">
        <f t="shared" si="17"/>
        <v>5021449</v>
      </c>
      <c r="Y95" s="229">
        <v>0</v>
      </c>
      <c r="Z95" s="229">
        <f t="shared" si="18"/>
        <v>5021449</v>
      </c>
      <c r="AA95" s="276" t="s">
        <v>15</v>
      </c>
      <c r="AB95" s="270">
        <f>SUMIF('Allocation Factors'!$B$3:$B$89,'Accumulated Deferred Income Tax'!AA95,'Allocation Factors'!$P$3:$P$89)</f>
        <v>0</v>
      </c>
      <c r="AC95" s="271">
        <f t="shared" si="19"/>
        <v>0</v>
      </c>
      <c r="AD95" s="271">
        <f t="shared" si="20"/>
        <v>0</v>
      </c>
      <c r="AE95" s="30">
        <f t="shared" si="21"/>
        <v>0</v>
      </c>
    </row>
    <row r="96" spans="1:31">
      <c r="A96" s="29">
        <v>287391</v>
      </c>
      <c r="B96" s="29">
        <v>190</v>
      </c>
      <c r="C96" s="28" t="s">
        <v>470</v>
      </c>
      <c r="D96" s="273">
        <v>425.32</v>
      </c>
      <c r="E96" s="74" t="s">
        <v>8</v>
      </c>
      <c r="F96" s="29" t="s">
        <v>333</v>
      </c>
      <c r="G96" s="229">
        <v>5913347</v>
      </c>
      <c r="H96" s="229">
        <v>5913347</v>
      </c>
      <c r="I96" s="229">
        <v>5913347</v>
      </c>
      <c r="J96" s="229">
        <v>5876510</v>
      </c>
      <c r="K96" s="229">
        <v>5876510</v>
      </c>
      <c r="L96" s="229">
        <v>5876510</v>
      </c>
      <c r="M96" s="229">
        <v>5840431</v>
      </c>
      <c r="N96" s="229">
        <v>5840431</v>
      </c>
      <c r="O96" s="229">
        <v>5840431</v>
      </c>
      <c r="P96" s="229">
        <v>5801393</v>
      </c>
      <c r="Q96" s="229">
        <v>5801393</v>
      </c>
      <c r="R96" s="229">
        <v>5801393</v>
      </c>
      <c r="S96" s="229">
        <v>5761463</v>
      </c>
      <c r="T96" s="229">
        <f t="shared" si="16"/>
        <v>5851592</v>
      </c>
      <c r="U96" s="229">
        <f t="shared" si="22"/>
        <v>5851592</v>
      </c>
      <c r="V96" s="356">
        <f t="shared" si="23"/>
        <v>5851592</v>
      </c>
      <c r="W96" s="356">
        <v>0</v>
      </c>
      <c r="X96" s="356">
        <f t="shared" si="17"/>
        <v>0</v>
      </c>
      <c r="Y96" s="229">
        <v>0</v>
      </c>
      <c r="Z96" s="229">
        <f t="shared" si="18"/>
        <v>0</v>
      </c>
      <c r="AA96" s="276" t="s">
        <v>331</v>
      </c>
      <c r="AB96" s="270">
        <f>SUMIF('Allocation Factors'!$B$3:$B$89,'Accumulated Deferred Income Tax'!AA96,'Allocation Factors'!$P$3:$P$89)</f>
        <v>0</v>
      </c>
      <c r="AC96" s="271">
        <f t="shared" si="19"/>
        <v>0</v>
      </c>
      <c r="AD96" s="271">
        <f t="shared" si="20"/>
        <v>0</v>
      </c>
      <c r="AE96" s="30">
        <f t="shared" si="21"/>
        <v>0</v>
      </c>
    </row>
    <row r="97" spans="1:31">
      <c r="A97" s="29">
        <v>287392</v>
      </c>
      <c r="B97" s="29">
        <v>190</v>
      </c>
      <c r="C97" s="28" t="s">
        <v>34</v>
      </c>
      <c r="D97" s="273">
        <v>425.12</v>
      </c>
      <c r="E97" s="74" t="s">
        <v>8</v>
      </c>
      <c r="F97" s="29" t="s">
        <v>333</v>
      </c>
      <c r="G97" s="229">
        <v>4156597</v>
      </c>
      <c r="H97" s="229">
        <v>4156597</v>
      </c>
      <c r="I97" s="229">
        <v>4156597</v>
      </c>
      <c r="J97" s="229">
        <v>4156869</v>
      </c>
      <c r="K97" s="229">
        <v>4156869</v>
      </c>
      <c r="L97" s="229">
        <v>4156869</v>
      </c>
      <c r="M97" s="229">
        <v>4155873</v>
      </c>
      <c r="N97" s="229">
        <v>4155873</v>
      </c>
      <c r="O97" s="229">
        <v>4155873</v>
      </c>
      <c r="P97" s="229">
        <v>4154813</v>
      </c>
      <c r="Q97" s="229">
        <v>4154813</v>
      </c>
      <c r="R97" s="229">
        <v>4154813</v>
      </c>
      <c r="S97" s="229">
        <v>4153425</v>
      </c>
      <c r="T97" s="229">
        <f t="shared" ref="T97:T128" si="24">ROUND(((G97*1)+(SUM(H97:R97)*2)+(S97*1))/24,0)</f>
        <v>4155906</v>
      </c>
      <c r="U97" s="229">
        <f t="shared" si="22"/>
        <v>4155906</v>
      </c>
      <c r="V97" s="356">
        <f t="shared" si="23"/>
        <v>4155906</v>
      </c>
      <c r="W97" s="356">
        <v>0</v>
      </c>
      <c r="X97" s="356">
        <f t="shared" si="17"/>
        <v>0</v>
      </c>
      <c r="Y97" s="229">
        <v>0</v>
      </c>
      <c r="Z97" s="229">
        <f t="shared" si="18"/>
        <v>0</v>
      </c>
      <c r="AA97" s="276" t="s">
        <v>331</v>
      </c>
      <c r="AB97" s="270">
        <f>SUMIF('Allocation Factors'!$B$3:$B$89,'Accumulated Deferred Income Tax'!AA97,'Allocation Factors'!$P$3:$P$89)</f>
        <v>0</v>
      </c>
      <c r="AC97" s="271">
        <f t="shared" si="19"/>
        <v>0</v>
      </c>
      <c r="AD97" s="271">
        <f t="shared" si="20"/>
        <v>0</v>
      </c>
      <c r="AE97" s="30">
        <f t="shared" si="21"/>
        <v>0</v>
      </c>
    </row>
    <row r="98" spans="1:31">
      <c r="A98" s="29">
        <v>287393</v>
      </c>
      <c r="B98" s="29">
        <v>190</v>
      </c>
      <c r="C98" s="28" t="s">
        <v>547</v>
      </c>
      <c r="D98" s="273">
        <v>425.11</v>
      </c>
      <c r="E98" s="74" t="s">
        <v>8</v>
      </c>
      <c r="F98" s="276" t="s">
        <v>333</v>
      </c>
      <c r="G98" s="229">
        <v>157636</v>
      </c>
      <c r="H98" s="229">
        <v>155458</v>
      </c>
      <c r="I98" s="229">
        <v>153280</v>
      </c>
      <c r="J98" s="229">
        <v>151102</v>
      </c>
      <c r="K98" s="229">
        <v>39458</v>
      </c>
      <c r="L98" s="229">
        <v>38822</v>
      </c>
      <c r="M98" s="229">
        <v>38185</v>
      </c>
      <c r="N98" s="229">
        <v>37549</v>
      </c>
      <c r="O98" s="229">
        <v>36913</v>
      </c>
      <c r="P98" s="229">
        <v>36276</v>
      </c>
      <c r="Q98" s="229">
        <v>35640</v>
      </c>
      <c r="R98" s="229">
        <v>35003</v>
      </c>
      <c r="S98" s="229">
        <v>34367</v>
      </c>
      <c r="T98" s="229">
        <f t="shared" si="24"/>
        <v>71141</v>
      </c>
      <c r="U98" s="229">
        <f t="shared" si="22"/>
        <v>71141</v>
      </c>
      <c r="V98" s="356">
        <f t="shared" si="23"/>
        <v>71141</v>
      </c>
      <c r="W98" s="356">
        <v>0</v>
      </c>
      <c r="X98" s="356">
        <f t="shared" si="17"/>
        <v>0</v>
      </c>
      <c r="Y98" s="229">
        <v>0</v>
      </c>
      <c r="Z98" s="229">
        <f t="shared" si="18"/>
        <v>0</v>
      </c>
      <c r="AA98" s="276" t="s">
        <v>331</v>
      </c>
      <c r="AB98" s="270">
        <f>SUMIF('Allocation Factors'!$B$3:$B$89,'Accumulated Deferred Income Tax'!AA98,'Allocation Factors'!$P$3:$P$89)</f>
        <v>0</v>
      </c>
      <c r="AC98" s="271">
        <f t="shared" si="19"/>
        <v>0</v>
      </c>
      <c r="AD98" s="271">
        <f t="shared" si="20"/>
        <v>0</v>
      </c>
      <c r="AE98" s="30">
        <f t="shared" si="21"/>
        <v>0</v>
      </c>
    </row>
    <row r="99" spans="1:31">
      <c r="A99" s="29">
        <v>287399</v>
      </c>
      <c r="B99" s="29">
        <v>190</v>
      </c>
      <c r="C99" s="28" t="s">
        <v>43</v>
      </c>
      <c r="D99" s="273">
        <v>920.15</v>
      </c>
      <c r="E99" s="74" t="s">
        <v>8</v>
      </c>
      <c r="F99" s="269" t="s">
        <v>333</v>
      </c>
      <c r="G99" s="229">
        <v>6301767</v>
      </c>
      <c r="H99" s="229">
        <v>6337261</v>
      </c>
      <c r="I99" s="229">
        <v>6491073</v>
      </c>
      <c r="J99" s="229">
        <v>6468974</v>
      </c>
      <c r="K99" s="229">
        <v>6440175</v>
      </c>
      <c r="L99" s="229">
        <v>6449911</v>
      </c>
      <c r="M99" s="229">
        <v>6381362</v>
      </c>
      <c r="N99" s="229">
        <v>6328194</v>
      </c>
      <c r="O99" s="229">
        <v>6331422</v>
      </c>
      <c r="P99" s="229">
        <v>6359939</v>
      </c>
      <c r="Q99" s="229">
        <v>6774200</v>
      </c>
      <c r="R99" s="229">
        <v>6744108</v>
      </c>
      <c r="S99" s="229">
        <v>6823144</v>
      </c>
      <c r="T99" s="229">
        <f t="shared" si="24"/>
        <v>6472423</v>
      </c>
      <c r="U99" s="229">
        <f t="shared" si="22"/>
        <v>6472423</v>
      </c>
      <c r="V99" s="356">
        <f t="shared" si="23"/>
        <v>6472423</v>
      </c>
      <c r="W99" s="356">
        <v>0</v>
      </c>
      <c r="X99" s="356">
        <f t="shared" ref="X99:X130" si="25">IF(F99="U",V99,0)</f>
        <v>0</v>
      </c>
      <c r="Y99" s="229">
        <v>0</v>
      </c>
      <c r="Z99" s="229">
        <f t="shared" ref="Z99:Z130" si="26">SUM(X99:Y99)</f>
        <v>0</v>
      </c>
      <c r="AA99" s="276" t="s">
        <v>331</v>
      </c>
      <c r="AB99" s="270">
        <f>SUMIF('Allocation Factors'!$B$3:$B$89,'Accumulated Deferred Income Tax'!AA99,'Allocation Factors'!$P$3:$P$89)</f>
        <v>0</v>
      </c>
      <c r="AC99" s="271">
        <f t="shared" ref="AC99:AC130" si="27">ROUND(X99*AB99,0)</f>
        <v>0</v>
      </c>
      <c r="AD99" s="271">
        <f t="shared" ref="AD99:AD130" si="28">ROUND(Y99*AB99,0)</f>
        <v>0</v>
      </c>
      <c r="AE99" s="30">
        <f t="shared" ref="AE99:AE130" si="29">SUM(AC99:AD99)</f>
        <v>0</v>
      </c>
    </row>
    <row r="100" spans="1:31">
      <c r="A100" s="29">
        <v>287414</v>
      </c>
      <c r="B100" s="29">
        <v>190</v>
      </c>
      <c r="C100" s="90" t="s">
        <v>476</v>
      </c>
      <c r="D100" s="273">
        <v>505.7</v>
      </c>
      <c r="E100" s="74" t="s">
        <v>8</v>
      </c>
      <c r="F100" s="269" t="s">
        <v>9</v>
      </c>
      <c r="G100" s="229">
        <v>390497</v>
      </c>
      <c r="H100" s="229">
        <v>393314</v>
      </c>
      <c r="I100" s="229">
        <v>396131</v>
      </c>
      <c r="J100" s="229">
        <v>398948</v>
      </c>
      <c r="K100" s="229">
        <v>401766</v>
      </c>
      <c r="L100" s="229">
        <v>404583</v>
      </c>
      <c r="M100" s="229">
        <v>477822</v>
      </c>
      <c r="N100" s="229">
        <v>445435</v>
      </c>
      <c r="O100" s="229">
        <v>448698</v>
      </c>
      <c r="P100" s="229">
        <v>234370</v>
      </c>
      <c r="Q100" s="229">
        <v>237634</v>
      </c>
      <c r="R100" s="229">
        <v>240897</v>
      </c>
      <c r="S100" s="229">
        <v>244161</v>
      </c>
      <c r="T100" s="229">
        <f t="shared" si="24"/>
        <v>366411</v>
      </c>
      <c r="U100" s="229">
        <f t="shared" si="22"/>
        <v>366411</v>
      </c>
      <c r="V100" s="356">
        <f t="shared" si="23"/>
        <v>366411</v>
      </c>
      <c r="W100" s="356">
        <v>0</v>
      </c>
      <c r="X100" s="356">
        <f t="shared" si="25"/>
        <v>366411</v>
      </c>
      <c r="Y100" s="229">
        <v>0</v>
      </c>
      <c r="Z100" s="229">
        <f t="shared" si="26"/>
        <v>366411</v>
      </c>
      <c r="AA100" s="276" t="s">
        <v>10</v>
      </c>
      <c r="AB100" s="270">
        <f>SUMIF('Allocation Factors'!$B$3:$B$89,'Accumulated Deferred Income Tax'!AA100,'Allocation Factors'!$P$3:$P$89)</f>
        <v>6.7017620954721469E-2</v>
      </c>
      <c r="AC100" s="271">
        <f t="shared" si="27"/>
        <v>24556</v>
      </c>
      <c r="AD100" s="271">
        <f t="shared" si="28"/>
        <v>0</v>
      </c>
      <c r="AE100" s="30">
        <f t="shared" si="29"/>
        <v>24556</v>
      </c>
    </row>
    <row r="101" spans="1:31">
      <c r="A101" s="29">
        <v>287415</v>
      </c>
      <c r="B101" s="29">
        <v>190</v>
      </c>
      <c r="C101" s="28" t="s">
        <v>516</v>
      </c>
      <c r="D101" s="273">
        <v>205.2</v>
      </c>
      <c r="E101" s="74" t="s">
        <v>8</v>
      </c>
      <c r="F101" s="269" t="s">
        <v>9</v>
      </c>
      <c r="G101" s="229">
        <v>1101228</v>
      </c>
      <c r="H101" s="229">
        <v>1113011</v>
      </c>
      <c r="I101" s="229">
        <v>1108066</v>
      </c>
      <c r="J101" s="229">
        <v>578425</v>
      </c>
      <c r="K101" s="229">
        <v>487149</v>
      </c>
      <c r="L101" s="229">
        <v>518145</v>
      </c>
      <c r="M101" s="229">
        <v>534687</v>
      </c>
      <c r="N101" s="229">
        <v>543045</v>
      </c>
      <c r="O101" s="229">
        <v>553563</v>
      </c>
      <c r="P101" s="229">
        <v>655300</v>
      </c>
      <c r="Q101" s="229">
        <v>655338</v>
      </c>
      <c r="R101" s="229">
        <v>655338</v>
      </c>
      <c r="S101" s="229">
        <v>720610</v>
      </c>
      <c r="T101" s="229">
        <f t="shared" si="24"/>
        <v>692749</v>
      </c>
      <c r="U101" s="229">
        <f t="shared" ref="U101:U132" si="30">+T101</f>
        <v>692749</v>
      </c>
      <c r="V101" s="356">
        <f t="shared" si="23"/>
        <v>692749</v>
      </c>
      <c r="W101" s="356">
        <v>0</v>
      </c>
      <c r="X101" s="356">
        <f t="shared" si="25"/>
        <v>692749</v>
      </c>
      <c r="Y101" s="229">
        <v>0</v>
      </c>
      <c r="Z101" s="229">
        <f t="shared" si="26"/>
        <v>692749</v>
      </c>
      <c r="AA101" s="276" t="s">
        <v>21</v>
      </c>
      <c r="AB101" s="270">
        <f>SUMIF('Allocation Factors'!$B$3:$B$89,'Accumulated Deferred Income Tax'!AA101,'Allocation Factors'!$P$3:$P$89)</f>
        <v>6.4409240866138473E-2</v>
      </c>
      <c r="AC101" s="271">
        <f t="shared" si="27"/>
        <v>44619</v>
      </c>
      <c r="AD101" s="271">
        <f t="shared" si="28"/>
        <v>0</v>
      </c>
      <c r="AE101" s="30">
        <f t="shared" si="29"/>
        <v>44619</v>
      </c>
    </row>
    <row r="102" spans="1:31">
      <c r="A102" s="29">
        <v>287417</v>
      </c>
      <c r="B102" s="29">
        <v>190</v>
      </c>
      <c r="C102" s="73" t="s">
        <v>478</v>
      </c>
      <c r="D102" s="273">
        <v>605.71</v>
      </c>
      <c r="E102" s="74" t="s">
        <v>8</v>
      </c>
      <c r="F102" s="29" t="s">
        <v>9</v>
      </c>
      <c r="G102" s="229">
        <v>2569689</v>
      </c>
      <c r="H102" s="229">
        <v>2507881</v>
      </c>
      <c r="I102" s="229">
        <v>2439505</v>
      </c>
      <c r="J102" s="229">
        <v>2370460</v>
      </c>
      <c r="K102" s="229">
        <v>2379806</v>
      </c>
      <c r="L102" s="229">
        <v>2321414</v>
      </c>
      <c r="M102" s="229">
        <v>2121972</v>
      </c>
      <c r="N102" s="229">
        <v>2099180</v>
      </c>
      <c r="O102" s="229">
        <v>2086805</v>
      </c>
      <c r="P102" s="229">
        <v>1574709</v>
      </c>
      <c r="Q102" s="229">
        <v>1550590</v>
      </c>
      <c r="R102" s="229">
        <v>1499533</v>
      </c>
      <c r="S102" s="229">
        <v>1441366</v>
      </c>
      <c r="T102" s="229">
        <f t="shared" si="24"/>
        <v>2079782</v>
      </c>
      <c r="U102" s="229">
        <f t="shared" si="30"/>
        <v>2079782</v>
      </c>
      <c r="V102" s="356">
        <f t="shared" si="23"/>
        <v>2079782</v>
      </c>
      <c r="W102" s="356">
        <v>0</v>
      </c>
      <c r="X102" s="356">
        <f t="shared" si="25"/>
        <v>2079782</v>
      </c>
      <c r="Y102" s="229">
        <v>0</v>
      </c>
      <c r="Z102" s="229">
        <f t="shared" si="26"/>
        <v>2079782</v>
      </c>
      <c r="AA102" s="276" t="s">
        <v>15</v>
      </c>
      <c r="AB102" s="270">
        <f>SUMIF('Allocation Factors'!$B$3:$B$89,'Accumulated Deferred Income Tax'!AA102,'Allocation Factors'!$P$3:$P$89)</f>
        <v>0</v>
      </c>
      <c r="AC102" s="271">
        <f t="shared" si="27"/>
        <v>0</v>
      </c>
      <c r="AD102" s="271">
        <f t="shared" si="28"/>
        <v>0</v>
      </c>
      <c r="AE102" s="30">
        <f t="shared" si="29"/>
        <v>0</v>
      </c>
    </row>
    <row r="103" spans="1:31">
      <c r="A103" s="29">
        <v>287430</v>
      </c>
      <c r="B103" s="29">
        <v>190</v>
      </c>
      <c r="C103" s="28" t="s">
        <v>257</v>
      </c>
      <c r="D103" s="273">
        <v>505.125</v>
      </c>
      <c r="E103" s="74" t="s">
        <v>8</v>
      </c>
      <c r="F103" s="269" t="s">
        <v>9</v>
      </c>
      <c r="G103" s="229">
        <v>1582230</v>
      </c>
      <c r="H103" s="229">
        <v>1611990</v>
      </c>
      <c r="I103" s="229">
        <v>1649984</v>
      </c>
      <c r="J103" s="229">
        <v>1692724</v>
      </c>
      <c r="K103" s="229">
        <v>1719733</v>
      </c>
      <c r="L103" s="229">
        <v>1746755</v>
      </c>
      <c r="M103" s="229">
        <v>1768604</v>
      </c>
      <c r="N103" s="229">
        <v>1790777</v>
      </c>
      <c r="O103" s="229">
        <v>1812594</v>
      </c>
      <c r="P103" s="229">
        <v>1840677</v>
      </c>
      <c r="Q103" s="229">
        <v>1845201</v>
      </c>
      <c r="R103" s="229">
        <v>1851497</v>
      </c>
      <c r="S103" s="229">
        <v>1865126</v>
      </c>
      <c r="T103" s="229">
        <f t="shared" si="24"/>
        <v>1754518</v>
      </c>
      <c r="U103" s="229">
        <f t="shared" si="30"/>
        <v>1754518</v>
      </c>
      <c r="V103" s="356">
        <f t="shared" si="23"/>
        <v>1754518</v>
      </c>
      <c r="W103" s="356">
        <v>0</v>
      </c>
      <c r="X103" s="356">
        <f t="shared" si="25"/>
        <v>1754518</v>
      </c>
      <c r="Y103" s="229">
        <v>0</v>
      </c>
      <c r="Z103" s="229">
        <f t="shared" si="26"/>
        <v>1754518</v>
      </c>
      <c r="AA103" s="276" t="s">
        <v>119</v>
      </c>
      <c r="AB103" s="270">
        <f>SUMIF('Allocation Factors'!$B$3:$B$89,'Accumulated Deferred Income Tax'!AA103,'Allocation Factors'!$P$3:$P$89)</f>
        <v>0</v>
      </c>
      <c r="AC103" s="271">
        <f t="shared" si="27"/>
        <v>0</v>
      </c>
      <c r="AD103" s="271">
        <f t="shared" si="28"/>
        <v>0</v>
      </c>
      <c r="AE103" s="30">
        <f t="shared" si="29"/>
        <v>0</v>
      </c>
    </row>
    <row r="104" spans="1:31">
      <c r="A104" s="29">
        <v>287437</v>
      </c>
      <c r="B104" s="29">
        <v>190</v>
      </c>
      <c r="C104" s="90" t="s">
        <v>594</v>
      </c>
      <c r="D104" s="273" t="s">
        <v>8</v>
      </c>
      <c r="E104" s="74" t="s">
        <v>8</v>
      </c>
      <c r="F104" s="276" t="s">
        <v>333</v>
      </c>
      <c r="G104" s="229">
        <v>78617016</v>
      </c>
      <c r="H104" s="229">
        <v>78617016</v>
      </c>
      <c r="I104" s="229">
        <v>78617016</v>
      </c>
      <c r="J104" s="229">
        <v>78617016</v>
      </c>
      <c r="K104" s="229">
        <v>78617016</v>
      </c>
      <c r="L104" s="229">
        <v>72217147</v>
      </c>
      <c r="M104" s="229">
        <v>72551413</v>
      </c>
      <c r="N104" s="229">
        <v>72551413</v>
      </c>
      <c r="O104" s="229">
        <v>72551413</v>
      </c>
      <c r="P104" s="229">
        <v>72551413</v>
      </c>
      <c r="Q104" s="229">
        <v>72551413</v>
      </c>
      <c r="R104" s="229">
        <v>72551413</v>
      </c>
      <c r="S104" s="229">
        <v>72551413</v>
      </c>
      <c r="T104" s="229">
        <f t="shared" si="24"/>
        <v>74798159</v>
      </c>
      <c r="U104" s="229">
        <f t="shared" si="30"/>
        <v>74798159</v>
      </c>
      <c r="V104" s="356">
        <f t="shared" si="23"/>
        <v>74798159</v>
      </c>
      <c r="W104" s="356">
        <v>0</v>
      </c>
      <c r="X104" s="356">
        <f t="shared" si="25"/>
        <v>0</v>
      </c>
      <c r="Y104" s="229">
        <v>0</v>
      </c>
      <c r="Z104" s="229">
        <f t="shared" si="26"/>
        <v>0</v>
      </c>
      <c r="AA104" s="276" t="s">
        <v>331</v>
      </c>
      <c r="AB104" s="270">
        <f>SUMIF('Allocation Factors'!$B$3:$B$89,'Accumulated Deferred Income Tax'!AA104,'Allocation Factors'!$P$3:$P$89)</f>
        <v>0</v>
      </c>
      <c r="AC104" s="271">
        <f t="shared" si="27"/>
        <v>0</v>
      </c>
      <c r="AD104" s="271">
        <f t="shared" si="28"/>
        <v>0</v>
      </c>
      <c r="AE104" s="30">
        <f t="shared" si="29"/>
        <v>0</v>
      </c>
    </row>
    <row r="105" spans="1:31">
      <c r="A105" s="29">
        <v>287441</v>
      </c>
      <c r="B105" s="29">
        <v>190</v>
      </c>
      <c r="C105" s="28" t="s">
        <v>477</v>
      </c>
      <c r="D105" s="273">
        <v>605.1</v>
      </c>
      <c r="E105" s="74" t="s">
        <v>8</v>
      </c>
      <c r="F105" s="276" t="s">
        <v>333</v>
      </c>
      <c r="G105" s="229">
        <v>1335954</v>
      </c>
      <c r="H105" s="229">
        <v>1331783</v>
      </c>
      <c r="I105" s="229">
        <v>1331113</v>
      </c>
      <c r="J105" s="229">
        <v>1328211</v>
      </c>
      <c r="K105" s="229">
        <v>1324991</v>
      </c>
      <c r="L105" s="229">
        <v>1322554</v>
      </c>
      <c r="M105" s="229">
        <v>1319363</v>
      </c>
      <c r="N105" s="229">
        <v>1312926</v>
      </c>
      <c r="O105" s="229">
        <v>1335752</v>
      </c>
      <c r="P105" s="229">
        <v>1333443</v>
      </c>
      <c r="Q105" s="229">
        <v>1330701</v>
      </c>
      <c r="R105" s="229">
        <v>1327285</v>
      </c>
      <c r="S105" s="229">
        <v>1323421</v>
      </c>
      <c r="T105" s="229">
        <f t="shared" si="24"/>
        <v>1327317</v>
      </c>
      <c r="U105" s="229">
        <f t="shared" si="30"/>
        <v>1327317</v>
      </c>
      <c r="V105" s="356">
        <f t="shared" si="23"/>
        <v>1327317</v>
      </c>
      <c r="W105" s="356">
        <v>0</v>
      </c>
      <c r="X105" s="356">
        <f t="shared" si="25"/>
        <v>0</v>
      </c>
      <c r="Y105" s="229">
        <v>0</v>
      </c>
      <c r="Z105" s="229">
        <f t="shared" si="26"/>
        <v>0</v>
      </c>
      <c r="AA105" s="276" t="s">
        <v>331</v>
      </c>
      <c r="AB105" s="270">
        <f>SUMIF('Allocation Factors'!$B$3:$B$89,'Accumulated Deferred Income Tax'!AA105,'Allocation Factors'!$P$3:$P$89)</f>
        <v>0</v>
      </c>
      <c r="AC105" s="271">
        <f t="shared" si="27"/>
        <v>0</v>
      </c>
      <c r="AD105" s="271">
        <f t="shared" si="28"/>
        <v>0</v>
      </c>
      <c r="AE105" s="30">
        <f t="shared" si="29"/>
        <v>0</v>
      </c>
    </row>
    <row r="106" spans="1:31">
      <c r="A106" s="29">
        <v>287445</v>
      </c>
      <c r="B106" s="29">
        <v>190</v>
      </c>
      <c r="C106" s="28" t="s">
        <v>41</v>
      </c>
      <c r="D106" s="273">
        <v>610.14200000000005</v>
      </c>
      <c r="E106" s="74" t="s">
        <v>8</v>
      </c>
      <c r="F106" s="29" t="s">
        <v>333</v>
      </c>
      <c r="G106" s="229">
        <v>346165</v>
      </c>
      <c r="H106" s="229">
        <v>338495</v>
      </c>
      <c r="I106" s="229">
        <v>331970</v>
      </c>
      <c r="J106" s="229">
        <v>326704</v>
      </c>
      <c r="K106" s="229">
        <v>361500</v>
      </c>
      <c r="L106" s="229">
        <v>366022</v>
      </c>
      <c r="M106" s="229">
        <v>371395</v>
      </c>
      <c r="N106" s="229">
        <v>373867</v>
      </c>
      <c r="O106" s="229">
        <v>379593</v>
      </c>
      <c r="P106" s="229">
        <v>376242</v>
      </c>
      <c r="Q106" s="229">
        <v>333461</v>
      </c>
      <c r="R106" s="229">
        <v>328068</v>
      </c>
      <c r="S106" s="229">
        <v>324438</v>
      </c>
      <c r="T106" s="229">
        <f t="shared" si="24"/>
        <v>351885</v>
      </c>
      <c r="U106" s="229">
        <f t="shared" si="30"/>
        <v>351885</v>
      </c>
      <c r="V106" s="356">
        <f t="shared" si="23"/>
        <v>351885</v>
      </c>
      <c r="W106" s="356">
        <v>0</v>
      </c>
      <c r="X106" s="356">
        <f t="shared" si="25"/>
        <v>0</v>
      </c>
      <c r="Y106" s="229">
        <v>0</v>
      </c>
      <c r="Z106" s="229">
        <f t="shared" si="26"/>
        <v>0</v>
      </c>
      <c r="AA106" s="276" t="s">
        <v>331</v>
      </c>
      <c r="AB106" s="270">
        <f>SUMIF('Allocation Factors'!$B$3:$B$89,'Accumulated Deferred Income Tax'!AA106,'Allocation Factors'!$P$3:$P$89)</f>
        <v>0</v>
      </c>
      <c r="AC106" s="271">
        <f t="shared" si="27"/>
        <v>0</v>
      </c>
      <c r="AD106" s="271">
        <f t="shared" si="28"/>
        <v>0</v>
      </c>
      <c r="AE106" s="30">
        <f t="shared" si="29"/>
        <v>0</v>
      </c>
    </row>
    <row r="107" spans="1:31">
      <c r="A107" s="29">
        <v>287447</v>
      </c>
      <c r="B107" s="29">
        <v>190</v>
      </c>
      <c r="C107" s="28" t="s">
        <v>502</v>
      </c>
      <c r="D107" s="273">
        <v>720.83</v>
      </c>
      <c r="E107" s="74" t="s">
        <v>8</v>
      </c>
      <c r="F107" s="29" t="s">
        <v>333</v>
      </c>
      <c r="G107" s="229">
        <v>2668101</v>
      </c>
      <c r="H107" s="229">
        <v>2674587</v>
      </c>
      <c r="I107" s="229">
        <v>2686738</v>
      </c>
      <c r="J107" s="229">
        <v>2690586</v>
      </c>
      <c r="K107" s="229">
        <v>2712782</v>
      </c>
      <c r="L107" s="229">
        <v>2590509</v>
      </c>
      <c r="M107" s="229">
        <v>2576430</v>
      </c>
      <c r="N107" s="229">
        <v>2584788</v>
      </c>
      <c r="O107" s="229">
        <v>2594676</v>
      </c>
      <c r="P107" s="229">
        <v>2604254</v>
      </c>
      <c r="Q107" s="229">
        <v>2616359</v>
      </c>
      <c r="R107" s="229">
        <v>2622209</v>
      </c>
      <c r="S107" s="229">
        <v>2630737</v>
      </c>
      <c r="T107" s="229">
        <f t="shared" si="24"/>
        <v>2633611</v>
      </c>
      <c r="U107" s="229">
        <f t="shared" si="30"/>
        <v>2633611</v>
      </c>
      <c r="V107" s="356">
        <f t="shared" si="23"/>
        <v>2633611</v>
      </c>
      <c r="W107" s="356">
        <v>0</v>
      </c>
      <c r="X107" s="356">
        <f t="shared" si="25"/>
        <v>0</v>
      </c>
      <c r="Y107" s="229">
        <v>0</v>
      </c>
      <c r="Z107" s="229">
        <f t="shared" si="26"/>
        <v>0</v>
      </c>
      <c r="AA107" s="276" t="s">
        <v>331</v>
      </c>
      <c r="AB107" s="270">
        <f>SUMIF('Allocation Factors'!$B$3:$B$89,'Accumulated Deferred Income Tax'!AA107,'Allocation Factors'!$P$3:$P$89)</f>
        <v>0</v>
      </c>
      <c r="AC107" s="271">
        <f t="shared" si="27"/>
        <v>0</v>
      </c>
      <c r="AD107" s="271">
        <f t="shared" si="28"/>
        <v>0</v>
      </c>
      <c r="AE107" s="30">
        <f t="shared" si="29"/>
        <v>0</v>
      </c>
    </row>
    <row r="108" spans="1:31">
      <c r="A108" s="29">
        <v>287449</v>
      </c>
      <c r="B108" s="29">
        <v>190</v>
      </c>
      <c r="C108" s="90" t="s">
        <v>595</v>
      </c>
      <c r="D108" s="273" t="s">
        <v>8</v>
      </c>
      <c r="E108" s="74" t="s">
        <v>8</v>
      </c>
      <c r="F108" s="276" t="s">
        <v>333</v>
      </c>
      <c r="G108" s="229">
        <v>-16571401</v>
      </c>
      <c r="H108" s="229">
        <v>-16571401</v>
      </c>
      <c r="I108" s="229">
        <v>-16571401</v>
      </c>
      <c r="J108" s="229">
        <v>-16571401</v>
      </c>
      <c r="K108" s="229">
        <v>-16571401</v>
      </c>
      <c r="L108" s="229">
        <v>-15204877</v>
      </c>
      <c r="M108" s="229">
        <v>-15275088</v>
      </c>
      <c r="N108" s="229">
        <v>-15275088</v>
      </c>
      <c r="O108" s="229">
        <v>-15275088</v>
      </c>
      <c r="P108" s="229">
        <v>-15275088</v>
      </c>
      <c r="Q108" s="229">
        <v>-15275088</v>
      </c>
      <c r="R108" s="229">
        <v>-15275088</v>
      </c>
      <c r="S108" s="229">
        <v>-15275088</v>
      </c>
      <c r="T108" s="229">
        <f t="shared" si="24"/>
        <v>-15755354</v>
      </c>
      <c r="U108" s="229">
        <f t="shared" si="30"/>
        <v>-15755354</v>
      </c>
      <c r="V108" s="356">
        <f t="shared" si="23"/>
        <v>-15755354</v>
      </c>
      <c r="W108" s="356">
        <v>0</v>
      </c>
      <c r="X108" s="356">
        <f t="shared" si="25"/>
        <v>0</v>
      </c>
      <c r="Y108" s="229">
        <v>0</v>
      </c>
      <c r="Z108" s="229">
        <f t="shared" si="26"/>
        <v>0</v>
      </c>
      <c r="AA108" s="276" t="s">
        <v>331</v>
      </c>
      <c r="AB108" s="270">
        <f>SUMIF('Allocation Factors'!$B$3:$B$89,'Accumulated Deferred Income Tax'!AA108,'Allocation Factors'!$P$3:$P$89)</f>
        <v>0</v>
      </c>
      <c r="AC108" s="271">
        <f t="shared" si="27"/>
        <v>0</v>
      </c>
      <c r="AD108" s="271">
        <f t="shared" si="28"/>
        <v>0</v>
      </c>
      <c r="AE108" s="30">
        <f t="shared" si="29"/>
        <v>0</v>
      </c>
    </row>
    <row r="109" spans="1:31">
      <c r="A109" s="29">
        <v>287453</v>
      </c>
      <c r="B109" s="29">
        <v>190</v>
      </c>
      <c r="C109" s="28" t="s">
        <v>65</v>
      </c>
      <c r="D109" s="273">
        <v>610.14300000000003</v>
      </c>
      <c r="E109" s="74" t="s">
        <v>8</v>
      </c>
      <c r="F109" s="29" t="s">
        <v>9</v>
      </c>
      <c r="G109" s="229">
        <v>172322</v>
      </c>
      <c r="H109" s="229">
        <v>185319</v>
      </c>
      <c r="I109" s="229">
        <v>186203</v>
      </c>
      <c r="J109" s="229">
        <v>200516</v>
      </c>
      <c r="K109" s="229">
        <v>213762</v>
      </c>
      <c r="L109" s="229">
        <v>213112</v>
      </c>
      <c r="M109" s="229">
        <v>123924</v>
      </c>
      <c r="N109" s="229">
        <v>40665</v>
      </c>
      <c r="O109" s="229">
        <v>-51108</v>
      </c>
      <c r="P109" s="229">
        <v>-140053</v>
      </c>
      <c r="Q109" s="229">
        <v>-165881</v>
      </c>
      <c r="R109" s="229">
        <v>-161622</v>
      </c>
      <c r="S109" s="229">
        <v>-144479</v>
      </c>
      <c r="T109" s="229">
        <f t="shared" si="24"/>
        <v>54897</v>
      </c>
      <c r="U109" s="229">
        <f t="shared" si="30"/>
        <v>54897</v>
      </c>
      <c r="V109" s="356">
        <f t="shared" si="23"/>
        <v>54897</v>
      </c>
      <c r="W109" s="356">
        <v>0</v>
      </c>
      <c r="X109" s="356">
        <f t="shared" si="25"/>
        <v>54897</v>
      </c>
      <c r="Y109" s="229">
        <v>0</v>
      </c>
      <c r="Z109" s="229">
        <f t="shared" si="26"/>
        <v>54897</v>
      </c>
      <c r="AA109" s="276" t="s">
        <v>15</v>
      </c>
      <c r="AB109" s="270">
        <f>SUMIF('Allocation Factors'!$B$3:$B$89,'Accumulated Deferred Income Tax'!AA109,'Allocation Factors'!$P$3:$P$89)</f>
        <v>0</v>
      </c>
      <c r="AC109" s="271">
        <f t="shared" si="27"/>
        <v>0</v>
      </c>
      <c r="AD109" s="271">
        <f t="shared" si="28"/>
        <v>0</v>
      </c>
      <c r="AE109" s="30">
        <f t="shared" si="29"/>
        <v>0</v>
      </c>
    </row>
    <row r="110" spans="1:31">
      <c r="A110" s="29">
        <v>287460</v>
      </c>
      <c r="B110" s="29">
        <v>190</v>
      </c>
      <c r="C110" s="28" t="s">
        <v>66</v>
      </c>
      <c r="D110" s="273">
        <v>720.8</v>
      </c>
      <c r="E110" s="74" t="s">
        <v>8</v>
      </c>
      <c r="F110" s="276" t="s">
        <v>333</v>
      </c>
      <c r="G110" s="229">
        <v>16388168</v>
      </c>
      <c r="H110" s="229">
        <v>15747322</v>
      </c>
      <c r="I110" s="229">
        <v>15106476</v>
      </c>
      <c r="J110" s="229">
        <v>14465630</v>
      </c>
      <c r="K110" s="229">
        <v>13824784</v>
      </c>
      <c r="L110" s="229">
        <v>13183938</v>
      </c>
      <c r="M110" s="229">
        <v>27208050</v>
      </c>
      <c r="N110" s="229">
        <v>26703496</v>
      </c>
      <c r="O110" s="229">
        <v>26198943</v>
      </c>
      <c r="P110" s="229">
        <v>25694390</v>
      </c>
      <c r="Q110" s="229">
        <v>25189836</v>
      </c>
      <c r="R110" s="229">
        <v>24685283</v>
      </c>
      <c r="S110" s="229">
        <v>24180730</v>
      </c>
      <c r="T110" s="229">
        <f t="shared" si="24"/>
        <v>20691050</v>
      </c>
      <c r="U110" s="229">
        <f t="shared" si="30"/>
        <v>20691050</v>
      </c>
      <c r="V110" s="356">
        <f t="shared" si="23"/>
        <v>20691050</v>
      </c>
      <c r="W110" s="356">
        <v>0</v>
      </c>
      <c r="X110" s="356">
        <f t="shared" si="25"/>
        <v>0</v>
      </c>
      <c r="Y110" s="229">
        <v>0</v>
      </c>
      <c r="Z110" s="229">
        <f t="shared" si="26"/>
        <v>0</v>
      </c>
      <c r="AA110" s="276" t="s">
        <v>331</v>
      </c>
      <c r="AB110" s="270">
        <f>SUMIF('Allocation Factors'!$B$3:$B$89,'Accumulated Deferred Income Tax'!AA110,'Allocation Factors'!$P$3:$P$89)</f>
        <v>0</v>
      </c>
      <c r="AC110" s="271">
        <f t="shared" si="27"/>
        <v>0</v>
      </c>
      <c r="AD110" s="271">
        <f t="shared" si="28"/>
        <v>0</v>
      </c>
      <c r="AE110" s="30">
        <f t="shared" si="29"/>
        <v>0</v>
      </c>
    </row>
    <row r="111" spans="1:31">
      <c r="A111" s="29">
        <v>287461</v>
      </c>
      <c r="B111" s="29">
        <v>190</v>
      </c>
      <c r="C111" s="28" t="s">
        <v>258</v>
      </c>
      <c r="D111" s="273">
        <v>720.81</v>
      </c>
      <c r="E111" s="74" t="s">
        <v>8</v>
      </c>
      <c r="F111" s="276" t="s">
        <v>333</v>
      </c>
      <c r="G111" s="229">
        <v>0</v>
      </c>
      <c r="H111" s="229">
        <v>0</v>
      </c>
      <c r="I111" s="229">
        <v>0</v>
      </c>
      <c r="J111" s="229">
        <v>0</v>
      </c>
      <c r="K111" s="229">
        <v>0</v>
      </c>
      <c r="L111" s="229">
        <v>0</v>
      </c>
      <c r="M111" s="229">
        <v>1071390</v>
      </c>
      <c r="N111" s="229">
        <v>922789</v>
      </c>
      <c r="O111" s="229">
        <v>759439</v>
      </c>
      <c r="P111" s="229">
        <v>759439</v>
      </c>
      <c r="Q111" s="229">
        <v>759439</v>
      </c>
      <c r="R111" s="229">
        <v>759439</v>
      </c>
      <c r="S111" s="229">
        <v>759439</v>
      </c>
      <c r="T111" s="229">
        <f t="shared" si="24"/>
        <v>450971</v>
      </c>
      <c r="U111" s="229">
        <f t="shared" si="30"/>
        <v>450971</v>
      </c>
      <c r="V111" s="356">
        <f t="shared" si="23"/>
        <v>450971</v>
      </c>
      <c r="W111" s="356">
        <v>0</v>
      </c>
      <c r="X111" s="356">
        <f t="shared" si="25"/>
        <v>0</v>
      </c>
      <c r="Y111" s="229">
        <v>0</v>
      </c>
      <c r="Z111" s="229">
        <f t="shared" si="26"/>
        <v>0</v>
      </c>
      <c r="AA111" s="276" t="s">
        <v>331</v>
      </c>
      <c r="AB111" s="270">
        <f>SUMIF('Allocation Factors'!$B$3:$B$89,'Accumulated Deferred Income Tax'!AA111,'Allocation Factors'!$P$3:$P$89)</f>
        <v>0</v>
      </c>
      <c r="AC111" s="271">
        <f t="shared" si="27"/>
        <v>0</v>
      </c>
      <c r="AD111" s="271">
        <f t="shared" si="28"/>
        <v>0</v>
      </c>
      <c r="AE111" s="30">
        <f t="shared" si="29"/>
        <v>0</v>
      </c>
    </row>
    <row r="112" spans="1:31">
      <c r="A112" s="29">
        <v>287462</v>
      </c>
      <c r="B112" s="29">
        <v>190</v>
      </c>
      <c r="C112" s="28" t="s">
        <v>67</v>
      </c>
      <c r="D112" s="273">
        <v>720.82</v>
      </c>
      <c r="E112" s="74" t="s">
        <v>8</v>
      </c>
      <c r="F112" s="269" t="s">
        <v>333</v>
      </c>
      <c r="G112" s="229">
        <v>13891081</v>
      </c>
      <c r="H112" s="229">
        <v>13844128</v>
      </c>
      <c r="I112" s="229">
        <v>13796548</v>
      </c>
      <c r="J112" s="229">
        <v>13749312</v>
      </c>
      <c r="K112" s="229">
        <v>13700819</v>
      </c>
      <c r="L112" s="229">
        <v>13651184</v>
      </c>
      <c r="M112" s="229">
        <v>12970711</v>
      </c>
      <c r="N112" s="229">
        <v>12924177</v>
      </c>
      <c r="O112" s="229">
        <v>12877643</v>
      </c>
      <c r="P112" s="229">
        <v>12831110</v>
      </c>
      <c r="Q112" s="229">
        <v>12784241</v>
      </c>
      <c r="R112" s="229">
        <v>12738352</v>
      </c>
      <c r="S112" s="229">
        <v>12692033</v>
      </c>
      <c r="T112" s="229">
        <f t="shared" si="24"/>
        <v>13263315</v>
      </c>
      <c r="U112" s="229">
        <f t="shared" si="30"/>
        <v>13263315</v>
      </c>
      <c r="V112" s="356">
        <f t="shared" si="23"/>
        <v>13263315</v>
      </c>
      <c r="W112" s="356">
        <v>0</v>
      </c>
      <c r="X112" s="356">
        <f t="shared" si="25"/>
        <v>0</v>
      </c>
      <c r="Y112" s="229">
        <v>0</v>
      </c>
      <c r="Z112" s="229">
        <f t="shared" si="26"/>
        <v>0</v>
      </c>
      <c r="AA112" s="276" t="s">
        <v>331</v>
      </c>
      <c r="AB112" s="270">
        <f>SUMIF('Allocation Factors'!$B$3:$B$89,'Accumulated Deferred Income Tax'!AA112,'Allocation Factors'!$P$3:$P$89)</f>
        <v>0</v>
      </c>
      <c r="AC112" s="271">
        <f t="shared" si="27"/>
        <v>0</v>
      </c>
      <c r="AD112" s="271">
        <f t="shared" si="28"/>
        <v>0</v>
      </c>
      <c r="AE112" s="30">
        <f t="shared" si="29"/>
        <v>0</v>
      </c>
    </row>
    <row r="113" spans="1:31">
      <c r="A113" s="29">
        <v>287473</v>
      </c>
      <c r="B113" s="29">
        <v>190</v>
      </c>
      <c r="C113" s="28" t="s">
        <v>483</v>
      </c>
      <c r="D113" s="273">
        <v>705.27</v>
      </c>
      <c r="E113" s="74" t="s">
        <v>8</v>
      </c>
      <c r="F113" s="269" t="s">
        <v>9</v>
      </c>
      <c r="G113" s="229">
        <v>629616</v>
      </c>
      <c r="H113" s="229">
        <v>604991</v>
      </c>
      <c r="I113" s="229">
        <v>606439</v>
      </c>
      <c r="J113" s="229">
        <v>596947</v>
      </c>
      <c r="K113" s="229">
        <v>604396</v>
      </c>
      <c r="L113" s="229">
        <v>605964</v>
      </c>
      <c r="M113" s="229">
        <v>630271</v>
      </c>
      <c r="N113" s="229">
        <v>651926</v>
      </c>
      <c r="O113" s="229">
        <v>579708</v>
      </c>
      <c r="P113" s="229">
        <v>594053</v>
      </c>
      <c r="Q113" s="229">
        <v>569100</v>
      </c>
      <c r="R113" s="229">
        <v>598580</v>
      </c>
      <c r="S113" s="229">
        <v>600968</v>
      </c>
      <c r="T113" s="229">
        <f t="shared" si="24"/>
        <v>604806</v>
      </c>
      <c r="U113" s="229">
        <f t="shared" si="30"/>
        <v>604806</v>
      </c>
      <c r="V113" s="356">
        <f t="shared" si="23"/>
        <v>604806</v>
      </c>
      <c r="W113" s="356">
        <v>0</v>
      </c>
      <c r="X113" s="356">
        <f t="shared" si="25"/>
        <v>604806</v>
      </c>
      <c r="Y113" s="229">
        <v>0</v>
      </c>
      <c r="Z113" s="229">
        <f t="shared" si="26"/>
        <v>604806</v>
      </c>
      <c r="AA113" s="276" t="s">
        <v>15</v>
      </c>
      <c r="AB113" s="270">
        <f>SUMIF('Allocation Factors'!$B$3:$B$89,'Accumulated Deferred Income Tax'!AA113,'Allocation Factors'!$P$3:$P$89)</f>
        <v>0</v>
      </c>
      <c r="AC113" s="271">
        <f t="shared" si="27"/>
        <v>0</v>
      </c>
      <c r="AD113" s="271">
        <f t="shared" si="28"/>
        <v>0</v>
      </c>
      <c r="AE113" s="30">
        <f t="shared" si="29"/>
        <v>0</v>
      </c>
    </row>
    <row r="114" spans="1:31">
      <c r="A114" s="29">
        <v>287474</v>
      </c>
      <c r="B114" s="29">
        <v>190</v>
      </c>
      <c r="C114" s="28" t="s">
        <v>484</v>
      </c>
      <c r="D114" s="273">
        <v>705.27099999999996</v>
      </c>
      <c r="E114" s="74" t="s">
        <v>8</v>
      </c>
      <c r="F114" s="269" t="s">
        <v>9</v>
      </c>
      <c r="G114" s="229">
        <v>79467</v>
      </c>
      <c r="H114" s="229">
        <v>79562</v>
      </c>
      <c r="I114" s="229">
        <v>82059</v>
      </c>
      <c r="J114" s="229">
        <v>84841</v>
      </c>
      <c r="K114" s="229">
        <v>86990</v>
      </c>
      <c r="L114" s="229">
        <v>90671</v>
      </c>
      <c r="M114" s="229">
        <v>93650</v>
      </c>
      <c r="N114" s="229">
        <v>99004</v>
      </c>
      <c r="O114" s="229">
        <v>98936</v>
      </c>
      <c r="P114" s="229">
        <v>101519</v>
      </c>
      <c r="Q114" s="229">
        <v>104793</v>
      </c>
      <c r="R114" s="229">
        <v>107831</v>
      </c>
      <c r="S114" s="229">
        <v>111253</v>
      </c>
      <c r="T114" s="229">
        <f t="shared" si="24"/>
        <v>93768</v>
      </c>
      <c r="U114" s="229">
        <f t="shared" si="30"/>
        <v>93768</v>
      </c>
      <c r="V114" s="356">
        <f t="shared" si="23"/>
        <v>93768</v>
      </c>
      <c r="W114" s="356">
        <v>0</v>
      </c>
      <c r="X114" s="356">
        <f t="shared" si="25"/>
        <v>93768</v>
      </c>
      <c r="Y114" s="229">
        <v>0</v>
      </c>
      <c r="Z114" s="229">
        <f t="shared" si="26"/>
        <v>93768</v>
      </c>
      <c r="AA114" s="276" t="s">
        <v>15</v>
      </c>
      <c r="AB114" s="270">
        <f>SUMIF('Allocation Factors'!$B$3:$B$89,'Accumulated Deferred Income Tax'!AA114,'Allocation Factors'!$P$3:$P$89)</f>
        <v>0</v>
      </c>
      <c r="AC114" s="271">
        <f t="shared" si="27"/>
        <v>0</v>
      </c>
      <c r="AD114" s="271">
        <f t="shared" si="28"/>
        <v>0</v>
      </c>
      <c r="AE114" s="30">
        <f t="shared" si="29"/>
        <v>0</v>
      </c>
    </row>
    <row r="115" spans="1:31">
      <c r="A115" s="29">
        <v>287475</v>
      </c>
      <c r="B115" s="29">
        <v>190</v>
      </c>
      <c r="C115" s="28" t="s">
        <v>485</v>
      </c>
      <c r="D115" s="273">
        <v>705.27200000000005</v>
      </c>
      <c r="E115" s="74" t="s">
        <v>8</v>
      </c>
      <c r="F115" s="269" t="s">
        <v>9</v>
      </c>
      <c r="G115" s="229">
        <v>74928</v>
      </c>
      <c r="H115" s="229">
        <v>75246</v>
      </c>
      <c r="I115" s="229">
        <v>75638</v>
      </c>
      <c r="J115" s="229">
        <v>76720</v>
      </c>
      <c r="K115" s="229">
        <v>50409</v>
      </c>
      <c r="L115" s="229">
        <v>51687</v>
      </c>
      <c r="M115" s="229">
        <v>52721</v>
      </c>
      <c r="N115" s="229">
        <v>53993</v>
      </c>
      <c r="O115" s="229">
        <v>54609</v>
      </c>
      <c r="P115" s="229">
        <v>55654</v>
      </c>
      <c r="Q115" s="229">
        <v>56924</v>
      </c>
      <c r="R115" s="229">
        <v>58188</v>
      </c>
      <c r="S115" s="229">
        <v>59469</v>
      </c>
      <c r="T115" s="229">
        <f t="shared" si="24"/>
        <v>60749</v>
      </c>
      <c r="U115" s="229">
        <f t="shared" si="30"/>
        <v>60749</v>
      </c>
      <c r="V115" s="356">
        <f t="shared" si="23"/>
        <v>60749</v>
      </c>
      <c r="W115" s="356">
        <v>0</v>
      </c>
      <c r="X115" s="356">
        <f t="shared" si="25"/>
        <v>60749</v>
      </c>
      <c r="Y115" s="229">
        <v>0</v>
      </c>
      <c r="Z115" s="229">
        <f t="shared" si="26"/>
        <v>60749</v>
      </c>
      <c r="AA115" s="276" t="s">
        <v>15</v>
      </c>
      <c r="AB115" s="270">
        <f>SUMIF('Allocation Factors'!$B$3:$B$89,'Accumulated Deferred Income Tax'!AA115,'Allocation Factors'!$P$3:$P$89)</f>
        <v>0</v>
      </c>
      <c r="AC115" s="271">
        <f t="shared" si="27"/>
        <v>0</v>
      </c>
      <c r="AD115" s="271">
        <f t="shared" si="28"/>
        <v>0</v>
      </c>
      <c r="AE115" s="30">
        <f t="shared" si="29"/>
        <v>0</v>
      </c>
    </row>
    <row r="116" spans="1:31">
      <c r="A116" s="29">
        <v>287476</v>
      </c>
      <c r="B116" s="29">
        <v>190</v>
      </c>
      <c r="C116" s="28" t="s">
        <v>486</v>
      </c>
      <c r="D116" s="273">
        <v>705.27300000000002</v>
      </c>
      <c r="E116" s="74" t="s">
        <v>8</v>
      </c>
      <c r="F116" s="269" t="s">
        <v>9</v>
      </c>
      <c r="G116" s="229">
        <v>2226941</v>
      </c>
      <c r="H116" s="229">
        <v>2249555</v>
      </c>
      <c r="I116" s="229">
        <v>2295884</v>
      </c>
      <c r="J116" s="229">
        <v>2332974</v>
      </c>
      <c r="K116" s="229">
        <v>2371231</v>
      </c>
      <c r="L116" s="229">
        <v>2423878</v>
      </c>
      <c r="M116" s="229">
        <v>2456455</v>
      </c>
      <c r="N116" s="229">
        <v>2428365</v>
      </c>
      <c r="O116" s="229">
        <v>2484297</v>
      </c>
      <c r="P116" s="229">
        <v>2448271</v>
      </c>
      <c r="Q116" s="229">
        <v>2385195</v>
      </c>
      <c r="R116" s="229">
        <v>2364396</v>
      </c>
      <c r="S116" s="229">
        <v>2345945</v>
      </c>
      <c r="T116" s="229">
        <f t="shared" si="24"/>
        <v>2377245</v>
      </c>
      <c r="U116" s="229">
        <f t="shared" si="30"/>
        <v>2377245</v>
      </c>
      <c r="V116" s="356">
        <f t="shared" si="23"/>
        <v>2377245</v>
      </c>
      <c r="W116" s="356">
        <v>0</v>
      </c>
      <c r="X116" s="356">
        <f t="shared" si="25"/>
        <v>2377245</v>
      </c>
      <c r="Y116" s="229">
        <v>0</v>
      </c>
      <c r="Z116" s="229">
        <f t="shared" si="26"/>
        <v>2377245</v>
      </c>
      <c r="AA116" s="276" t="s">
        <v>15</v>
      </c>
      <c r="AB116" s="270">
        <f>SUMIF('Allocation Factors'!$B$3:$B$89,'Accumulated Deferred Income Tax'!AA116,'Allocation Factors'!$P$3:$P$89)</f>
        <v>0</v>
      </c>
      <c r="AC116" s="271">
        <f t="shared" si="27"/>
        <v>0</v>
      </c>
      <c r="AD116" s="271">
        <f t="shared" si="28"/>
        <v>0</v>
      </c>
      <c r="AE116" s="30">
        <f t="shared" si="29"/>
        <v>0</v>
      </c>
    </row>
    <row r="117" spans="1:31">
      <c r="A117" s="29">
        <v>287477</v>
      </c>
      <c r="B117" s="29">
        <v>190</v>
      </c>
      <c r="C117" s="28" t="s">
        <v>487</v>
      </c>
      <c r="D117" s="273">
        <v>705.274</v>
      </c>
      <c r="E117" s="74" t="s">
        <v>8</v>
      </c>
      <c r="F117" s="269" t="s">
        <v>9</v>
      </c>
      <c r="G117" s="229">
        <v>53572</v>
      </c>
      <c r="H117" s="229">
        <v>54544</v>
      </c>
      <c r="I117" s="229">
        <v>55490</v>
      </c>
      <c r="J117" s="229">
        <v>56567</v>
      </c>
      <c r="K117" s="229">
        <v>57357</v>
      </c>
      <c r="L117" s="229">
        <v>58333</v>
      </c>
      <c r="M117" s="229">
        <v>59385</v>
      </c>
      <c r="N117" s="229">
        <v>60376</v>
      </c>
      <c r="O117" s="229">
        <v>61402</v>
      </c>
      <c r="P117" s="229">
        <v>62373</v>
      </c>
      <c r="Q117" s="229">
        <v>63540</v>
      </c>
      <c r="R117" s="229">
        <v>64617</v>
      </c>
      <c r="S117" s="229">
        <v>65724</v>
      </c>
      <c r="T117" s="229">
        <f t="shared" si="24"/>
        <v>59469</v>
      </c>
      <c r="U117" s="229">
        <f t="shared" si="30"/>
        <v>59469</v>
      </c>
      <c r="V117" s="356">
        <f t="shared" si="23"/>
        <v>59469</v>
      </c>
      <c r="W117" s="356">
        <v>0</v>
      </c>
      <c r="X117" s="356">
        <f t="shared" si="25"/>
        <v>59469</v>
      </c>
      <c r="Y117" s="229">
        <v>0</v>
      </c>
      <c r="Z117" s="229">
        <f t="shared" si="26"/>
        <v>59469</v>
      </c>
      <c r="AA117" s="276" t="s">
        <v>15</v>
      </c>
      <c r="AB117" s="270">
        <f>SUMIF('Allocation Factors'!$B$3:$B$89,'Accumulated Deferred Income Tax'!AA117,'Allocation Factors'!$P$3:$P$89)</f>
        <v>0</v>
      </c>
      <c r="AC117" s="271">
        <f t="shared" si="27"/>
        <v>0</v>
      </c>
      <c r="AD117" s="271">
        <f t="shared" si="28"/>
        <v>0</v>
      </c>
      <c r="AE117" s="30">
        <f t="shared" si="29"/>
        <v>0</v>
      </c>
    </row>
    <row r="118" spans="1:31">
      <c r="A118" s="29">
        <v>287478</v>
      </c>
      <c r="B118" s="29">
        <v>190</v>
      </c>
      <c r="C118" s="28" t="s">
        <v>488</v>
      </c>
      <c r="D118" s="273">
        <v>705.27499999999998</v>
      </c>
      <c r="E118" s="74" t="s">
        <v>8</v>
      </c>
      <c r="F118" s="269" t="s">
        <v>9</v>
      </c>
      <c r="G118" s="229">
        <v>125267</v>
      </c>
      <c r="H118" s="229">
        <v>105465</v>
      </c>
      <c r="I118" s="229">
        <v>108836</v>
      </c>
      <c r="J118" s="229">
        <v>112506</v>
      </c>
      <c r="K118" s="229">
        <v>106979</v>
      </c>
      <c r="L118" s="229">
        <v>110973</v>
      </c>
      <c r="M118" s="229">
        <v>114658</v>
      </c>
      <c r="N118" s="229">
        <v>118092</v>
      </c>
      <c r="O118" s="229">
        <v>121953</v>
      </c>
      <c r="P118" s="229">
        <v>125375</v>
      </c>
      <c r="Q118" s="229">
        <v>129233</v>
      </c>
      <c r="R118" s="229">
        <v>132978</v>
      </c>
      <c r="S118" s="229">
        <v>136740</v>
      </c>
      <c r="T118" s="229">
        <f t="shared" si="24"/>
        <v>118171</v>
      </c>
      <c r="U118" s="229">
        <f t="shared" si="30"/>
        <v>118171</v>
      </c>
      <c r="V118" s="356">
        <f t="shared" si="23"/>
        <v>118171</v>
      </c>
      <c r="W118" s="356">
        <v>0</v>
      </c>
      <c r="X118" s="356">
        <f t="shared" si="25"/>
        <v>118171</v>
      </c>
      <c r="Y118" s="229">
        <v>0</v>
      </c>
      <c r="Z118" s="229">
        <f t="shared" si="26"/>
        <v>118171</v>
      </c>
      <c r="AA118" s="276" t="s">
        <v>15</v>
      </c>
      <c r="AB118" s="270">
        <f>SUMIF('Allocation Factors'!$B$3:$B$89,'Accumulated Deferred Income Tax'!AA118,'Allocation Factors'!$P$3:$P$89)</f>
        <v>0</v>
      </c>
      <c r="AC118" s="271">
        <f t="shared" si="27"/>
        <v>0</v>
      </c>
      <c r="AD118" s="271">
        <f t="shared" si="28"/>
        <v>0</v>
      </c>
      <c r="AE118" s="30">
        <f t="shared" si="29"/>
        <v>0</v>
      </c>
    </row>
    <row r="119" spans="1:31">
      <c r="A119" s="29">
        <v>287479</v>
      </c>
      <c r="B119" s="29">
        <v>190</v>
      </c>
      <c r="C119" s="28" t="s">
        <v>261</v>
      </c>
      <c r="D119" s="273">
        <v>105.221</v>
      </c>
      <c r="E119" s="74" t="s">
        <v>8</v>
      </c>
      <c r="F119" s="29" t="s">
        <v>9</v>
      </c>
      <c r="G119" s="229">
        <v>20696881</v>
      </c>
      <c r="H119" s="229">
        <v>20438947</v>
      </c>
      <c r="I119" s="229">
        <v>20220259</v>
      </c>
      <c r="J119" s="229">
        <v>20095212</v>
      </c>
      <c r="K119" s="229">
        <v>20012851</v>
      </c>
      <c r="L119" s="229">
        <v>19889726</v>
      </c>
      <c r="M119" s="229">
        <v>19734360</v>
      </c>
      <c r="N119" s="229">
        <v>19527835</v>
      </c>
      <c r="O119" s="229">
        <v>19386373</v>
      </c>
      <c r="P119" s="229">
        <v>19245668</v>
      </c>
      <c r="Q119" s="229">
        <v>19141315</v>
      </c>
      <c r="R119" s="229">
        <v>18991198</v>
      </c>
      <c r="S119" s="229">
        <v>18752520</v>
      </c>
      <c r="T119" s="229">
        <f t="shared" si="24"/>
        <v>19700704</v>
      </c>
      <c r="U119" s="229">
        <f t="shared" si="30"/>
        <v>19700704</v>
      </c>
      <c r="V119" s="356">
        <f t="shared" si="23"/>
        <v>19700704</v>
      </c>
      <c r="W119" s="356">
        <f>-V119</f>
        <v>-19700704</v>
      </c>
      <c r="X119" s="356">
        <f t="shared" si="25"/>
        <v>19700704</v>
      </c>
      <c r="Y119" s="229">
        <v>0</v>
      </c>
      <c r="Z119" s="229">
        <f t="shared" si="26"/>
        <v>19700704</v>
      </c>
      <c r="AA119" s="276" t="s">
        <v>162</v>
      </c>
      <c r="AB119" s="270">
        <f>SUMIF('Allocation Factors'!$B$3:$B$89,'Accumulated Deferred Income Tax'!AA119,'Allocation Factors'!$P$3:$P$89)</f>
        <v>0</v>
      </c>
      <c r="AC119" s="271">
        <f t="shared" si="27"/>
        <v>0</v>
      </c>
      <c r="AD119" s="271">
        <f t="shared" si="28"/>
        <v>0</v>
      </c>
      <c r="AE119" s="30">
        <f t="shared" si="29"/>
        <v>0</v>
      </c>
    </row>
    <row r="120" spans="1:31">
      <c r="A120" s="29">
        <v>287482</v>
      </c>
      <c r="B120" s="29">
        <v>190</v>
      </c>
      <c r="C120" s="28" t="s">
        <v>56</v>
      </c>
      <c r="D120" s="273">
        <v>205.02500000000001</v>
      </c>
      <c r="E120" s="74" t="s">
        <v>8</v>
      </c>
      <c r="F120" s="29" t="s">
        <v>9</v>
      </c>
      <c r="G120" s="229">
        <v>472895</v>
      </c>
      <c r="H120" s="229">
        <v>472895</v>
      </c>
      <c r="I120" s="229">
        <v>472895</v>
      </c>
      <c r="J120" s="229">
        <v>897004</v>
      </c>
      <c r="K120" s="229">
        <v>897004</v>
      </c>
      <c r="L120" s="229">
        <v>897004</v>
      </c>
      <c r="M120" s="229">
        <v>0</v>
      </c>
      <c r="N120" s="229">
        <v>0</v>
      </c>
      <c r="O120" s="229">
        <v>0</v>
      </c>
      <c r="P120" s="229">
        <v>730701</v>
      </c>
      <c r="Q120" s="229">
        <v>730701</v>
      </c>
      <c r="R120" s="229">
        <v>730701</v>
      </c>
      <c r="S120" s="229">
        <v>82717</v>
      </c>
      <c r="T120" s="229">
        <f t="shared" si="24"/>
        <v>508893</v>
      </c>
      <c r="U120" s="229">
        <f t="shared" si="30"/>
        <v>508893</v>
      </c>
      <c r="V120" s="356">
        <f t="shared" si="23"/>
        <v>508893</v>
      </c>
      <c r="W120" s="356">
        <v>0</v>
      </c>
      <c r="X120" s="356">
        <f t="shared" si="25"/>
        <v>508893</v>
      </c>
      <c r="Y120" s="229">
        <v>0</v>
      </c>
      <c r="Z120" s="229">
        <f t="shared" si="26"/>
        <v>508893</v>
      </c>
      <c r="AA120" s="276" t="s">
        <v>170</v>
      </c>
      <c r="AB120" s="270">
        <f>SUMIF('Allocation Factors'!$B$3:$B$89,'Accumulated Deferred Income Tax'!AA120,'Allocation Factors'!$P$3:$P$89)</f>
        <v>0.22591574269314921</v>
      </c>
      <c r="AC120" s="271">
        <f t="shared" si="27"/>
        <v>114967</v>
      </c>
      <c r="AD120" s="271">
        <f t="shared" si="28"/>
        <v>0</v>
      </c>
      <c r="AE120" s="30">
        <f t="shared" si="29"/>
        <v>114967</v>
      </c>
    </row>
    <row r="121" spans="1:31">
      <c r="A121" s="29">
        <v>287486</v>
      </c>
      <c r="B121" s="29">
        <v>190</v>
      </c>
      <c r="C121" s="90" t="s">
        <v>351</v>
      </c>
      <c r="D121" s="273">
        <v>415.92599999999999</v>
      </c>
      <c r="E121" s="74" t="s">
        <v>8</v>
      </c>
      <c r="F121" s="29" t="s">
        <v>9</v>
      </c>
      <c r="G121" s="229">
        <v>1132783</v>
      </c>
      <c r="H121" s="229">
        <v>1157629</v>
      </c>
      <c r="I121" s="229">
        <v>1182632</v>
      </c>
      <c r="J121" s="229">
        <v>1207794</v>
      </c>
      <c r="K121" s="229">
        <v>1233116</v>
      </c>
      <c r="L121" s="229">
        <v>1258599</v>
      </c>
      <c r="M121" s="229">
        <v>1284244</v>
      </c>
      <c r="N121" s="229">
        <v>1310051</v>
      </c>
      <c r="O121" s="229">
        <v>1336023</v>
      </c>
      <c r="P121" s="229">
        <v>1362159</v>
      </c>
      <c r="Q121" s="229">
        <v>1388461</v>
      </c>
      <c r="R121" s="229">
        <v>1414931</v>
      </c>
      <c r="S121" s="229">
        <v>1441568</v>
      </c>
      <c r="T121" s="229">
        <f t="shared" si="24"/>
        <v>1285235</v>
      </c>
      <c r="U121" s="229">
        <f t="shared" si="30"/>
        <v>1285235</v>
      </c>
      <c r="V121" s="356">
        <f t="shared" si="23"/>
        <v>1285235</v>
      </c>
      <c r="W121" s="356">
        <v>0</v>
      </c>
      <c r="X121" s="356">
        <f t="shared" si="25"/>
        <v>1285235</v>
      </c>
      <c r="Y121" s="229">
        <v>0</v>
      </c>
      <c r="Z121" s="229">
        <f t="shared" si="26"/>
        <v>1285235</v>
      </c>
      <c r="AA121" s="276" t="s">
        <v>15</v>
      </c>
      <c r="AB121" s="270">
        <f>SUMIF('Allocation Factors'!$B$3:$B$89,'Accumulated Deferred Income Tax'!AA121,'Allocation Factors'!$P$3:$P$89)</f>
        <v>0</v>
      </c>
      <c r="AC121" s="271">
        <f t="shared" si="27"/>
        <v>0</v>
      </c>
      <c r="AD121" s="271">
        <f t="shared" si="28"/>
        <v>0</v>
      </c>
      <c r="AE121" s="30">
        <f t="shared" si="29"/>
        <v>0</v>
      </c>
    </row>
    <row r="122" spans="1:31">
      <c r="A122" s="29">
        <v>287487</v>
      </c>
      <c r="B122" s="29">
        <v>190</v>
      </c>
      <c r="C122" s="90" t="s">
        <v>596</v>
      </c>
      <c r="D122" s="273">
        <v>415.92700000000002</v>
      </c>
      <c r="E122" s="74" t="s">
        <v>8</v>
      </c>
      <c r="F122" s="29" t="s">
        <v>9</v>
      </c>
      <c r="G122" s="229">
        <v>-1635</v>
      </c>
      <c r="H122" s="229">
        <v>-1635</v>
      </c>
      <c r="I122" s="229">
        <v>-1635</v>
      </c>
      <c r="J122" s="229">
        <v>-1635</v>
      </c>
      <c r="K122" s="229">
        <v>-1635</v>
      </c>
      <c r="L122" s="229">
        <v>-1635</v>
      </c>
      <c r="M122" s="229">
        <v>-1635</v>
      </c>
      <c r="N122" s="229">
        <v>-1635</v>
      </c>
      <c r="O122" s="229">
        <v>-1635</v>
      </c>
      <c r="P122" s="229">
        <v>-1635</v>
      </c>
      <c r="Q122" s="229">
        <v>-1635</v>
      </c>
      <c r="R122" s="229">
        <v>-1635</v>
      </c>
      <c r="S122" s="229">
        <v>-1635</v>
      </c>
      <c r="T122" s="229">
        <f t="shared" si="24"/>
        <v>-1635</v>
      </c>
      <c r="U122" s="229">
        <f t="shared" si="30"/>
        <v>-1635</v>
      </c>
      <c r="V122" s="356">
        <f t="shared" si="23"/>
        <v>-1635</v>
      </c>
      <c r="W122" s="356">
        <v>0</v>
      </c>
      <c r="X122" s="356">
        <f t="shared" si="25"/>
        <v>-1635</v>
      </c>
      <c r="Y122" s="229">
        <v>0</v>
      </c>
      <c r="Z122" s="229">
        <f t="shared" si="26"/>
        <v>-1635</v>
      </c>
      <c r="AA122" s="276" t="s">
        <v>26</v>
      </c>
      <c r="AB122" s="270">
        <f>SUMIF('Allocation Factors'!$B$3:$B$89,'Accumulated Deferred Income Tax'!AA122,'Allocation Factors'!$P$3:$P$89)</f>
        <v>1</v>
      </c>
      <c r="AC122" s="271">
        <f t="shared" si="27"/>
        <v>-1635</v>
      </c>
      <c r="AD122" s="271">
        <f t="shared" si="28"/>
        <v>0</v>
      </c>
      <c r="AE122" s="30">
        <f t="shared" si="29"/>
        <v>-1635</v>
      </c>
    </row>
    <row r="123" spans="1:31">
      <c r="A123" s="29">
        <v>287489</v>
      </c>
      <c r="B123" s="29">
        <v>190</v>
      </c>
      <c r="C123" s="28" t="s">
        <v>344</v>
      </c>
      <c r="D123" s="273">
        <v>910.51499999999999</v>
      </c>
      <c r="E123" s="74" t="s">
        <v>8</v>
      </c>
      <c r="F123" s="276" t="s">
        <v>333</v>
      </c>
      <c r="G123" s="229">
        <v>34556</v>
      </c>
      <c r="H123" s="229">
        <v>31999</v>
      </c>
      <c r="I123" s="229">
        <v>29347</v>
      </c>
      <c r="J123" s="229">
        <v>26684</v>
      </c>
      <c r="K123" s="229">
        <v>24097</v>
      </c>
      <c r="L123" s="229">
        <v>21414</v>
      </c>
      <c r="M123" s="229">
        <v>18808</v>
      </c>
      <c r="N123" s="229">
        <v>16104</v>
      </c>
      <c r="O123" s="229">
        <v>13390</v>
      </c>
      <c r="P123" s="229">
        <v>10928</v>
      </c>
      <c r="Q123" s="229">
        <v>8194</v>
      </c>
      <c r="R123" s="229">
        <v>5537</v>
      </c>
      <c r="S123" s="229">
        <v>2782</v>
      </c>
      <c r="T123" s="229">
        <f t="shared" si="24"/>
        <v>18764</v>
      </c>
      <c r="U123" s="229">
        <f t="shared" si="30"/>
        <v>18764</v>
      </c>
      <c r="V123" s="356">
        <f t="shared" si="23"/>
        <v>18764</v>
      </c>
      <c r="W123" s="356">
        <v>0</v>
      </c>
      <c r="X123" s="356">
        <f t="shared" si="25"/>
        <v>0</v>
      </c>
      <c r="Y123" s="229">
        <v>0</v>
      </c>
      <c r="Z123" s="229">
        <f t="shared" si="26"/>
        <v>0</v>
      </c>
      <c r="AA123" s="276" t="s">
        <v>331</v>
      </c>
      <c r="AB123" s="270">
        <f>SUMIF('Allocation Factors'!$B$3:$B$89,'Accumulated Deferred Income Tax'!AA123,'Allocation Factors'!$P$3:$P$89)</f>
        <v>0</v>
      </c>
      <c r="AC123" s="271">
        <f t="shared" si="27"/>
        <v>0</v>
      </c>
      <c r="AD123" s="271">
        <f t="shared" si="28"/>
        <v>0</v>
      </c>
      <c r="AE123" s="30">
        <f t="shared" si="29"/>
        <v>0</v>
      </c>
    </row>
    <row r="124" spans="1:31">
      <c r="A124" s="29">
        <v>287491</v>
      </c>
      <c r="B124" s="29">
        <v>190</v>
      </c>
      <c r="C124" s="90" t="s">
        <v>597</v>
      </c>
      <c r="D124" s="275">
        <v>930.1</v>
      </c>
      <c r="E124" s="74" t="s">
        <v>8</v>
      </c>
      <c r="F124" s="269" t="s">
        <v>9</v>
      </c>
      <c r="G124" s="229">
        <v>5176101</v>
      </c>
      <c r="H124" s="229">
        <v>5176101</v>
      </c>
      <c r="I124" s="229">
        <v>5176101</v>
      </c>
      <c r="J124" s="229">
        <v>5176101</v>
      </c>
      <c r="K124" s="229">
        <v>5176101</v>
      </c>
      <c r="L124" s="229">
        <v>5176101</v>
      </c>
      <c r="M124" s="229">
        <v>5176101</v>
      </c>
      <c r="N124" s="229">
        <v>5176101</v>
      </c>
      <c r="O124" s="229">
        <v>5176101</v>
      </c>
      <c r="P124" s="229">
        <v>5176101</v>
      </c>
      <c r="Q124" s="229">
        <v>5176101</v>
      </c>
      <c r="R124" s="229">
        <v>5176101</v>
      </c>
      <c r="S124" s="229">
        <v>5176101</v>
      </c>
      <c r="T124" s="229">
        <f t="shared" si="24"/>
        <v>5176101</v>
      </c>
      <c r="U124" s="229">
        <f t="shared" si="30"/>
        <v>5176101</v>
      </c>
      <c r="V124" s="356">
        <f t="shared" si="23"/>
        <v>5176101</v>
      </c>
      <c r="W124" s="356">
        <v>0</v>
      </c>
      <c r="X124" s="356">
        <f t="shared" si="25"/>
        <v>5176101</v>
      </c>
      <c r="Y124" s="229">
        <v>0</v>
      </c>
      <c r="Z124" s="229">
        <f t="shared" si="26"/>
        <v>5176101</v>
      </c>
      <c r="AA124" s="276" t="s">
        <v>19</v>
      </c>
      <c r="AB124" s="270">
        <f>SUMIF('Allocation Factors'!$B$3:$B$89,'Accumulated Deferred Income Tax'!AA124,'Allocation Factors'!$P$3:$P$89)</f>
        <v>7.8111041399714837E-2</v>
      </c>
      <c r="AC124" s="271">
        <f t="shared" si="27"/>
        <v>404311</v>
      </c>
      <c r="AD124" s="271">
        <f t="shared" si="28"/>
        <v>0</v>
      </c>
      <c r="AE124" s="30">
        <f t="shared" si="29"/>
        <v>404311</v>
      </c>
    </row>
    <row r="125" spans="1:31">
      <c r="A125" s="276">
        <v>287491</v>
      </c>
      <c r="B125" s="423">
        <v>190</v>
      </c>
      <c r="C125" s="90" t="s">
        <v>598</v>
      </c>
      <c r="D125" s="314">
        <v>930.1</v>
      </c>
      <c r="E125" s="74" t="s">
        <v>8</v>
      </c>
      <c r="F125" s="269" t="s">
        <v>333</v>
      </c>
      <c r="G125" s="229">
        <v>1970028</v>
      </c>
      <c r="H125" s="229">
        <v>1970028</v>
      </c>
      <c r="I125" s="229">
        <v>1970028</v>
      </c>
      <c r="J125" s="229">
        <v>1970028</v>
      </c>
      <c r="K125" s="229">
        <v>1970028</v>
      </c>
      <c r="L125" s="229">
        <v>1970028</v>
      </c>
      <c r="M125" s="229">
        <v>1611177</v>
      </c>
      <c r="N125" s="229">
        <v>1611177</v>
      </c>
      <c r="O125" s="229">
        <v>1611177</v>
      </c>
      <c r="P125" s="229">
        <v>1611177</v>
      </c>
      <c r="Q125" s="229">
        <v>1611177</v>
      </c>
      <c r="R125" s="229">
        <v>1611177</v>
      </c>
      <c r="S125" s="229">
        <v>1611177</v>
      </c>
      <c r="T125" s="229">
        <f t="shared" si="24"/>
        <v>1775650</v>
      </c>
      <c r="U125" s="229">
        <f t="shared" si="30"/>
        <v>1775650</v>
      </c>
      <c r="V125" s="356">
        <f t="shared" si="23"/>
        <v>1775650</v>
      </c>
      <c r="W125" s="356">
        <v>0</v>
      </c>
      <c r="X125" s="356">
        <f t="shared" si="25"/>
        <v>0</v>
      </c>
      <c r="Y125" s="229">
        <v>0</v>
      </c>
      <c r="Z125" s="229">
        <f t="shared" si="26"/>
        <v>0</v>
      </c>
      <c r="AA125" s="276" t="s">
        <v>331</v>
      </c>
      <c r="AB125" s="270">
        <f>SUMIF('Allocation Factors'!$B$3:$B$89,'Accumulated Deferred Income Tax'!AA125,'Allocation Factors'!$P$3:$P$89)</f>
        <v>0</v>
      </c>
      <c r="AC125" s="271">
        <f t="shared" si="27"/>
        <v>0</v>
      </c>
      <c r="AD125" s="271">
        <f t="shared" si="28"/>
        <v>0</v>
      </c>
      <c r="AE125" s="30">
        <f t="shared" si="29"/>
        <v>0</v>
      </c>
    </row>
    <row r="126" spans="1:31">
      <c r="A126" s="276">
        <v>287941</v>
      </c>
      <c r="B126" s="423">
        <v>190</v>
      </c>
      <c r="C126" s="90" t="s">
        <v>599</v>
      </c>
      <c r="D126" s="314">
        <v>430.11099999999999</v>
      </c>
      <c r="E126" s="74" t="s">
        <v>8</v>
      </c>
      <c r="F126" s="269" t="s">
        <v>9</v>
      </c>
      <c r="G126" s="229">
        <v>-5176101</v>
      </c>
      <c r="H126" s="229">
        <v>-5176101</v>
      </c>
      <c r="I126" s="229">
        <v>-5176101</v>
      </c>
      <c r="J126" s="229">
        <v>-5176101</v>
      </c>
      <c r="K126" s="229">
        <v>-5176101</v>
      </c>
      <c r="L126" s="229">
        <v>-5176101</v>
      </c>
      <c r="M126" s="229">
        <v>-5176101</v>
      </c>
      <c r="N126" s="229">
        <v>-5176101</v>
      </c>
      <c r="O126" s="229">
        <v>-5176101</v>
      </c>
      <c r="P126" s="229">
        <v>-5176101</v>
      </c>
      <c r="Q126" s="229">
        <v>-5176101</v>
      </c>
      <c r="R126" s="229">
        <v>-5176101</v>
      </c>
      <c r="S126" s="229">
        <v>-5176101</v>
      </c>
      <c r="T126" s="229">
        <f t="shared" si="24"/>
        <v>-5176101</v>
      </c>
      <c r="U126" s="229">
        <f t="shared" si="30"/>
        <v>-5176101</v>
      </c>
      <c r="V126" s="356">
        <f t="shared" si="23"/>
        <v>-5176101</v>
      </c>
      <c r="W126" s="356">
        <v>0</v>
      </c>
      <c r="X126" s="356">
        <f t="shared" si="25"/>
        <v>-5176101</v>
      </c>
      <c r="Y126" s="229">
        <v>0</v>
      </c>
      <c r="Z126" s="229">
        <f t="shared" si="26"/>
        <v>-5176101</v>
      </c>
      <c r="AA126" s="276" t="s">
        <v>15</v>
      </c>
      <c r="AB126" s="270">
        <f>SUMIF('Allocation Factors'!$B$3:$B$89,'Accumulated Deferred Income Tax'!AA126,'Allocation Factors'!$P$3:$P$89)</f>
        <v>0</v>
      </c>
      <c r="AC126" s="271">
        <f t="shared" si="27"/>
        <v>0</v>
      </c>
      <c r="AD126" s="271">
        <f t="shared" si="28"/>
        <v>0</v>
      </c>
      <c r="AE126" s="30">
        <f t="shared" si="29"/>
        <v>0</v>
      </c>
    </row>
    <row r="127" spans="1:31">
      <c r="A127" s="29">
        <v>287494</v>
      </c>
      <c r="B127" s="29">
        <v>190</v>
      </c>
      <c r="C127" s="28" t="s">
        <v>600</v>
      </c>
      <c r="D127" s="29">
        <v>287494</v>
      </c>
      <c r="E127" s="74" t="s">
        <v>8</v>
      </c>
      <c r="F127" s="29" t="s">
        <v>333</v>
      </c>
      <c r="G127" s="229">
        <v>14953121</v>
      </c>
      <c r="H127" s="229">
        <v>15056818</v>
      </c>
      <c r="I127" s="229">
        <v>15144737</v>
      </c>
      <c r="J127" s="229">
        <v>15195010</v>
      </c>
      <c r="K127" s="229">
        <v>15228121</v>
      </c>
      <c r="L127" s="229">
        <v>15332463</v>
      </c>
      <c r="M127" s="229">
        <v>15240731</v>
      </c>
      <c r="N127" s="229">
        <v>15364311</v>
      </c>
      <c r="O127" s="229">
        <v>15448958</v>
      </c>
      <c r="P127" s="229">
        <v>15533152</v>
      </c>
      <c r="Q127" s="229">
        <v>15595595</v>
      </c>
      <c r="R127" s="229">
        <v>15685421</v>
      </c>
      <c r="S127" s="229">
        <v>15828240</v>
      </c>
      <c r="T127" s="229">
        <f t="shared" si="24"/>
        <v>15351333</v>
      </c>
      <c r="U127" s="229">
        <f t="shared" si="30"/>
        <v>15351333</v>
      </c>
      <c r="V127" s="356">
        <f t="shared" si="23"/>
        <v>15351333</v>
      </c>
      <c r="W127" s="356">
        <v>0</v>
      </c>
      <c r="X127" s="356">
        <f t="shared" si="25"/>
        <v>0</v>
      </c>
      <c r="Y127" s="229">
        <v>0</v>
      </c>
      <c r="Z127" s="229">
        <f t="shared" si="26"/>
        <v>0</v>
      </c>
      <c r="AA127" s="276" t="s">
        <v>331</v>
      </c>
      <c r="AB127" s="270">
        <f>SUMIF('Allocation Factors'!$B$3:$B$89,'Accumulated Deferred Income Tax'!AA127,'Allocation Factors'!$P$3:$P$89)</f>
        <v>0</v>
      </c>
      <c r="AC127" s="271">
        <f t="shared" si="27"/>
        <v>0</v>
      </c>
      <c r="AD127" s="271">
        <f t="shared" si="28"/>
        <v>0</v>
      </c>
      <c r="AE127" s="30">
        <f t="shared" si="29"/>
        <v>0</v>
      </c>
    </row>
    <row r="128" spans="1:31">
      <c r="A128" s="29">
        <v>287497</v>
      </c>
      <c r="B128" s="29">
        <v>190</v>
      </c>
      <c r="C128" s="90" t="s">
        <v>601</v>
      </c>
      <c r="D128" s="29">
        <v>287497</v>
      </c>
      <c r="E128" s="74" t="s">
        <v>8</v>
      </c>
      <c r="F128" s="29" t="s">
        <v>333</v>
      </c>
      <c r="G128" s="229">
        <v>780629</v>
      </c>
      <c r="H128" s="229">
        <v>780629</v>
      </c>
      <c r="I128" s="229">
        <v>780629</v>
      </c>
      <c r="J128" s="229">
        <v>780629</v>
      </c>
      <c r="K128" s="229">
        <v>780629</v>
      </c>
      <c r="L128" s="229">
        <v>780629</v>
      </c>
      <c r="M128" s="229">
        <v>354878</v>
      </c>
      <c r="N128" s="229">
        <v>354878</v>
      </c>
      <c r="O128" s="229">
        <v>354878</v>
      </c>
      <c r="P128" s="229">
        <v>354878</v>
      </c>
      <c r="Q128" s="229">
        <v>354878</v>
      </c>
      <c r="R128" s="229">
        <v>354878</v>
      </c>
      <c r="S128" s="229">
        <v>354878</v>
      </c>
      <c r="T128" s="229">
        <f t="shared" si="24"/>
        <v>550014</v>
      </c>
      <c r="U128" s="229">
        <f t="shared" si="30"/>
        <v>550014</v>
      </c>
      <c r="V128" s="356">
        <f t="shared" si="23"/>
        <v>550014</v>
      </c>
      <c r="W128" s="356">
        <v>0</v>
      </c>
      <c r="X128" s="356">
        <f t="shared" si="25"/>
        <v>0</v>
      </c>
      <c r="Y128" s="229">
        <v>0</v>
      </c>
      <c r="Z128" s="229">
        <f t="shared" si="26"/>
        <v>0</v>
      </c>
      <c r="AA128" s="276" t="s">
        <v>331</v>
      </c>
      <c r="AB128" s="270">
        <f>SUMIF('Allocation Factors'!$B$3:$B$89,'Accumulated Deferred Income Tax'!AA128,'Allocation Factors'!$P$3:$P$89)</f>
        <v>0</v>
      </c>
      <c r="AC128" s="271">
        <f t="shared" si="27"/>
        <v>0</v>
      </c>
      <c r="AD128" s="271">
        <f t="shared" si="28"/>
        <v>0</v>
      </c>
      <c r="AE128" s="30">
        <f t="shared" si="29"/>
        <v>0</v>
      </c>
    </row>
    <row r="129" spans="1:31" ht="13.5" customHeight="1">
      <c r="A129" s="29">
        <v>287576</v>
      </c>
      <c r="B129" s="29">
        <v>190</v>
      </c>
      <c r="C129" s="90" t="s">
        <v>549</v>
      </c>
      <c r="D129" s="275">
        <v>430.11</v>
      </c>
      <c r="E129" s="74" t="s">
        <v>8</v>
      </c>
      <c r="F129" s="269" t="s">
        <v>9</v>
      </c>
      <c r="G129" s="229">
        <v>0</v>
      </c>
      <c r="H129" s="229">
        <v>0</v>
      </c>
      <c r="I129" s="229">
        <v>0</v>
      </c>
      <c r="J129" s="229">
        <v>0</v>
      </c>
      <c r="K129" s="229">
        <v>0</v>
      </c>
      <c r="L129" s="229">
        <v>0</v>
      </c>
      <c r="M129" s="229">
        <v>0</v>
      </c>
      <c r="N129" s="229">
        <v>0</v>
      </c>
      <c r="O129" s="229">
        <v>0</v>
      </c>
      <c r="P129" s="229">
        <v>0</v>
      </c>
      <c r="Q129" s="229">
        <v>0</v>
      </c>
      <c r="R129" s="229">
        <v>0</v>
      </c>
      <c r="S129" s="229">
        <v>-3063287</v>
      </c>
      <c r="T129" s="229">
        <f t="shared" ref="T129:T146" si="31">ROUND(((G129*1)+(SUM(H129:R129)*2)+(S129*1))/24,0)</f>
        <v>-127637</v>
      </c>
      <c r="U129" s="229">
        <f t="shared" si="30"/>
        <v>-127637</v>
      </c>
      <c r="V129" s="356">
        <f t="shared" si="23"/>
        <v>-127637</v>
      </c>
      <c r="W129" s="356">
        <v>0</v>
      </c>
      <c r="X129" s="356">
        <f t="shared" si="25"/>
        <v>-127637</v>
      </c>
      <c r="Y129" s="229">
        <v>0</v>
      </c>
      <c r="Z129" s="229">
        <f t="shared" si="26"/>
        <v>-127637</v>
      </c>
      <c r="AA129" s="276" t="s">
        <v>15</v>
      </c>
      <c r="AB129" s="270">
        <f>SUMIF('Allocation Factors'!$B$3:$B$89,'Accumulated Deferred Income Tax'!AA129,'Allocation Factors'!$P$3:$P$89)</f>
        <v>0</v>
      </c>
      <c r="AC129" s="271">
        <f t="shared" si="27"/>
        <v>0</v>
      </c>
      <c r="AD129" s="271">
        <f t="shared" si="28"/>
        <v>0</v>
      </c>
      <c r="AE129" s="30">
        <f t="shared" si="29"/>
        <v>0</v>
      </c>
    </row>
    <row r="130" spans="1:31" ht="13.5" customHeight="1">
      <c r="A130" s="29">
        <v>287681</v>
      </c>
      <c r="B130" s="29">
        <v>190</v>
      </c>
      <c r="C130" s="73" t="s">
        <v>259</v>
      </c>
      <c r="D130" s="273">
        <v>920.11</v>
      </c>
      <c r="E130" s="74" t="s">
        <v>8</v>
      </c>
      <c r="F130" s="269" t="s">
        <v>9</v>
      </c>
      <c r="G130" s="229">
        <v>2115079</v>
      </c>
      <c r="H130" s="229">
        <v>2115079</v>
      </c>
      <c r="I130" s="229">
        <v>2115079</v>
      </c>
      <c r="J130" s="229">
        <v>2115079</v>
      </c>
      <c r="K130" s="229">
        <v>2115079</v>
      </c>
      <c r="L130" s="229">
        <v>2115079</v>
      </c>
      <c r="M130" s="229">
        <v>2194415</v>
      </c>
      <c r="N130" s="229">
        <v>2194415</v>
      </c>
      <c r="O130" s="229">
        <v>2194415</v>
      </c>
      <c r="P130" s="229">
        <v>2194415</v>
      </c>
      <c r="Q130" s="229">
        <v>2194415</v>
      </c>
      <c r="R130" s="229">
        <v>2194415</v>
      </c>
      <c r="S130" s="229">
        <v>2194415</v>
      </c>
      <c r="T130" s="229">
        <f t="shared" si="31"/>
        <v>2158053</v>
      </c>
      <c r="U130" s="229">
        <f t="shared" si="30"/>
        <v>2158053</v>
      </c>
      <c r="V130" s="356">
        <f t="shared" si="23"/>
        <v>2158053</v>
      </c>
      <c r="W130" s="356">
        <v>0</v>
      </c>
      <c r="X130" s="356">
        <f t="shared" si="25"/>
        <v>2158053</v>
      </c>
      <c r="Y130" s="229">
        <v>0</v>
      </c>
      <c r="Z130" s="229">
        <f t="shared" si="26"/>
        <v>2158053</v>
      </c>
      <c r="AA130" s="276" t="s">
        <v>170</v>
      </c>
      <c r="AB130" s="270">
        <f>SUMIF('Allocation Factors'!$B$3:$B$89,'Accumulated Deferred Income Tax'!AA130,'Allocation Factors'!$P$3:$P$89)</f>
        <v>0.22591574269314921</v>
      </c>
      <c r="AC130" s="271">
        <f t="shared" si="27"/>
        <v>487538</v>
      </c>
      <c r="AD130" s="271">
        <f t="shared" si="28"/>
        <v>0</v>
      </c>
      <c r="AE130" s="30">
        <f t="shared" si="29"/>
        <v>487538</v>
      </c>
    </row>
    <row r="131" spans="1:31" ht="13.5" customHeight="1">
      <c r="A131" s="29">
        <v>287706</v>
      </c>
      <c r="B131" s="29">
        <v>190</v>
      </c>
      <c r="C131" s="28" t="s">
        <v>479</v>
      </c>
      <c r="D131" s="273">
        <v>610</v>
      </c>
      <c r="E131" s="74" t="s">
        <v>8</v>
      </c>
      <c r="F131" s="269" t="s">
        <v>9</v>
      </c>
      <c r="G131" s="229">
        <v>-403652</v>
      </c>
      <c r="H131" s="229">
        <v>-403652</v>
      </c>
      <c r="I131" s="229">
        <v>-403652</v>
      </c>
      <c r="J131" s="229">
        <v>-403652</v>
      </c>
      <c r="K131" s="229">
        <v>-403652</v>
      </c>
      <c r="L131" s="229">
        <v>-403652</v>
      </c>
      <c r="M131" s="229">
        <v>-424580</v>
      </c>
      <c r="N131" s="229">
        <v>-424580</v>
      </c>
      <c r="O131" s="229">
        <v>-424580</v>
      </c>
      <c r="P131" s="229">
        <v>-424580</v>
      </c>
      <c r="Q131" s="229">
        <v>-424580</v>
      </c>
      <c r="R131" s="229">
        <v>-424580</v>
      </c>
      <c r="S131" s="229">
        <v>-424580</v>
      </c>
      <c r="T131" s="229">
        <f t="shared" si="31"/>
        <v>-414988</v>
      </c>
      <c r="U131" s="229">
        <f t="shared" si="30"/>
        <v>-414988</v>
      </c>
      <c r="V131" s="356">
        <f t="shared" si="23"/>
        <v>-414988</v>
      </c>
      <c r="W131" s="356">
        <v>0</v>
      </c>
      <c r="X131" s="356">
        <f t="shared" ref="X131:X146" si="32">IF(F131="U",V131,0)</f>
        <v>-414988</v>
      </c>
      <c r="Y131" s="229">
        <v>0</v>
      </c>
      <c r="Z131" s="229">
        <f t="shared" ref="Z131:Z146" si="33">SUM(X131:Y131)</f>
        <v>-414988</v>
      </c>
      <c r="AA131" s="276" t="s">
        <v>170</v>
      </c>
      <c r="AB131" s="270">
        <f>SUMIF('Allocation Factors'!$B$3:$B$89,'Accumulated Deferred Income Tax'!AA131,'Allocation Factors'!$P$3:$P$89)</f>
        <v>0.22591574269314921</v>
      </c>
      <c r="AC131" s="271">
        <f t="shared" ref="AC131:AC146" si="34">ROUND(X131*AB131,0)</f>
        <v>-93752</v>
      </c>
      <c r="AD131" s="271">
        <f t="shared" ref="AD131:AD146" si="35">ROUND(Y131*AB131,0)</f>
        <v>0</v>
      </c>
      <c r="AE131" s="30">
        <f t="shared" ref="AE131:AE146" si="36">SUM(AC131:AD131)</f>
        <v>-93752</v>
      </c>
    </row>
    <row r="132" spans="1:31" ht="13.5" customHeight="1">
      <c r="A132" s="29">
        <v>287720</v>
      </c>
      <c r="B132" s="29">
        <v>190</v>
      </c>
      <c r="C132" s="28" t="s">
        <v>293</v>
      </c>
      <c r="D132" s="273">
        <v>610.1</v>
      </c>
      <c r="E132" s="74" t="s">
        <v>8</v>
      </c>
      <c r="F132" s="29" t="s">
        <v>9</v>
      </c>
      <c r="G132" s="229">
        <v>-665252</v>
      </c>
      <c r="H132" s="229">
        <v>-665252</v>
      </c>
      <c r="I132" s="229">
        <v>-665252</v>
      </c>
      <c r="J132" s="229">
        <v>-665252</v>
      </c>
      <c r="K132" s="229">
        <v>-665252</v>
      </c>
      <c r="L132" s="229">
        <v>-665252</v>
      </c>
      <c r="M132" s="229">
        <v>-571960</v>
      </c>
      <c r="N132" s="229">
        <v>-571960</v>
      </c>
      <c r="O132" s="229">
        <v>-571960</v>
      </c>
      <c r="P132" s="229">
        <v>-571960</v>
      </c>
      <c r="Q132" s="229">
        <v>-571960</v>
      </c>
      <c r="R132" s="229">
        <v>-571960</v>
      </c>
      <c r="S132" s="229">
        <v>-568676</v>
      </c>
      <c r="T132" s="229">
        <f t="shared" si="31"/>
        <v>-614582</v>
      </c>
      <c r="U132" s="229">
        <f t="shared" si="30"/>
        <v>-614582</v>
      </c>
      <c r="V132" s="356">
        <f t="shared" si="23"/>
        <v>-614582</v>
      </c>
      <c r="W132" s="356">
        <v>0</v>
      </c>
      <c r="X132" s="356">
        <f t="shared" si="32"/>
        <v>-614582</v>
      </c>
      <c r="Y132" s="229">
        <v>0</v>
      </c>
      <c r="Z132" s="229">
        <f t="shared" si="33"/>
        <v>-614582</v>
      </c>
      <c r="AA132" s="276" t="s">
        <v>170</v>
      </c>
      <c r="AB132" s="270">
        <f>SUMIF('Allocation Factors'!$B$3:$B$89,'Accumulated Deferred Income Tax'!AA132,'Allocation Factors'!$P$3:$P$89)</f>
        <v>0.22591574269314921</v>
      </c>
      <c r="AC132" s="271">
        <f t="shared" si="34"/>
        <v>-138844</v>
      </c>
      <c r="AD132" s="271">
        <f t="shared" si="35"/>
        <v>0</v>
      </c>
      <c r="AE132" s="30">
        <f t="shared" si="36"/>
        <v>-138844</v>
      </c>
    </row>
    <row r="133" spans="1:31" ht="13.5" customHeight="1">
      <c r="A133" s="29">
        <v>287722</v>
      </c>
      <c r="B133" s="29">
        <v>190</v>
      </c>
      <c r="C133" s="28" t="s">
        <v>39</v>
      </c>
      <c r="D133" s="273">
        <v>505.51</v>
      </c>
      <c r="E133" s="74" t="s">
        <v>8</v>
      </c>
      <c r="F133" s="29" t="s">
        <v>9</v>
      </c>
      <c r="G133" s="229">
        <v>218430</v>
      </c>
      <c r="H133" s="229">
        <v>218430</v>
      </c>
      <c r="I133" s="229">
        <v>218430</v>
      </c>
      <c r="J133" s="229">
        <v>218430</v>
      </c>
      <c r="K133" s="229">
        <v>218430</v>
      </c>
      <c r="L133" s="229">
        <v>218430</v>
      </c>
      <c r="M133" s="229">
        <v>215712</v>
      </c>
      <c r="N133" s="229">
        <v>215712</v>
      </c>
      <c r="O133" s="229">
        <v>215712</v>
      </c>
      <c r="P133" s="229">
        <v>215712</v>
      </c>
      <c r="Q133" s="229">
        <v>215712</v>
      </c>
      <c r="R133" s="229">
        <v>215712</v>
      </c>
      <c r="S133" s="229">
        <v>198828</v>
      </c>
      <c r="T133" s="229">
        <f t="shared" si="31"/>
        <v>216254</v>
      </c>
      <c r="U133" s="229">
        <f t="shared" ref="U133:U146" si="37">+T133</f>
        <v>216254</v>
      </c>
      <c r="V133" s="356">
        <f t="shared" ref="V133:V146" si="38">+U133</f>
        <v>216254</v>
      </c>
      <c r="W133" s="356">
        <v>0</v>
      </c>
      <c r="X133" s="356">
        <f t="shared" si="32"/>
        <v>216254</v>
      </c>
      <c r="Y133" s="229">
        <v>0</v>
      </c>
      <c r="Z133" s="229">
        <f t="shared" si="33"/>
        <v>216254</v>
      </c>
      <c r="AA133" s="276" t="s">
        <v>170</v>
      </c>
      <c r="AB133" s="270">
        <f>SUMIF('Allocation Factors'!$B$3:$B$89,'Accumulated Deferred Income Tax'!AA133,'Allocation Factors'!$P$3:$P$89)</f>
        <v>0.22591574269314921</v>
      </c>
      <c r="AC133" s="271">
        <f t="shared" si="34"/>
        <v>48855</v>
      </c>
      <c r="AD133" s="271">
        <f t="shared" si="35"/>
        <v>0</v>
      </c>
      <c r="AE133" s="30">
        <f t="shared" si="36"/>
        <v>48855</v>
      </c>
    </row>
    <row r="134" spans="1:31" ht="13.5" customHeight="1">
      <c r="A134" s="29">
        <v>287723</v>
      </c>
      <c r="B134" s="29">
        <v>190</v>
      </c>
      <c r="C134" s="28" t="s">
        <v>57</v>
      </c>
      <c r="D134" s="273">
        <v>205.411</v>
      </c>
      <c r="E134" s="74" t="s">
        <v>8</v>
      </c>
      <c r="F134" s="269" t="s">
        <v>9</v>
      </c>
      <c r="G134" s="229">
        <v>-1264469</v>
      </c>
      <c r="H134" s="229">
        <v>-1264469</v>
      </c>
      <c r="I134" s="229">
        <v>-1264469</v>
      </c>
      <c r="J134" s="229">
        <v>-1264469</v>
      </c>
      <c r="K134" s="229">
        <v>-1264469</v>
      </c>
      <c r="L134" s="229">
        <v>-1264469</v>
      </c>
      <c r="M134" s="229">
        <v>29692</v>
      </c>
      <c r="N134" s="229">
        <v>29692</v>
      </c>
      <c r="O134" s="229">
        <v>29692</v>
      </c>
      <c r="P134" s="229">
        <v>29692</v>
      </c>
      <c r="Q134" s="229">
        <v>29692</v>
      </c>
      <c r="R134" s="229">
        <v>29692</v>
      </c>
      <c r="S134" s="229">
        <v>33617</v>
      </c>
      <c r="T134" s="229">
        <f t="shared" si="31"/>
        <v>-563302</v>
      </c>
      <c r="U134" s="229">
        <f t="shared" si="37"/>
        <v>-563302</v>
      </c>
      <c r="V134" s="356">
        <f t="shared" si="38"/>
        <v>-563302</v>
      </c>
      <c r="W134" s="356">
        <v>0</v>
      </c>
      <c r="X134" s="356">
        <f t="shared" si="32"/>
        <v>-563302</v>
      </c>
      <c r="Y134" s="229">
        <v>0</v>
      </c>
      <c r="Z134" s="229">
        <f t="shared" si="33"/>
        <v>-563302</v>
      </c>
      <c r="AA134" s="276" t="s">
        <v>170</v>
      </c>
      <c r="AB134" s="270">
        <f>SUMIF('Allocation Factors'!$B$3:$B$89,'Accumulated Deferred Income Tax'!AA134,'Allocation Factors'!$P$3:$P$89)</f>
        <v>0.22591574269314921</v>
      </c>
      <c r="AC134" s="271">
        <f t="shared" si="34"/>
        <v>-127259</v>
      </c>
      <c r="AD134" s="271">
        <f t="shared" si="35"/>
        <v>0</v>
      </c>
      <c r="AE134" s="30">
        <f t="shared" si="36"/>
        <v>-127259</v>
      </c>
    </row>
    <row r="135" spans="1:31" ht="13.5" customHeight="1">
      <c r="A135" s="29">
        <v>287725</v>
      </c>
      <c r="B135" s="29">
        <v>190</v>
      </c>
      <c r="C135" s="28" t="s">
        <v>69</v>
      </c>
      <c r="D135" s="273">
        <v>920.1</v>
      </c>
      <c r="E135" s="74" t="s">
        <v>8</v>
      </c>
      <c r="F135" s="269" t="s">
        <v>333</v>
      </c>
      <c r="G135" s="229">
        <v>18437821</v>
      </c>
      <c r="H135" s="229">
        <v>18483606</v>
      </c>
      <c r="I135" s="229">
        <v>18558388</v>
      </c>
      <c r="J135" s="229">
        <v>19784252</v>
      </c>
      <c r="K135" s="229">
        <v>18650106</v>
      </c>
      <c r="L135" s="229">
        <v>18748221</v>
      </c>
      <c r="M135" s="229">
        <v>19182788</v>
      </c>
      <c r="N135" s="229">
        <v>19218248</v>
      </c>
      <c r="O135" s="229">
        <v>19250455</v>
      </c>
      <c r="P135" s="229">
        <v>19280107</v>
      </c>
      <c r="Q135" s="229">
        <v>19301773</v>
      </c>
      <c r="R135" s="229">
        <v>19373094</v>
      </c>
      <c r="S135" s="229">
        <v>19433349</v>
      </c>
      <c r="T135" s="229">
        <f t="shared" si="31"/>
        <v>19063885</v>
      </c>
      <c r="U135" s="229">
        <f t="shared" si="37"/>
        <v>19063885</v>
      </c>
      <c r="V135" s="356">
        <f t="shared" si="38"/>
        <v>19063885</v>
      </c>
      <c r="W135" s="356">
        <v>0</v>
      </c>
      <c r="X135" s="356">
        <f t="shared" si="32"/>
        <v>0</v>
      </c>
      <c r="Y135" s="229">
        <v>0</v>
      </c>
      <c r="Z135" s="229">
        <f t="shared" si="33"/>
        <v>0</v>
      </c>
      <c r="AA135" s="276" t="s">
        <v>331</v>
      </c>
      <c r="AB135" s="270">
        <f>SUMIF('Allocation Factors'!$B$3:$B$89,'Accumulated Deferred Income Tax'!AA135,'Allocation Factors'!$P$3:$P$89)</f>
        <v>0</v>
      </c>
      <c r="AC135" s="271">
        <f t="shared" si="34"/>
        <v>0</v>
      </c>
      <c r="AD135" s="271">
        <f t="shared" si="35"/>
        <v>0</v>
      </c>
      <c r="AE135" s="30">
        <f t="shared" si="36"/>
        <v>0</v>
      </c>
    </row>
    <row r="136" spans="1:31" ht="13.5" customHeight="1">
      <c r="A136" s="29">
        <v>287726</v>
      </c>
      <c r="B136" s="29">
        <v>190</v>
      </c>
      <c r="C136" s="28" t="s">
        <v>260</v>
      </c>
      <c r="D136" s="273">
        <v>105.121</v>
      </c>
      <c r="E136" s="74" t="s">
        <v>8</v>
      </c>
      <c r="F136" s="269" t="s">
        <v>9</v>
      </c>
      <c r="G136" s="229">
        <v>-15139991</v>
      </c>
      <c r="H136" s="229">
        <v>-15139991</v>
      </c>
      <c r="I136" s="229">
        <v>-15139991</v>
      </c>
      <c r="J136" s="229">
        <v>-15139991</v>
      </c>
      <c r="K136" s="229">
        <v>-15139991</v>
      </c>
      <c r="L136" s="229">
        <v>-15134004</v>
      </c>
      <c r="M136" s="229">
        <v>-12772235</v>
      </c>
      <c r="N136" s="229">
        <v>-12772235</v>
      </c>
      <c r="O136" s="229">
        <v>-12772235</v>
      </c>
      <c r="P136" s="229">
        <v>-12772235</v>
      </c>
      <c r="Q136" s="229">
        <v>-12772235</v>
      </c>
      <c r="R136" s="229">
        <v>-12772235</v>
      </c>
      <c r="S136" s="229">
        <v>-12828979</v>
      </c>
      <c r="T136" s="229">
        <f t="shared" si="31"/>
        <v>-13859322</v>
      </c>
      <c r="U136" s="229">
        <f t="shared" si="37"/>
        <v>-13859322</v>
      </c>
      <c r="V136" s="356">
        <f t="shared" si="38"/>
        <v>-13859322</v>
      </c>
      <c r="W136" s="356">
        <v>0</v>
      </c>
      <c r="X136" s="356">
        <f t="shared" si="32"/>
        <v>-13859322</v>
      </c>
      <c r="Y136" s="229">
        <v>0</v>
      </c>
      <c r="Z136" s="229">
        <f t="shared" si="33"/>
        <v>-13859322</v>
      </c>
      <c r="AA136" s="276" t="s">
        <v>170</v>
      </c>
      <c r="AB136" s="270">
        <f>SUMIF('Allocation Factors'!$B$3:$B$89,'Accumulated Deferred Income Tax'!AA136,'Allocation Factors'!$P$3:$P$89)</f>
        <v>0.22591574269314921</v>
      </c>
      <c r="AC136" s="271">
        <f t="shared" si="34"/>
        <v>-3131039</v>
      </c>
      <c r="AD136" s="271">
        <f t="shared" si="35"/>
        <v>0</v>
      </c>
      <c r="AE136" s="30">
        <f t="shared" si="36"/>
        <v>-3131039</v>
      </c>
    </row>
    <row r="137" spans="1:31" ht="13.5" customHeight="1">
      <c r="A137" s="29">
        <v>287735</v>
      </c>
      <c r="B137" s="29">
        <v>190</v>
      </c>
      <c r="C137" s="28" t="s">
        <v>68</v>
      </c>
      <c r="D137" s="273">
        <v>910.90499999999997</v>
      </c>
      <c r="E137" s="74" t="s">
        <v>8</v>
      </c>
      <c r="F137" s="29" t="s">
        <v>9</v>
      </c>
      <c r="G137" s="229">
        <v>-1139274</v>
      </c>
      <c r="H137" s="229">
        <v>-1139274</v>
      </c>
      <c r="I137" s="229">
        <v>-1139274</v>
      </c>
      <c r="J137" s="229">
        <v>-1139274</v>
      </c>
      <c r="K137" s="229">
        <v>-1139274</v>
      </c>
      <c r="L137" s="229">
        <v>-1139274</v>
      </c>
      <c r="M137" s="229">
        <v>-908367</v>
      </c>
      <c r="N137" s="229">
        <v>-908367</v>
      </c>
      <c r="O137" s="229">
        <v>-908367</v>
      </c>
      <c r="P137" s="229">
        <v>-908367</v>
      </c>
      <c r="Q137" s="229">
        <v>-908367</v>
      </c>
      <c r="R137" s="229">
        <v>-908367</v>
      </c>
      <c r="S137" s="229">
        <v>-911632</v>
      </c>
      <c r="T137" s="229">
        <f t="shared" si="31"/>
        <v>-1014335</v>
      </c>
      <c r="U137" s="229">
        <f t="shared" si="37"/>
        <v>-1014335</v>
      </c>
      <c r="V137" s="356">
        <f t="shared" si="38"/>
        <v>-1014335</v>
      </c>
      <c r="W137" s="356">
        <v>0</v>
      </c>
      <c r="X137" s="356">
        <f t="shared" si="32"/>
        <v>-1014335</v>
      </c>
      <c r="Y137" s="229">
        <v>0</v>
      </c>
      <c r="Z137" s="229">
        <f t="shared" si="33"/>
        <v>-1014335</v>
      </c>
      <c r="AA137" s="276" t="s">
        <v>170</v>
      </c>
      <c r="AB137" s="270">
        <f>SUMIF('Allocation Factors'!$B$3:$B$89,'Accumulated Deferred Income Tax'!AA137,'Allocation Factors'!$P$3:$P$89)</f>
        <v>0.22591574269314921</v>
      </c>
      <c r="AC137" s="271">
        <f t="shared" si="34"/>
        <v>-229154</v>
      </c>
      <c r="AD137" s="271">
        <f t="shared" si="35"/>
        <v>0</v>
      </c>
      <c r="AE137" s="30">
        <f t="shared" si="36"/>
        <v>-229154</v>
      </c>
    </row>
    <row r="138" spans="1:31" ht="13.5" customHeight="1">
      <c r="A138" s="276">
        <v>287807</v>
      </c>
      <c r="B138" s="423">
        <v>190</v>
      </c>
      <c r="C138" s="90" t="s">
        <v>602</v>
      </c>
      <c r="D138" s="314" t="s">
        <v>8</v>
      </c>
      <c r="E138" s="74" t="s">
        <v>8</v>
      </c>
      <c r="F138" s="269" t="s">
        <v>333</v>
      </c>
      <c r="G138" s="229">
        <v>140727</v>
      </c>
      <c r="H138" s="229">
        <v>144462</v>
      </c>
      <c r="I138" s="229">
        <v>148197</v>
      </c>
      <c r="J138" s="229">
        <v>151445</v>
      </c>
      <c r="K138" s="229">
        <v>155227</v>
      </c>
      <c r="L138" s="229">
        <v>159009</v>
      </c>
      <c r="M138" s="229">
        <v>162294</v>
      </c>
      <c r="N138" s="229">
        <v>166795</v>
      </c>
      <c r="O138" s="229">
        <v>171296</v>
      </c>
      <c r="P138" s="229">
        <v>174980</v>
      </c>
      <c r="Q138" s="229">
        <v>179600</v>
      </c>
      <c r="R138" s="229">
        <v>184220</v>
      </c>
      <c r="S138" s="229">
        <v>187987</v>
      </c>
      <c r="T138" s="229">
        <f t="shared" si="31"/>
        <v>163490</v>
      </c>
      <c r="U138" s="229">
        <f t="shared" si="37"/>
        <v>163490</v>
      </c>
      <c r="V138" s="356">
        <f t="shared" si="38"/>
        <v>163490</v>
      </c>
      <c r="W138" s="356">
        <v>0</v>
      </c>
      <c r="X138" s="356">
        <f t="shared" si="32"/>
        <v>0</v>
      </c>
      <c r="Y138" s="229">
        <v>0</v>
      </c>
      <c r="Z138" s="229">
        <f t="shared" si="33"/>
        <v>0</v>
      </c>
      <c r="AA138" s="276" t="s">
        <v>331</v>
      </c>
      <c r="AB138" s="270">
        <f>SUMIF('Allocation Factors'!$B$3:$B$89,'Accumulated Deferred Income Tax'!AA138,'Allocation Factors'!$P$3:$P$89)</f>
        <v>0</v>
      </c>
      <c r="AC138" s="271">
        <f t="shared" si="34"/>
        <v>0</v>
      </c>
      <c r="AD138" s="271">
        <f t="shared" si="35"/>
        <v>0</v>
      </c>
      <c r="AE138" s="30">
        <f t="shared" si="36"/>
        <v>0</v>
      </c>
    </row>
    <row r="139" spans="1:31" ht="13.5" customHeight="1">
      <c r="A139" s="276">
        <v>287817</v>
      </c>
      <c r="B139" s="423">
        <v>190</v>
      </c>
      <c r="C139" s="90" t="s">
        <v>603</v>
      </c>
      <c r="D139" s="314" t="s">
        <v>8</v>
      </c>
      <c r="E139" s="74" t="s">
        <v>8</v>
      </c>
      <c r="F139" s="269" t="s">
        <v>333</v>
      </c>
      <c r="G139" s="229">
        <v>20854</v>
      </c>
      <c r="H139" s="229">
        <v>21335</v>
      </c>
      <c r="I139" s="229">
        <v>21816</v>
      </c>
      <c r="J139" s="229">
        <v>22235</v>
      </c>
      <c r="K139" s="229">
        <v>22723</v>
      </c>
      <c r="L139" s="229">
        <v>23211</v>
      </c>
      <c r="M139" s="229">
        <v>23634</v>
      </c>
      <c r="N139" s="229">
        <v>24214</v>
      </c>
      <c r="O139" s="229">
        <v>24794</v>
      </c>
      <c r="P139" s="229">
        <v>25269</v>
      </c>
      <c r="Q139" s="229">
        <v>25864</v>
      </c>
      <c r="R139" s="229">
        <v>26459</v>
      </c>
      <c r="S139" s="229">
        <v>26944</v>
      </c>
      <c r="T139" s="229">
        <f t="shared" si="31"/>
        <v>23788</v>
      </c>
      <c r="U139" s="229">
        <f t="shared" si="37"/>
        <v>23788</v>
      </c>
      <c r="V139" s="356">
        <f t="shared" si="38"/>
        <v>23788</v>
      </c>
      <c r="W139" s="356">
        <v>0</v>
      </c>
      <c r="X139" s="356">
        <f t="shared" si="32"/>
        <v>0</v>
      </c>
      <c r="Y139" s="229">
        <v>0</v>
      </c>
      <c r="Z139" s="229">
        <f t="shared" si="33"/>
        <v>0</v>
      </c>
      <c r="AA139" s="276" t="s">
        <v>331</v>
      </c>
      <c r="AB139" s="270">
        <f>SUMIF('Allocation Factors'!$B$3:$B$89,'Accumulated Deferred Income Tax'!AA139,'Allocation Factors'!$P$3:$P$89)</f>
        <v>0</v>
      </c>
      <c r="AC139" s="271">
        <f t="shared" si="34"/>
        <v>0</v>
      </c>
      <c r="AD139" s="271">
        <f t="shared" si="35"/>
        <v>0</v>
      </c>
      <c r="AE139" s="30">
        <f t="shared" si="36"/>
        <v>0</v>
      </c>
    </row>
    <row r="140" spans="1:31" ht="13.5" customHeight="1">
      <c r="A140" s="276">
        <v>287827</v>
      </c>
      <c r="B140" s="423">
        <v>190</v>
      </c>
      <c r="C140" s="90" t="s">
        <v>604</v>
      </c>
      <c r="D140" s="314" t="s">
        <v>8</v>
      </c>
      <c r="E140" s="74" t="s">
        <v>8</v>
      </c>
      <c r="F140" s="269" t="s">
        <v>333</v>
      </c>
      <c r="G140" s="229">
        <v>30423</v>
      </c>
      <c r="H140" s="229">
        <v>31230</v>
      </c>
      <c r="I140" s="229">
        <v>32037</v>
      </c>
      <c r="J140" s="229">
        <v>32740</v>
      </c>
      <c r="K140" s="229">
        <v>33558</v>
      </c>
      <c r="L140" s="229">
        <v>34376</v>
      </c>
      <c r="M140" s="229">
        <v>35086</v>
      </c>
      <c r="N140" s="229">
        <v>36059</v>
      </c>
      <c r="O140" s="229">
        <v>37032</v>
      </c>
      <c r="P140" s="229">
        <v>37828</v>
      </c>
      <c r="Q140" s="229">
        <v>38827</v>
      </c>
      <c r="R140" s="229">
        <v>39826</v>
      </c>
      <c r="S140" s="229">
        <v>40641</v>
      </c>
      <c r="T140" s="229">
        <f t="shared" si="31"/>
        <v>35344</v>
      </c>
      <c r="U140" s="229">
        <f t="shared" si="37"/>
        <v>35344</v>
      </c>
      <c r="V140" s="356">
        <f t="shared" si="38"/>
        <v>35344</v>
      </c>
      <c r="W140" s="356">
        <v>0</v>
      </c>
      <c r="X140" s="356">
        <f t="shared" si="32"/>
        <v>0</v>
      </c>
      <c r="Y140" s="229">
        <v>0</v>
      </c>
      <c r="Z140" s="229">
        <f t="shared" si="33"/>
        <v>0</v>
      </c>
      <c r="AA140" s="276" t="s">
        <v>331</v>
      </c>
      <c r="AB140" s="270">
        <f>SUMIF('Allocation Factors'!$B$3:$B$89,'Accumulated Deferred Income Tax'!AA140,'Allocation Factors'!$P$3:$P$89)</f>
        <v>0</v>
      </c>
      <c r="AC140" s="271">
        <f t="shared" si="34"/>
        <v>0</v>
      </c>
      <c r="AD140" s="271">
        <f t="shared" si="35"/>
        <v>0</v>
      </c>
      <c r="AE140" s="30">
        <f t="shared" si="36"/>
        <v>0</v>
      </c>
    </row>
    <row r="141" spans="1:31" ht="13.5" customHeight="1">
      <c r="A141" s="276">
        <v>287837</v>
      </c>
      <c r="B141" s="423">
        <v>190</v>
      </c>
      <c r="C141" s="90" t="s">
        <v>605</v>
      </c>
      <c r="D141" s="314" t="s">
        <v>8</v>
      </c>
      <c r="E141" s="74" t="s">
        <v>8</v>
      </c>
      <c r="F141" s="269" t="s">
        <v>333</v>
      </c>
      <c r="G141" s="229">
        <v>4509</v>
      </c>
      <c r="H141" s="229">
        <v>4613</v>
      </c>
      <c r="I141" s="229">
        <v>4717</v>
      </c>
      <c r="J141" s="229">
        <v>4809</v>
      </c>
      <c r="K141" s="229">
        <v>4914</v>
      </c>
      <c r="L141" s="229">
        <v>5019</v>
      </c>
      <c r="M141" s="229">
        <v>5112</v>
      </c>
      <c r="N141" s="229">
        <v>5238</v>
      </c>
      <c r="O141" s="229">
        <v>5364</v>
      </c>
      <c r="P141" s="229">
        <v>5465</v>
      </c>
      <c r="Q141" s="229">
        <v>5593</v>
      </c>
      <c r="R141" s="229">
        <v>5721</v>
      </c>
      <c r="S141" s="229">
        <v>5826</v>
      </c>
      <c r="T141" s="229">
        <f t="shared" si="31"/>
        <v>5144</v>
      </c>
      <c r="U141" s="229">
        <f t="shared" si="37"/>
        <v>5144</v>
      </c>
      <c r="V141" s="356">
        <f t="shared" si="38"/>
        <v>5144</v>
      </c>
      <c r="W141" s="356">
        <v>0</v>
      </c>
      <c r="X141" s="356">
        <f t="shared" si="32"/>
        <v>0</v>
      </c>
      <c r="Y141" s="229">
        <v>0</v>
      </c>
      <c r="Z141" s="229">
        <f t="shared" si="33"/>
        <v>0</v>
      </c>
      <c r="AA141" s="276" t="s">
        <v>331</v>
      </c>
      <c r="AB141" s="270">
        <f>SUMIF('Allocation Factors'!$B$3:$B$89,'Accumulated Deferred Income Tax'!AA141,'Allocation Factors'!$P$3:$P$89)</f>
        <v>0</v>
      </c>
      <c r="AC141" s="271">
        <f t="shared" si="34"/>
        <v>0</v>
      </c>
      <c r="AD141" s="271">
        <f t="shared" si="35"/>
        <v>0</v>
      </c>
      <c r="AE141" s="30">
        <f t="shared" si="36"/>
        <v>0</v>
      </c>
    </row>
    <row r="142" spans="1:31" ht="13.5" customHeight="1">
      <c r="A142" s="355">
        <v>287937</v>
      </c>
      <c r="B142" s="355">
        <v>190</v>
      </c>
      <c r="C142" s="353" t="s">
        <v>475</v>
      </c>
      <c r="D142" s="273">
        <v>505.601</v>
      </c>
      <c r="E142" s="29" t="s">
        <v>8</v>
      </c>
      <c r="F142" s="29" t="s">
        <v>9</v>
      </c>
      <c r="G142" s="229">
        <v>11137</v>
      </c>
      <c r="H142" s="229">
        <v>11137</v>
      </c>
      <c r="I142" s="229">
        <v>11137</v>
      </c>
      <c r="J142" s="229">
        <v>11137</v>
      </c>
      <c r="K142" s="229">
        <v>11137</v>
      </c>
      <c r="L142" s="229">
        <v>11137</v>
      </c>
      <c r="M142" s="229">
        <v>11325</v>
      </c>
      <c r="N142" s="229">
        <v>11325</v>
      </c>
      <c r="O142" s="229">
        <v>11325</v>
      </c>
      <c r="P142" s="229">
        <v>11325</v>
      </c>
      <c r="Q142" s="229">
        <v>11325</v>
      </c>
      <c r="R142" s="229">
        <v>11325</v>
      </c>
      <c r="S142" s="229">
        <v>11325</v>
      </c>
      <c r="T142" s="229">
        <f t="shared" si="31"/>
        <v>11239</v>
      </c>
      <c r="U142" s="229">
        <f t="shared" si="37"/>
        <v>11239</v>
      </c>
      <c r="V142" s="356">
        <f t="shared" si="38"/>
        <v>11239</v>
      </c>
      <c r="W142" s="356">
        <v>0</v>
      </c>
      <c r="X142" s="356">
        <f t="shared" si="32"/>
        <v>11239</v>
      </c>
      <c r="Y142" s="229">
        <v>0</v>
      </c>
      <c r="Z142" s="229">
        <f t="shared" si="33"/>
        <v>11239</v>
      </c>
      <c r="AA142" s="276" t="s">
        <v>170</v>
      </c>
      <c r="AB142" s="270">
        <f>SUMIF('Allocation Factors'!$B$3:$B$89,'Accumulated Deferred Income Tax'!AA142,'Allocation Factors'!$P$3:$P$89)</f>
        <v>0.22591574269314921</v>
      </c>
      <c r="AC142" s="271">
        <f t="shared" si="34"/>
        <v>2539</v>
      </c>
      <c r="AD142" s="271">
        <f t="shared" si="35"/>
        <v>0</v>
      </c>
      <c r="AE142" s="30">
        <f t="shared" si="36"/>
        <v>2539</v>
      </c>
    </row>
    <row r="143" spans="1:31" ht="13.5" customHeight="1">
      <c r="A143" s="355">
        <v>287938</v>
      </c>
      <c r="B143" s="355">
        <v>190</v>
      </c>
      <c r="C143" s="353" t="s">
        <v>377</v>
      </c>
      <c r="D143" s="273">
        <v>205.20500000000001</v>
      </c>
      <c r="E143" s="29" t="s">
        <v>8</v>
      </c>
      <c r="F143" s="29" t="s">
        <v>9</v>
      </c>
      <c r="G143" s="229">
        <v>31678</v>
      </c>
      <c r="H143" s="229">
        <v>29332</v>
      </c>
      <c r="I143" s="229">
        <v>29332</v>
      </c>
      <c r="J143" s="229">
        <v>29332</v>
      </c>
      <c r="K143" s="229">
        <v>27836</v>
      </c>
      <c r="L143" s="229">
        <v>7548</v>
      </c>
      <c r="M143" s="229">
        <v>0</v>
      </c>
      <c r="N143" s="229">
        <v>0</v>
      </c>
      <c r="O143" s="229">
        <v>0</v>
      </c>
      <c r="P143" s="229">
        <v>0</v>
      </c>
      <c r="Q143" s="229">
        <v>0</v>
      </c>
      <c r="R143" s="229">
        <v>0</v>
      </c>
      <c r="S143" s="229">
        <v>0</v>
      </c>
      <c r="T143" s="229">
        <f t="shared" si="31"/>
        <v>11602</v>
      </c>
      <c r="U143" s="229">
        <f t="shared" si="37"/>
        <v>11602</v>
      </c>
      <c r="V143" s="356">
        <f t="shared" si="38"/>
        <v>11602</v>
      </c>
      <c r="W143" s="356">
        <v>0</v>
      </c>
      <c r="X143" s="356">
        <f t="shared" si="32"/>
        <v>11602</v>
      </c>
      <c r="Y143" s="229">
        <v>0</v>
      </c>
      <c r="Z143" s="229">
        <f t="shared" si="33"/>
        <v>11602</v>
      </c>
      <c r="AA143" s="276" t="s">
        <v>170</v>
      </c>
      <c r="AB143" s="270">
        <f>SUMIF('Allocation Factors'!$B$3:$B$89,'Accumulated Deferred Income Tax'!AA143,'Allocation Factors'!$P$3:$P$89)</f>
        <v>0.22591574269314921</v>
      </c>
      <c r="AC143" s="271">
        <f t="shared" si="34"/>
        <v>2621</v>
      </c>
      <c r="AD143" s="271">
        <f t="shared" si="35"/>
        <v>0</v>
      </c>
      <c r="AE143" s="30">
        <f t="shared" si="36"/>
        <v>2621</v>
      </c>
    </row>
    <row r="144" spans="1:31" ht="13.5" customHeight="1">
      <c r="A144" s="355" t="s">
        <v>8</v>
      </c>
      <c r="B144" s="355">
        <v>190</v>
      </c>
      <c r="C144" s="90" t="s">
        <v>636</v>
      </c>
      <c r="D144" s="273" t="s">
        <v>8</v>
      </c>
      <c r="E144" s="29">
        <v>8.1999999999999993</v>
      </c>
      <c r="F144" s="276" t="s">
        <v>9</v>
      </c>
      <c r="G144" s="229">
        <v>0</v>
      </c>
      <c r="H144" s="229">
        <v>0</v>
      </c>
      <c r="I144" s="229">
        <v>0</v>
      </c>
      <c r="J144" s="229">
        <v>0</v>
      </c>
      <c r="K144" s="229">
        <v>0</v>
      </c>
      <c r="L144" s="229">
        <v>0</v>
      </c>
      <c r="M144" s="229">
        <v>0</v>
      </c>
      <c r="N144" s="229">
        <v>0</v>
      </c>
      <c r="O144" s="229">
        <v>0</v>
      </c>
      <c r="P144" s="229">
        <v>0</v>
      </c>
      <c r="Q144" s="229">
        <v>0</v>
      </c>
      <c r="R144" s="229">
        <v>0</v>
      </c>
      <c r="S144" s="229">
        <v>0</v>
      </c>
      <c r="T144" s="229">
        <f t="shared" si="31"/>
        <v>0</v>
      </c>
      <c r="U144" s="229">
        <f t="shared" si="37"/>
        <v>0</v>
      </c>
      <c r="V144" s="356">
        <f t="shared" si="38"/>
        <v>0</v>
      </c>
      <c r="W144" s="356">
        <v>0</v>
      </c>
      <c r="X144" s="356">
        <f t="shared" si="32"/>
        <v>0</v>
      </c>
      <c r="Y144" s="229">
        <v>70447</v>
      </c>
      <c r="Z144" s="229">
        <f t="shared" si="33"/>
        <v>70447</v>
      </c>
      <c r="AA144" s="276" t="s">
        <v>26</v>
      </c>
      <c r="AB144" s="270">
        <f>SUMIF('Allocation Factors'!$B$3:$B$89,'Accumulated Deferred Income Tax'!AA144,'Allocation Factors'!$P$3:$P$89)</f>
        <v>1</v>
      </c>
      <c r="AC144" s="271">
        <f t="shared" si="34"/>
        <v>0</v>
      </c>
      <c r="AD144" s="271">
        <f t="shared" si="35"/>
        <v>70447</v>
      </c>
      <c r="AE144" s="30">
        <f t="shared" si="36"/>
        <v>70447</v>
      </c>
    </row>
    <row r="145" spans="1:31" ht="13.5" customHeight="1">
      <c r="A145" s="355" t="s">
        <v>8</v>
      </c>
      <c r="B145" s="355">
        <v>190</v>
      </c>
      <c r="C145" s="90" t="s">
        <v>637</v>
      </c>
      <c r="D145" s="273" t="s">
        <v>8</v>
      </c>
      <c r="E145" s="29">
        <v>8.1999999999999993</v>
      </c>
      <c r="F145" s="276" t="s">
        <v>9</v>
      </c>
      <c r="G145" s="229">
        <v>0</v>
      </c>
      <c r="H145" s="229">
        <v>0</v>
      </c>
      <c r="I145" s="229">
        <v>0</v>
      </c>
      <c r="J145" s="229">
        <v>0</v>
      </c>
      <c r="K145" s="229">
        <v>0</v>
      </c>
      <c r="L145" s="229">
        <v>0</v>
      </c>
      <c r="M145" s="229">
        <v>0</v>
      </c>
      <c r="N145" s="229">
        <v>0</v>
      </c>
      <c r="O145" s="229">
        <v>0</v>
      </c>
      <c r="P145" s="229">
        <v>0</v>
      </c>
      <c r="Q145" s="229">
        <v>0</v>
      </c>
      <c r="R145" s="229">
        <v>0</v>
      </c>
      <c r="S145" s="229">
        <v>0</v>
      </c>
      <c r="T145" s="229">
        <f t="shared" si="31"/>
        <v>0</v>
      </c>
      <c r="U145" s="229">
        <f t="shared" si="37"/>
        <v>0</v>
      </c>
      <c r="V145" s="356">
        <f t="shared" si="38"/>
        <v>0</v>
      </c>
      <c r="W145" s="356">
        <v>0</v>
      </c>
      <c r="X145" s="356">
        <f t="shared" si="32"/>
        <v>0</v>
      </c>
      <c r="Y145" s="229">
        <v>12294</v>
      </c>
      <c r="Z145" s="229">
        <f t="shared" si="33"/>
        <v>12294</v>
      </c>
      <c r="AA145" s="276" t="s">
        <v>26</v>
      </c>
      <c r="AB145" s="270">
        <f>SUMIF('Allocation Factors'!$B$3:$B$89,'Accumulated Deferred Income Tax'!AA145,'Allocation Factors'!$P$3:$P$89)</f>
        <v>1</v>
      </c>
      <c r="AC145" s="271">
        <f t="shared" si="34"/>
        <v>0</v>
      </c>
      <c r="AD145" s="271">
        <f t="shared" si="35"/>
        <v>12294</v>
      </c>
      <c r="AE145" s="30">
        <f t="shared" si="36"/>
        <v>12294</v>
      </c>
    </row>
    <row r="146" spans="1:31" ht="13.5" customHeight="1">
      <c r="A146" s="355" t="s">
        <v>8</v>
      </c>
      <c r="B146" s="355">
        <v>190</v>
      </c>
      <c r="C146" s="353" t="s">
        <v>422</v>
      </c>
      <c r="D146" s="273" t="s">
        <v>8</v>
      </c>
      <c r="E146" s="29">
        <v>7.6</v>
      </c>
      <c r="F146" s="276" t="s">
        <v>9</v>
      </c>
      <c r="G146" s="229">
        <v>0</v>
      </c>
      <c r="H146" s="229">
        <v>0</v>
      </c>
      <c r="I146" s="229">
        <v>0</v>
      </c>
      <c r="J146" s="229">
        <v>0</v>
      </c>
      <c r="K146" s="229">
        <v>0</v>
      </c>
      <c r="L146" s="229">
        <v>0</v>
      </c>
      <c r="M146" s="229">
        <v>0</v>
      </c>
      <c r="N146" s="229">
        <v>0</v>
      </c>
      <c r="O146" s="229">
        <v>0</v>
      </c>
      <c r="P146" s="229">
        <v>0</v>
      </c>
      <c r="Q146" s="229">
        <v>0</v>
      </c>
      <c r="R146" s="229">
        <v>0</v>
      </c>
      <c r="S146" s="229">
        <v>0</v>
      </c>
      <c r="T146" s="229">
        <f t="shared" si="31"/>
        <v>0</v>
      </c>
      <c r="U146" s="229">
        <f t="shared" si="37"/>
        <v>0</v>
      </c>
      <c r="V146" s="356">
        <f t="shared" si="38"/>
        <v>0</v>
      </c>
      <c r="W146" s="356">
        <v>0</v>
      </c>
      <c r="X146" s="356">
        <f t="shared" si="32"/>
        <v>0</v>
      </c>
      <c r="Y146" s="229">
        <v>-1938338</v>
      </c>
      <c r="Z146" s="229">
        <f t="shared" si="33"/>
        <v>-1938338</v>
      </c>
      <c r="AA146" s="276" t="s">
        <v>26</v>
      </c>
      <c r="AB146" s="270">
        <f>SUMIF('Allocation Factors'!$B$3:$B$89,'Accumulated Deferred Income Tax'!AA146,'Allocation Factors'!$P$3:$P$89)</f>
        <v>1</v>
      </c>
      <c r="AC146" s="271">
        <f t="shared" si="34"/>
        <v>0</v>
      </c>
      <c r="AD146" s="271">
        <f t="shared" si="35"/>
        <v>-1938338</v>
      </c>
      <c r="AE146" s="30">
        <f t="shared" si="36"/>
        <v>-1938338</v>
      </c>
    </row>
    <row r="147" spans="1:31">
      <c r="A147" s="183"/>
      <c r="B147" s="215"/>
      <c r="C147" s="216"/>
      <c r="D147" s="217"/>
      <c r="E147" s="217"/>
      <c r="F147" s="161"/>
      <c r="G147" s="186">
        <f t="shared" ref="G147:Z147" si="39">SUBTOTAL(9,G3:G146)</f>
        <v>856103272</v>
      </c>
      <c r="H147" s="186">
        <f t="shared" si="39"/>
        <v>861360142</v>
      </c>
      <c r="I147" s="186">
        <f t="shared" si="39"/>
        <v>853527176</v>
      </c>
      <c r="J147" s="186">
        <f t="shared" si="39"/>
        <v>862277650</v>
      </c>
      <c r="K147" s="186">
        <f t="shared" si="39"/>
        <v>836109640</v>
      </c>
      <c r="L147" s="186">
        <f t="shared" si="39"/>
        <v>843849171</v>
      </c>
      <c r="M147" s="186">
        <f t="shared" si="39"/>
        <v>829908590</v>
      </c>
      <c r="N147" s="186">
        <f t="shared" si="39"/>
        <v>823762636</v>
      </c>
      <c r="O147" s="186">
        <f t="shared" si="39"/>
        <v>816417863</v>
      </c>
      <c r="P147" s="186">
        <f t="shared" si="39"/>
        <v>829419500</v>
      </c>
      <c r="Q147" s="186">
        <f t="shared" si="39"/>
        <v>831015182</v>
      </c>
      <c r="R147" s="186">
        <f t="shared" si="39"/>
        <v>832052655</v>
      </c>
      <c r="S147" s="186">
        <f t="shared" si="39"/>
        <v>832704009</v>
      </c>
      <c r="T147" s="186">
        <f t="shared" si="39"/>
        <v>838675321</v>
      </c>
      <c r="U147" s="186">
        <f t="shared" si="39"/>
        <v>838675321</v>
      </c>
      <c r="V147" s="186">
        <f t="shared" si="39"/>
        <v>838675321</v>
      </c>
      <c r="W147" s="186">
        <f t="shared" si="39"/>
        <v>-19700704</v>
      </c>
      <c r="X147" s="186">
        <f t="shared" si="39"/>
        <v>158529269</v>
      </c>
      <c r="Y147" s="186">
        <f t="shared" si="39"/>
        <v>-12245339</v>
      </c>
      <c r="Z147" s="186">
        <f t="shared" si="39"/>
        <v>146283930</v>
      </c>
      <c r="AA147" s="183"/>
      <c r="AB147" s="162"/>
      <c r="AC147" s="213">
        <f>SUBTOTAL(9,AC3:AC146)</f>
        <v>7613190</v>
      </c>
      <c r="AD147" s="213">
        <f>SUBTOTAL(9,AD3:AD146)</f>
        <v>531135</v>
      </c>
      <c r="AE147" s="213">
        <f>SUBTOTAL(9,AE3:AE146)</f>
        <v>8144325</v>
      </c>
    </row>
    <row r="148" spans="1:31">
      <c r="A148" s="29">
        <v>287960</v>
      </c>
      <c r="B148" s="29">
        <v>281</v>
      </c>
      <c r="C148" s="28" t="s">
        <v>294</v>
      </c>
      <c r="D148" s="273">
        <v>105.128</v>
      </c>
      <c r="E148" s="318" t="s">
        <v>8</v>
      </c>
      <c r="F148" s="269" t="s">
        <v>9</v>
      </c>
      <c r="G148" s="229">
        <v>-183513099</v>
      </c>
      <c r="H148" s="229">
        <v>-183075644</v>
      </c>
      <c r="I148" s="229">
        <v>-182638188</v>
      </c>
      <c r="J148" s="229">
        <v>-182608894</v>
      </c>
      <c r="K148" s="229">
        <v>-182216790</v>
      </c>
      <c r="L148" s="229">
        <v>-181824685</v>
      </c>
      <c r="M148" s="229">
        <v>-180339430</v>
      </c>
      <c r="N148" s="229">
        <v>-180339430</v>
      </c>
      <c r="O148" s="229">
        <v>-180339430</v>
      </c>
      <c r="P148" s="229">
        <v>-178669858</v>
      </c>
      <c r="Q148" s="229">
        <v>-178113334</v>
      </c>
      <c r="R148" s="229">
        <v>-177556810</v>
      </c>
      <c r="S148" s="229">
        <v>-177049368</v>
      </c>
      <c r="T148" s="229">
        <f t="shared" ref="T148:T179" si="40">ROUND(((G148*1)+(SUM(H148:R148)*2)+(S148*1))/24,0)</f>
        <v>-180666977</v>
      </c>
      <c r="U148" s="229">
        <f>+T148</f>
        <v>-180666977</v>
      </c>
      <c r="V148" s="356">
        <f>+U148</f>
        <v>-180666977</v>
      </c>
      <c r="W148" s="229">
        <v>180666977</v>
      </c>
      <c r="X148" s="356">
        <f>+W148+V148</f>
        <v>0</v>
      </c>
      <c r="Y148" s="229">
        <v>0</v>
      </c>
      <c r="Z148" s="229">
        <f t="shared" ref="Z148:Z179" si="41">SUM(X148:Y148)</f>
        <v>0</v>
      </c>
      <c r="AA148" s="29" t="s">
        <v>19</v>
      </c>
      <c r="AB148" s="270">
        <f>SUMIF('Allocation Factors'!$B$3:$B$89,'Accumulated Deferred Income Tax'!AA148,'Allocation Factors'!$P$3:$P$89)</f>
        <v>7.8111041399714837E-2</v>
      </c>
      <c r="AC148" s="271">
        <f t="shared" ref="AC148:AC184" si="42">ROUND(X148*AB148,0)</f>
        <v>0</v>
      </c>
      <c r="AD148" s="271">
        <f t="shared" ref="AD148:AD179" si="43">ROUND(Y148*AB148,0)</f>
        <v>0</v>
      </c>
      <c r="AE148" s="30">
        <f t="shared" ref="AE148:AE179" si="44">SUM(AC148:AD148)</f>
        <v>0</v>
      </c>
    </row>
    <row r="149" spans="1:31">
      <c r="A149" s="29">
        <v>287605</v>
      </c>
      <c r="B149" s="29">
        <v>282</v>
      </c>
      <c r="C149" s="90" t="s">
        <v>361</v>
      </c>
      <c r="D149" s="273">
        <v>100.11</v>
      </c>
      <c r="E149" s="318" t="s">
        <v>8</v>
      </c>
      <c r="F149" s="29" t="s">
        <v>9</v>
      </c>
      <c r="G149" s="229">
        <v>-28143</v>
      </c>
      <c r="H149" s="229">
        <v>-27927</v>
      </c>
      <c r="I149" s="229">
        <v>-27744</v>
      </c>
      <c r="J149" s="229">
        <v>-27639</v>
      </c>
      <c r="K149" s="229">
        <v>-27570</v>
      </c>
      <c r="L149" s="229">
        <v>-27467</v>
      </c>
      <c r="M149" s="229">
        <v>-27337</v>
      </c>
      <c r="N149" s="229">
        <v>-27208</v>
      </c>
      <c r="O149" s="229">
        <v>-27120</v>
      </c>
      <c r="P149" s="229">
        <v>-27031</v>
      </c>
      <c r="Q149" s="229">
        <v>-26966</v>
      </c>
      <c r="R149" s="229">
        <v>-26872</v>
      </c>
      <c r="S149" s="229">
        <v>-26723</v>
      </c>
      <c r="T149" s="229">
        <f t="shared" si="40"/>
        <v>-27360</v>
      </c>
      <c r="U149" s="229">
        <f>+T149</f>
        <v>-27360</v>
      </c>
      <c r="V149" s="356">
        <f>+U149</f>
        <v>-27360</v>
      </c>
      <c r="W149" s="229">
        <v>27360</v>
      </c>
      <c r="X149" s="356">
        <f>+W149+V149</f>
        <v>0</v>
      </c>
      <c r="Y149" s="229">
        <v>0</v>
      </c>
      <c r="Z149" s="229">
        <f t="shared" si="41"/>
        <v>0</v>
      </c>
      <c r="AA149" s="276" t="s">
        <v>239</v>
      </c>
      <c r="AB149" s="270">
        <f>SUMIF('Allocation Factors'!$B$3:$B$89,'Accumulated Deferred Income Tax'!AA149,'Allocation Factors'!$P$3:$P$89)</f>
        <v>6.230340034346115E-2</v>
      </c>
      <c r="AC149" s="271">
        <f t="shared" si="42"/>
        <v>0</v>
      </c>
      <c r="AD149" s="271">
        <f t="shared" si="43"/>
        <v>0</v>
      </c>
      <c r="AE149" s="30">
        <f t="shared" si="44"/>
        <v>0</v>
      </c>
    </row>
    <row r="150" spans="1:31">
      <c r="A150" s="29">
        <v>287605</v>
      </c>
      <c r="B150" s="29">
        <v>282</v>
      </c>
      <c r="C150" s="28" t="s">
        <v>446</v>
      </c>
      <c r="D150" s="273">
        <v>105.1</v>
      </c>
      <c r="E150" s="318" t="s">
        <v>8</v>
      </c>
      <c r="F150" s="29" t="s">
        <v>9</v>
      </c>
      <c r="G150" s="229">
        <v>22995213</v>
      </c>
      <c r="H150" s="229">
        <v>23327264</v>
      </c>
      <c r="I150" s="229">
        <v>23542594</v>
      </c>
      <c r="J150" s="229">
        <v>23810359</v>
      </c>
      <c r="K150" s="229">
        <v>24099149</v>
      </c>
      <c r="L150" s="229">
        <v>24308170</v>
      </c>
      <c r="M150" s="229">
        <v>22999656</v>
      </c>
      <c r="N150" s="229">
        <v>23129569</v>
      </c>
      <c r="O150" s="229">
        <v>23175809</v>
      </c>
      <c r="P150" s="229">
        <v>23311405</v>
      </c>
      <c r="Q150" s="229">
        <v>23238358</v>
      </c>
      <c r="R150" s="229">
        <v>23404600</v>
      </c>
      <c r="S150" s="229">
        <v>23566522</v>
      </c>
      <c r="T150" s="229">
        <f t="shared" si="40"/>
        <v>23468983</v>
      </c>
      <c r="U150" s="229">
        <f t="shared" ref="U150:U185" si="45">+T150</f>
        <v>23468983</v>
      </c>
      <c r="V150" s="356">
        <f t="shared" ref="V150:V199" si="46">+U150</f>
        <v>23468983</v>
      </c>
      <c r="W150" s="229">
        <v>-23468983</v>
      </c>
      <c r="X150" s="356">
        <f t="shared" ref="X150:X199" si="47">+W150+V150</f>
        <v>0</v>
      </c>
      <c r="Y150" s="229">
        <v>0</v>
      </c>
      <c r="Z150" s="229">
        <f t="shared" si="41"/>
        <v>0</v>
      </c>
      <c r="AA150" s="75" t="s">
        <v>239</v>
      </c>
      <c r="AB150" s="270">
        <f>SUMIF('Allocation Factors'!$B$3:$B$89,'Accumulated Deferred Income Tax'!AA150,'Allocation Factors'!$P$3:$P$89)</f>
        <v>6.230340034346115E-2</v>
      </c>
      <c r="AC150" s="271">
        <f t="shared" si="42"/>
        <v>0</v>
      </c>
      <c r="AD150" s="271">
        <f t="shared" si="43"/>
        <v>0</v>
      </c>
      <c r="AE150" s="30">
        <f t="shared" si="44"/>
        <v>0</v>
      </c>
    </row>
    <row r="151" spans="1:31">
      <c r="A151" s="29">
        <v>287605</v>
      </c>
      <c r="B151" s="29">
        <v>282</v>
      </c>
      <c r="C151" s="90" t="s">
        <v>606</v>
      </c>
      <c r="D151" s="273">
        <v>105.101</v>
      </c>
      <c r="E151" s="318" t="s">
        <v>8</v>
      </c>
      <c r="F151" s="29" t="s">
        <v>9</v>
      </c>
      <c r="G151" s="229">
        <v>1565135</v>
      </c>
      <c r="H151" s="229">
        <v>1565135</v>
      </c>
      <c r="I151" s="229">
        <v>1565135</v>
      </c>
      <c r="J151" s="229">
        <v>1565135</v>
      </c>
      <c r="K151" s="229">
        <v>1565135</v>
      </c>
      <c r="L151" s="229">
        <v>1565135</v>
      </c>
      <c r="M151" s="229">
        <v>1565135</v>
      </c>
      <c r="N151" s="229">
        <v>1565135</v>
      </c>
      <c r="O151" s="229">
        <v>1565135</v>
      </c>
      <c r="P151" s="229">
        <v>1565135</v>
      </c>
      <c r="Q151" s="229">
        <v>1565135</v>
      </c>
      <c r="R151" s="229">
        <v>1565135</v>
      </c>
      <c r="S151" s="229">
        <v>1565135</v>
      </c>
      <c r="T151" s="229">
        <f t="shared" si="40"/>
        <v>1565135</v>
      </c>
      <c r="U151" s="229">
        <f t="shared" si="45"/>
        <v>1565135</v>
      </c>
      <c r="V151" s="356">
        <f t="shared" si="46"/>
        <v>1565135</v>
      </c>
      <c r="W151" s="229">
        <v>-1565135</v>
      </c>
      <c r="X151" s="356">
        <f t="shared" si="47"/>
        <v>0</v>
      </c>
      <c r="Y151" s="229">
        <v>0</v>
      </c>
      <c r="Z151" s="229">
        <f t="shared" si="41"/>
        <v>0</v>
      </c>
      <c r="AA151" s="276" t="s">
        <v>239</v>
      </c>
      <c r="AB151" s="270">
        <f>SUMIF('Allocation Factors'!$B$3:$B$89,'Accumulated Deferred Income Tax'!AA151,'Allocation Factors'!$P$3:$P$89)</f>
        <v>6.230340034346115E-2</v>
      </c>
      <c r="AC151" s="271">
        <f t="shared" si="42"/>
        <v>0</v>
      </c>
      <c r="AD151" s="271">
        <f t="shared" si="43"/>
        <v>0</v>
      </c>
      <c r="AE151" s="30">
        <f t="shared" si="44"/>
        <v>0</v>
      </c>
    </row>
    <row r="152" spans="1:31" s="201" customFormat="1">
      <c r="A152" s="29">
        <v>287605</v>
      </c>
      <c r="B152" s="29">
        <v>282</v>
      </c>
      <c r="C152" s="90" t="s">
        <v>607</v>
      </c>
      <c r="D152" s="273">
        <v>105.11499999999999</v>
      </c>
      <c r="E152" s="318" t="s">
        <v>8</v>
      </c>
      <c r="F152" s="276" t="s">
        <v>9</v>
      </c>
      <c r="G152" s="229">
        <v>0</v>
      </c>
      <c r="H152" s="229">
        <v>-79422163</v>
      </c>
      <c r="I152" s="229">
        <v>-79904354</v>
      </c>
      <c r="J152" s="229">
        <v>-85381088</v>
      </c>
      <c r="K152" s="229">
        <v>-86055637</v>
      </c>
      <c r="L152" s="229">
        <v>-86814706</v>
      </c>
      <c r="M152" s="229">
        <v>-78167408</v>
      </c>
      <c r="N152" s="229">
        <v>-77433594</v>
      </c>
      <c r="O152" s="229">
        <v>-76783427</v>
      </c>
      <c r="P152" s="229">
        <v>-76344603</v>
      </c>
      <c r="Q152" s="229">
        <v>-76172551</v>
      </c>
      <c r="R152" s="229">
        <v>-75699483</v>
      </c>
      <c r="S152" s="229">
        <v>-73597349</v>
      </c>
      <c r="T152" s="229">
        <f t="shared" si="40"/>
        <v>-76248141</v>
      </c>
      <c r="U152" s="229">
        <f t="shared" si="45"/>
        <v>-76248141</v>
      </c>
      <c r="V152" s="356">
        <f t="shared" si="46"/>
        <v>-76248141</v>
      </c>
      <c r="W152" s="229">
        <v>76248141</v>
      </c>
      <c r="X152" s="356">
        <f t="shared" si="47"/>
        <v>0</v>
      </c>
      <c r="Y152" s="229">
        <v>0</v>
      </c>
      <c r="Z152" s="229">
        <f t="shared" si="41"/>
        <v>0</v>
      </c>
      <c r="AA152" s="276" t="s">
        <v>239</v>
      </c>
      <c r="AB152" s="270">
        <f>SUMIF('Allocation Factors'!$B$3:$B$89,'Accumulated Deferred Income Tax'!AA152,'Allocation Factors'!$P$3:$P$89)</f>
        <v>6.230340034346115E-2</v>
      </c>
      <c r="AC152" s="271">
        <f t="shared" si="42"/>
        <v>0</v>
      </c>
      <c r="AD152" s="271">
        <f t="shared" si="43"/>
        <v>0</v>
      </c>
      <c r="AE152" s="30">
        <f t="shared" si="44"/>
        <v>0</v>
      </c>
    </row>
    <row r="153" spans="1:31">
      <c r="A153" s="29">
        <v>287605</v>
      </c>
      <c r="B153" s="29">
        <v>282</v>
      </c>
      <c r="C153" s="28" t="s">
        <v>607</v>
      </c>
      <c r="D153" s="273">
        <v>105.11499999999999</v>
      </c>
      <c r="E153" s="318" t="s">
        <v>8</v>
      </c>
      <c r="F153" s="29" t="s">
        <v>9</v>
      </c>
      <c r="G153" s="229">
        <f>-1561597169-78747289</f>
        <v>-1640344458</v>
      </c>
      <c r="H153" s="229">
        <v>-1555092673</v>
      </c>
      <c r="I153" s="229">
        <v>-1549577862</v>
      </c>
      <c r="J153" s="229">
        <v>-1552735316</v>
      </c>
      <c r="K153" s="229">
        <v>-1550547468</v>
      </c>
      <c r="L153" s="229">
        <v>-1547276716</v>
      </c>
      <c r="M153" s="229">
        <v>-1282686648</v>
      </c>
      <c r="N153" s="229">
        <v>-1280196518</v>
      </c>
      <c r="O153" s="229">
        <v>-1278490873</v>
      </c>
      <c r="P153" s="229">
        <v>-1276607081</v>
      </c>
      <c r="Q153" s="229">
        <v>-1275308879</v>
      </c>
      <c r="R153" s="229">
        <v>-1273441350</v>
      </c>
      <c r="S153" s="229">
        <v>-1269573224</v>
      </c>
      <c r="T153" s="229">
        <f t="shared" si="40"/>
        <v>-1406410019</v>
      </c>
      <c r="U153" s="229">
        <f t="shared" si="45"/>
        <v>-1406410019</v>
      </c>
      <c r="V153" s="356">
        <f t="shared" si="46"/>
        <v>-1406410019</v>
      </c>
      <c r="W153" s="229">
        <v>1406410019</v>
      </c>
      <c r="X153" s="356">
        <f t="shared" si="47"/>
        <v>0</v>
      </c>
      <c r="Y153" s="229">
        <v>0</v>
      </c>
      <c r="Z153" s="229">
        <f t="shared" si="41"/>
        <v>0</v>
      </c>
      <c r="AA153" s="75" t="s">
        <v>239</v>
      </c>
      <c r="AB153" s="270">
        <f>SUMIF('Allocation Factors'!$B$3:$B$89,'Accumulated Deferred Income Tax'!AA153,'Allocation Factors'!$P$3:$P$89)</f>
        <v>6.230340034346115E-2</v>
      </c>
      <c r="AC153" s="271">
        <f t="shared" si="42"/>
        <v>0</v>
      </c>
      <c r="AD153" s="271">
        <f t="shared" si="43"/>
        <v>0</v>
      </c>
      <c r="AE153" s="30">
        <f t="shared" si="44"/>
        <v>0</v>
      </c>
    </row>
    <row r="154" spans="1:31">
      <c r="A154" s="29">
        <v>287605</v>
      </c>
      <c r="B154" s="29">
        <v>282</v>
      </c>
      <c r="C154" s="90" t="s">
        <v>362</v>
      </c>
      <c r="D154" s="273">
        <v>105.116</v>
      </c>
      <c r="E154" s="318" t="s">
        <v>8</v>
      </c>
      <c r="F154" s="29" t="s">
        <v>9</v>
      </c>
      <c r="G154" s="229">
        <v>-6364</v>
      </c>
      <c r="H154" s="229">
        <v>-6580</v>
      </c>
      <c r="I154" s="229">
        <v>-6763</v>
      </c>
      <c r="J154" s="229">
        <v>-6868</v>
      </c>
      <c r="K154" s="229">
        <v>-6936</v>
      </c>
      <c r="L154" s="229">
        <v>-7040</v>
      </c>
      <c r="M154" s="229">
        <v>-7170</v>
      </c>
      <c r="N154" s="229">
        <v>-7299</v>
      </c>
      <c r="O154" s="229">
        <v>-7387</v>
      </c>
      <c r="P154" s="229">
        <v>-7475</v>
      </c>
      <c r="Q154" s="229">
        <v>-7541</v>
      </c>
      <c r="R154" s="229">
        <v>-7635</v>
      </c>
      <c r="S154" s="229">
        <v>-7784</v>
      </c>
      <c r="T154" s="229">
        <f t="shared" si="40"/>
        <v>-7147</v>
      </c>
      <c r="U154" s="229">
        <f t="shared" si="45"/>
        <v>-7147</v>
      </c>
      <c r="V154" s="356">
        <f t="shared" si="46"/>
        <v>-7147</v>
      </c>
      <c r="W154" s="229">
        <v>7147</v>
      </c>
      <c r="X154" s="356">
        <f t="shared" si="47"/>
        <v>0</v>
      </c>
      <c r="Y154" s="229">
        <v>0</v>
      </c>
      <c r="Z154" s="229">
        <f t="shared" si="41"/>
        <v>0</v>
      </c>
      <c r="AA154" s="75" t="s">
        <v>239</v>
      </c>
      <c r="AB154" s="270">
        <f>SUMIF('Allocation Factors'!$B$3:$B$89,'Accumulated Deferred Income Tax'!AA154,'Allocation Factors'!$P$3:$P$89)</f>
        <v>6.230340034346115E-2</v>
      </c>
      <c r="AC154" s="271">
        <f t="shared" si="42"/>
        <v>0</v>
      </c>
      <c r="AD154" s="271">
        <f t="shared" si="43"/>
        <v>0</v>
      </c>
      <c r="AE154" s="30">
        <f t="shared" si="44"/>
        <v>0</v>
      </c>
    </row>
    <row r="155" spans="1:31">
      <c r="A155" s="29">
        <v>287605</v>
      </c>
      <c r="B155" s="29">
        <v>282</v>
      </c>
      <c r="C155" s="28" t="s">
        <v>18</v>
      </c>
      <c r="D155" s="273">
        <v>105.12</v>
      </c>
      <c r="E155" s="318" t="s">
        <v>8</v>
      </c>
      <c r="F155" s="29" t="s">
        <v>9</v>
      </c>
      <c r="G155" s="229">
        <v>2209842346</v>
      </c>
      <c r="H155" s="229">
        <v>2226225951</v>
      </c>
      <c r="I155" s="229">
        <v>2242628923</v>
      </c>
      <c r="J155" s="229">
        <v>2259049649</v>
      </c>
      <c r="K155" s="229">
        <v>2275524604</v>
      </c>
      <c r="L155" s="229">
        <v>2292028755</v>
      </c>
      <c r="M155" s="229">
        <v>2351250809</v>
      </c>
      <c r="N155" s="229">
        <v>2367864337</v>
      </c>
      <c r="O155" s="229">
        <v>2384527343</v>
      </c>
      <c r="P155" s="229">
        <v>2401164846</v>
      </c>
      <c r="Q155" s="229">
        <v>2418415670</v>
      </c>
      <c r="R155" s="229">
        <v>2435086561</v>
      </c>
      <c r="S155" s="229">
        <v>2451775165</v>
      </c>
      <c r="T155" s="229">
        <f t="shared" si="40"/>
        <v>2332048017</v>
      </c>
      <c r="U155" s="229">
        <f t="shared" si="45"/>
        <v>2332048017</v>
      </c>
      <c r="V155" s="356">
        <f t="shared" si="46"/>
        <v>2332048017</v>
      </c>
      <c r="W155" s="229">
        <v>-2332048017</v>
      </c>
      <c r="X155" s="356">
        <f t="shared" si="47"/>
        <v>0</v>
      </c>
      <c r="Y155" s="229">
        <v>0</v>
      </c>
      <c r="Z155" s="229">
        <f t="shared" si="41"/>
        <v>0</v>
      </c>
      <c r="AA155" s="75" t="s">
        <v>239</v>
      </c>
      <c r="AB155" s="270">
        <f>SUMIF('Allocation Factors'!$B$3:$B$89,'Accumulated Deferred Income Tax'!AA155,'Allocation Factors'!$P$3:$P$89)</f>
        <v>6.230340034346115E-2</v>
      </c>
      <c r="AC155" s="271">
        <f t="shared" si="42"/>
        <v>0</v>
      </c>
      <c r="AD155" s="271">
        <f t="shared" si="43"/>
        <v>0</v>
      </c>
      <c r="AE155" s="30">
        <f t="shared" si="44"/>
        <v>0</v>
      </c>
    </row>
    <row r="156" spans="1:31">
      <c r="A156" s="29">
        <v>287605</v>
      </c>
      <c r="B156" s="29">
        <v>282</v>
      </c>
      <c r="C156" s="28" t="s">
        <v>295</v>
      </c>
      <c r="D156" s="273">
        <v>105.122</v>
      </c>
      <c r="E156" s="318" t="s">
        <v>8</v>
      </c>
      <c r="F156" s="29" t="s">
        <v>9</v>
      </c>
      <c r="G156" s="229">
        <v>-360327530</v>
      </c>
      <c r="H156" s="229">
        <v>-362986103</v>
      </c>
      <c r="I156" s="229">
        <v>-365644677</v>
      </c>
      <c r="J156" s="229">
        <v>-368282731</v>
      </c>
      <c r="K156" s="229">
        <v>-371533315</v>
      </c>
      <c r="L156" s="229">
        <v>-374783899</v>
      </c>
      <c r="M156" s="229">
        <v>-379313893</v>
      </c>
      <c r="N156" s="229">
        <v>-382472174</v>
      </c>
      <c r="O156" s="229">
        <v>-385630454</v>
      </c>
      <c r="P156" s="229">
        <v>-388788735</v>
      </c>
      <c r="Q156" s="229">
        <v>-391947016</v>
      </c>
      <c r="R156" s="229">
        <v>-395105297</v>
      </c>
      <c r="S156" s="229">
        <v>-396260949</v>
      </c>
      <c r="T156" s="229">
        <f t="shared" si="40"/>
        <v>-378731878</v>
      </c>
      <c r="U156" s="229">
        <f t="shared" si="45"/>
        <v>-378731878</v>
      </c>
      <c r="V156" s="356">
        <f t="shared" si="46"/>
        <v>-378731878</v>
      </c>
      <c r="W156" s="229">
        <v>378731878</v>
      </c>
      <c r="X156" s="356">
        <f t="shared" si="47"/>
        <v>0</v>
      </c>
      <c r="Y156" s="229">
        <v>0</v>
      </c>
      <c r="Z156" s="229">
        <f t="shared" si="41"/>
        <v>0</v>
      </c>
      <c r="AA156" s="75" t="s">
        <v>239</v>
      </c>
      <c r="AB156" s="270">
        <f>SUMIF('Allocation Factors'!$B$3:$B$89,'Accumulated Deferred Income Tax'!AA156,'Allocation Factors'!$P$3:$P$89)</f>
        <v>6.230340034346115E-2</v>
      </c>
      <c r="AC156" s="271">
        <f t="shared" si="42"/>
        <v>0</v>
      </c>
      <c r="AD156" s="271">
        <f t="shared" si="43"/>
        <v>0</v>
      </c>
      <c r="AE156" s="30">
        <f t="shared" si="44"/>
        <v>0</v>
      </c>
    </row>
    <row r="157" spans="1:31">
      <c r="A157" s="29">
        <v>287605</v>
      </c>
      <c r="B157" s="29">
        <v>282</v>
      </c>
      <c r="C157" s="28" t="s">
        <v>265</v>
      </c>
      <c r="D157" s="273">
        <v>105.123</v>
      </c>
      <c r="E157" s="318" t="s">
        <v>8</v>
      </c>
      <c r="F157" s="29" t="s">
        <v>9</v>
      </c>
      <c r="G157" s="229">
        <v>-154568137</v>
      </c>
      <c r="H157" s="229">
        <v>-154568137</v>
      </c>
      <c r="I157" s="229">
        <v>-154568137</v>
      </c>
      <c r="J157" s="229">
        <v>-154568137</v>
      </c>
      <c r="K157" s="229">
        <v>-154568137</v>
      </c>
      <c r="L157" s="229">
        <v>-154568137</v>
      </c>
      <c r="M157" s="229">
        <v>-154568137</v>
      </c>
      <c r="N157" s="229">
        <v>-154568137</v>
      </c>
      <c r="O157" s="229">
        <v>-154568137</v>
      </c>
      <c r="P157" s="229">
        <v>-154568137</v>
      </c>
      <c r="Q157" s="229">
        <v>-154568137</v>
      </c>
      <c r="R157" s="229">
        <v>-154568137</v>
      </c>
      <c r="S157" s="229">
        <v>-154568137</v>
      </c>
      <c r="T157" s="229">
        <f t="shared" si="40"/>
        <v>-154568137</v>
      </c>
      <c r="U157" s="229">
        <f t="shared" si="45"/>
        <v>-154568137</v>
      </c>
      <c r="V157" s="356">
        <f t="shared" si="46"/>
        <v>-154568137</v>
      </c>
      <c r="W157" s="229">
        <v>154568137</v>
      </c>
      <c r="X157" s="356">
        <f t="shared" si="47"/>
        <v>0</v>
      </c>
      <c r="Y157" s="229">
        <v>0</v>
      </c>
      <c r="Z157" s="229">
        <f t="shared" si="41"/>
        <v>0</v>
      </c>
      <c r="AA157" s="75" t="s">
        <v>239</v>
      </c>
      <c r="AB157" s="270">
        <f>SUMIF('Allocation Factors'!$B$3:$B$89,'Accumulated Deferred Income Tax'!AA157,'Allocation Factors'!$P$3:$P$89)</f>
        <v>6.230340034346115E-2</v>
      </c>
      <c r="AC157" s="271">
        <f t="shared" si="42"/>
        <v>0</v>
      </c>
      <c r="AD157" s="271">
        <f t="shared" si="43"/>
        <v>0</v>
      </c>
      <c r="AE157" s="30">
        <f t="shared" si="44"/>
        <v>0</v>
      </c>
    </row>
    <row r="158" spans="1:31">
      <c r="A158" s="29">
        <v>287605</v>
      </c>
      <c r="B158" s="29">
        <v>282</v>
      </c>
      <c r="C158" s="28" t="s">
        <v>44</v>
      </c>
      <c r="D158" s="273">
        <v>105.125</v>
      </c>
      <c r="E158" s="318" t="s">
        <v>8</v>
      </c>
      <c r="F158" s="29" t="s">
        <v>9</v>
      </c>
      <c r="G158" s="229">
        <v>-4533440591</v>
      </c>
      <c r="H158" s="229">
        <v>-4544842896</v>
      </c>
      <c r="I158" s="229">
        <v>-4556319475</v>
      </c>
      <c r="J158" s="229">
        <v>-4582804835</v>
      </c>
      <c r="K158" s="229">
        <v>-4603079873</v>
      </c>
      <c r="L158" s="229">
        <v>-4616386318</v>
      </c>
      <c r="M158" s="229">
        <v>-4621421012</v>
      </c>
      <c r="N158" s="229">
        <v>-4633316430</v>
      </c>
      <c r="O158" s="229">
        <v>-4645276910</v>
      </c>
      <c r="P158" s="229">
        <v>-4657122534</v>
      </c>
      <c r="Q158" s="229">
        <v>-4671728926</v>
      </c>
      <c r="R158" s="229">
        <v>-4686289554</v>
      </c>
      <c r="S158" s="229">
        <v>-4692415001</v>
      </c>
      <c r="T158" s="229">
        <f t="shared" si="40"/>
        <v>-4619293047</v>
      </c>
      <c r="U158" s="229">
        <f t="shared" si="45"/>
        <v>-4619293047</v>
      </c>
      <c r="V158" s="356">
        <f t="shared" si="46"/>
        <v>-4619293047</v>
      </c>
      <c r="W158" s="229">
        <v>4619293047</v>
      </c>
      <c r="X158" s="356">
        <f t="shared" si="47"/>
        <v>0</v>
      </c>
      <c r="Y158" s="229">
        <v>0</v>
      </c>
      <c r="Z158" s="229">
        <f t="shared" si="41"/>
        <v>0</v>
      </c>
      <c r="AA158" s="75" t="s">
        <v>239</v>
      </c>
      <c r="AB158" s="270">
        <f>SUMIF('Allocation Factors'!$B$3:$B$89,'Accumulated Deferred Income Tax'!AA158,'Allocation Factors'!$P$3:$P$89)</f>
        <v>6.230340034346115E-2</v>
      </c>
      <c r="AC158" s="271">
        <f t="shared" si="42"/>
        <v>0</v>
      </c>
      <c r="AD158" s="271">
        <f t="shared" si="43"/>
        <v>0</v>
      </c>
      <c r="AE158" s="30">
        <f t="shared" si="44"/>
        <v>0</v>
      </c>
    </row>
    <row r="159" spans="1:31">
      <c r="A159" s="29">
        <v>287605</v>
      </c>
      <c r="B159" s="29">
        <v>282</v>
      </c>
      <c r="C159" s="28" t="s">
        <v>608</v>
      </c>
      <c r="D159" s="273">
        <v>105.129</v>
      </c>
      <c r="E159" s="318" t="s">
        <v>8</v>
      </c>
      <c r="F159" s="29" t="s">
        <v>9</v>
      </c>
      <c r="G159" s="229">
        <v>25920472</v>
      </c>
      <c r="H159" s="229">
        <v>25730177</v>
      </c>
      <c r="I159" s="229">
        <v>25539883</v>
      </c>
      <c r="J159" s="229">
        <v>25668339</v>
      </c>
      <c r="K159" s="229">
        <v>25449996</v>
      </c>
      <c r="L159" s="229">
        <v>28774275</v>
      </c>
      <c r="M159" s="229">
        <v>28439010</v>
      </c>
      <c r="N159" s="229">
        <v>28261986</v>
      </c>
      <c r="O159" s="229">
        <v>28084962</v>
      </c>
      <c r="P159" s="229">
        <v>28026489</v>
      </c>
      <c r="Q159" s="229">
        <v>27858806</v>
      </c>
      <c r="R159" s="229">
        <v>27691123</v>
      </c>
      <c r="S159" s="229">
        <v>27437219</v>
      </c>
      <c r="T159" s="229">
        <f t="shared" si="40"/>
        <v>27183658</v>
      </c>
      <c r="U159" s="229">
        <f t="shared" si="45"/>
        <v>27183658</v>
      </c>
      <c r="V159" s="356">
        <f t="shared" si="46"/>
        <v>27183658</v>
      </c>
      <c r="W159" s="229">
        <v>-27183658</v>
      </c>
      <c r="X159" s="356">
        <f t="shared" si="47"/>
        <v>0</v>
      </c>
      <c r="Y159" s="229">
        <v>0</v>
      </c>
      <c r="Z159" s="229">
        <f t="shared" si="41"/>
        <v>0</v>
      </c>
      <c r="AA159" s="75" t="s">
        <v>239</v>
      </c>
      <c r="AB159" s="270">
        <f>SUMIF('Allocation Factors'!$B$3:$B$89,'Accumulated Deferred Income Tax'!AA159,'Allocation Factors'!$P$3:$P$89)</f>
        <v>6.230340034346115E-2</v>
      </c>
      <c r="AC159" s="271">
        <f t="shared" si="42"/>
        <v>0</v>
      </c>
      <c r="AD159" s="271">
        <f t="shared" si="43"/>
        <v>0</v>
      </c>
      <c r="AE159" s="30">
        <f t="shared" si="44"/>
        <v>0</v>
      </c>
    </row>
    <row r="160" spans="1:31">
      <c r="A160" s="29">
        <v>287605</v>
      </c>
      <c r="B160" s="29">
        <v>282</v>
      </c>
      <c r="C160" s="28" t="s">
        <v>608</v>
      </c>
      <c r="D160" s="273">
        <v>105.129</v>
      </c>
      <c r="E160" s="318" t="s">
        <v>8</v>
      </c>
      <c r="F160" s="29" t="s">
        <v>9</v>
      </c>
      <c r="G160" s="229">
        <v>-5443283</v>
      </c>
      <c r="H160" s="229">
        <v>-5403322</v>
      </c>
      <c r="I160" s="229">
        <v>-5363360</v>
      </c>
      <c r="J160" s="229">
        <v>-5390335</v>
      </c>
      <c r="K160" s="229">
        <v>-5344483</v>
      </c>
      <c r="L160" s="229">
        <v>-6042582</v>
      </c>
      <c r="M160" s="229">
        <v>-5972176</v>
      </c>
      <c r="N160" s="229">
        <v>-5935001</v>
      </c>
      <c r="O160" s="229">
        <v>-5897826</v>
      </c>
      <c r="P160" s="229">
        <v>-5885547</v>
      </c>
      <c r="Q160" s="229">
        <v>-5850334</v>
      </c>
      <c r="R160" s="229">
        <v>-5815120</v>
      </c>
      <c r="S160" s="229">
        <v>-5761800</v>
      </c>
      <c r="T160" s="229">
        <f t="shared" si="40"/>
        <v>-5708552</v>
      </c>
      <c r="U160" s="229">
        <f t="shared" si="45"/>
        <v>-5708552</v>
      </c>
      <c r="V160" s="356">
        <f t="shared" si="46"/>
        <v>-5708552</v>
      </c>
      <c r="W160" s="229">
        <v>5708552</v>
      </c>
      <c r="X160" s="356">
        <f t="shared" si="47"/>
        <v>0</v>
      </c>
      <c r="Y160" s="229">
        <v>0</v>
      </c>
      <c r="Z160" s="229">
        <f t="shared" si="41"/>
        <v>0</v>
      </c>
      <c r="AA160" s="75" t="s">
        <v>239</v>
      </c>
      <c r="AB160" s="270">
        <f>SUMIF('Allocation Factors'!$B$3:$B$89,'Accumulated Deferred Income Tax'!AA160,'Allocation Factors'!$P$3:$P$89)</f>
        <v>6.230340034346115E-2</v>
      </c>
      <c r="AC160" s="271">
        <f t="shared" si="42"/>
        <v>0</v>
      </c>
      <c r="AD160" s="271">
        <f t="shared" si="43"/>
        <v>0</v>
      </c>
      <c r="AE160" s="30">
        <f t="shared" si="44"/>
        <v>0</v>
      </c>
    </row>
    <row r="161" spans="1:31">
      <c r="A161" s="29">
        <v>287605</v>
      </c>
      <c r="B161" s="29">
        <v>282</v>
      </c>
      <c r="C161" s="28" t="s">
        <v>262</v>
      </c>
      <c r="D161" s="273">
        <v>105.13</v>
      </c>
      <c r="E161" s="318" t="s">
        <v>8</v>
      </c>
      <c r="F161" s="29" t="s">
        <v>9</v>
      </c>
      <c r="G161" s="229">
        <v>229767147</v>
      </c>
      <c r="H161" s="229">
        <v>231587328</v>
      </c>
      <c r="I161" s="229">
        <v>233407508</v>
      </c>
      <c r="J161" s="229">
        <v>233195860</v>
      </c>
      <c r="K161" s="229">
        <v>234790281</v>
      </c>
      <c r="L161" s="229">
        <v>236384703</v>
      </c>
      <c r="M161" s="229">
        <v>245315425</v>
      </c>
      <c r="N161" s="229">
        <v>247070126</v>
      </c>
      <c r="O161" s="229">
        <v>248824826</v>
      </c>
      <c r="P161" s="229">
        <v>250985295</v>
      </c>
      <c r="Q161" s="229">
        <v>252875251</v>
      </c>
      <c r="R161" s="229">
        <v>254765208</v>
      </c>
      <c r="S161" s="229">
        <v>255020764</v>
      </c>
      <c r="T161" s="229">
        <f t="shared" si="40"/>
        <v>242632981</v>
      </c>
      <c r="U161" s="229">
        <f t="shared" si="45"/>
        <v>242632981</v>
      </c>
      <c r="V161" s="356">
        <f t="shared" si="46"/>
        <v>242632981</v>
      </c>
      <c r="W161" s="229">
        <v>-242632981</v>
      </c>
      <c r="X161" s="356">
        <f t="shared" si="47"/>
        <v>0</v>
      </c>
      <c r="Y161" s="229">
        <v>0</v>
      </c>
      <c r="Z161" s="229">
        <f t="shared" si="41"/>
        <v>0</v>
      </c>
      <c r="AA161" s="75" t="s">
        <v>239</v>
      </c>
      <c r="AB161" s="270">
        <f>SUMIF('Allocation Factors'!$B$3:$B$89,'Accumulated Deferred Income Tax'!AA161,'Allocation Factors'!$P$3:$P$89)</f>
        <v>6.230340034346115E-2</v>
      </c>
      <c r="AC161" s="271">
        <f t="shared" si="42"/>
        <v>0</v>
      </c>
      <c r="AD161" s="271">
        <f t="shared" si="43"/>
        <v>0</v>
      </c>
      <c r="AE161" s="30">
        <f t="shared" si="44"/>
        <v>0</v>
      </c>
    </row>
    <row r="162" spans="1:31">
      <c r="A162" s="29">
        <v>287605</v>
      </c>
      <c r="B162" s="29">
        <v>282</v>
      </c>
      <c r="C162" s="28" t="s">
        <v>306</v>
      </c>
      <c r="D162" s="273">
        <v>105.13500000000001</v>
      </c>
      <c r="E162" s="318" t="s">
        <v>8</v>
      </c>
      <c r="F162" s="276" t="s">
        <v>9</v>
      </c>
      <c r="G162" s="229">
        <v>306439</v>
      </c>
      <c r="H162" s="229">
        <v>306439</v>
      </c>
      <c r="I162" s="229">
        <v>306439</v>
      </c>
      <c r="J162" s="229">
        <v>306439</v>
      </c>
      <c r="K162" s="229">
        <v>306439</v>
      </c>
      <c r="L162" s="229">
        <v>306439</v>
      </c>
      <c r="M162" s="229">
        <v>-2846881</v>
      </c>
      <c r="N162" s="229">
        <v>-2846881</v>
      </c>
      <c r="O162" s="229">
        <v>-2846881</v>
      </c>
      <c r="P162" s="229">
        <v>-2846881</v>
      </c>
      <c r="Q162" s="229">
        <v>-2846881</v>
      </c>
      <c r="R162" s="229">
        <v>-2846881</v>
      </c>
      <c r="S162" s="229">
        <v>-2846881</v>
      </c>
      <c r="T162" s="229">
        <f t="shared" si="40"/>
        <v>-1401609</v>
      </c>
      <c r="U162" s="229">
        <f t="shared" si="45"/>
        <v>-1401609</v>
      </c>
      <c r="V162" s="356">
        <f t="shared" si="46"/>
        <v>-1401609</v>
      </c>
      <c r="W162" s="229">
        <v>1401609</v>
      </c>
      <c r="X162" s="356">
        <f t="shared" si="47"/>
        <v>0</v>
      </c>
      <c r="Y162" s="229">
        <v>0</v>
      </c>
      <c r="Z162" s="229">
        <f t="shared" si="41"/>
        <v>0</v>
      </c>
      <c r="AA162" s="75" t="s">
        <v>239</v>
      </c>
      <c r="AB162" s="270">
        <f>SUMIF('Allocation Factors'!$B$3:$B$89,'Accumulated Deferred Income Tax'!AA162,'Allocation Factors'!$P$3:$P$89)</f>
        <v>6.230340034346115E-2</v>
      </c>
      <c r="AC162" s="271">
        <f t="shared" si="42"/>
        <v>0</v>
      </c>
      <c r="AD162" s="271">
        <f t="shared" si="43"/>
        <v>0</v>
      </c>
      <c r="AE162" s="30">
        <f t="shared" si="44"/>
        <v>0</v>
      </c>
    </row>
    <row r="163" spans="1:31">
      <c r="A163" s="29">
        <v>286605</v>
      </c>
      <c r="B163" s="29">
        <v>282</v>
      </c>
      <c r="C163" s="90" t="s">
        <v>384</v>
      </c>
      <c r="D163" s="273">
        <v>105.136</v>
      </c>
      <c r="E163" s="318" t="s">
        <v>8</v>
      </c>
      <c r="F163" s="276" t="s">
        <v>9</v>
      </c>
      <c r="G163" s="229">
        <v>-329855</v>
      </c>
      <c r="H163" s="229">
        <v>-383923</v>
      </c>
      <c r="I163" s="229">
        <v>-383923</v>
      </c>
      <c r="J163" s="229">
        <v>-383923</v>
      </c>
      <c r="K163" s="229">
        <v>-383923</v>
      </c>
      <c r="L163" s="229">
        <v>-383923</v>
      </c>
      <c r="M163" s="229">
        <v>-383923</v>
      </c>
      <c r="N163" s="229">
        <v>-383923</v>
      </c>
      <c r="O163" s="229">
        <v>-383923</v>
      </c>
      <c r="P163" s="229">
        <v>-383923</v>
      </c>
      <c r="Q163" s="229">
        <v>-383923</v>
      </c>
      <c r="R163" s="229">
        <v>-383923</v>
      </c>
      <c r="S163" s="229">
        <v>-383923</v>
      </c>
      <c r="T163" s="229">
        <f t="shared" si="40"/>
        <v>-381670</v>
      </c>
      <c r="U163" s="229">
        <f t="shared" si="45"/>
        <v>-381670</v>
      </c>
      <c r="V163" s="356">
        <f t="shared" si="46"/>
        <v>-381670</v>
      </c>
      <c r="W163" s="229">
        <v>381670</v>
      </c>
      <c r="X163" s="356">
        <f t="shared" si="47"/>
        <v>0</v>
      </c>
      <c r="Y163" s="229">
        <v>0</v>
      </c>
      <c r="Z163" s="229">
        <f t="shared" si="41"/>
        <v>0</v>
      </c>
      <c r="AA163" s="276" t="s">
        <v>239</v>
      </c>
      <c r="AB163" s="270">
        <f>SUMIF('Allocation Factors'!$B$3:$B$89,'Accumulated Deferred Income Tax'!AA163,'Allocation Factors'!$P$3:$P$89)</f>
        <v>6.230340034346115E-2</v>
      </c>
      <c r="AC163" s="271">
        <f t="shared" si="42"/>
        <v>0</v>
      </c>
      <c r="AD163" s="271">
        <f t="shared" si="43"/>
        <v>0</v>
      </c>
      <c r="AE163" s="30">
        <f t="shared" si="44"/>
        <v>0</v>
      </c>
    </row>
    <row r="164" spans="1:31">
      <c r="A164" s="29">
        <v>287605</v>
      </c>
      <c r="B164" s="29">
        <v>282</v>
      </c>
      <c r="C164" s="28" t="s">
        <v>46</v>
      </c>
      <c r="D164" s="273">
        <v>105.137</v>
      </c>
      <c r="E164" s="318" t="s">
        <v>8</v>
      </c>
      <c r="F164" s="29" t="s">
        <v>9</v>
      </c>
      <c r="G164" s="229">
        <v>-16886579</v>
      </c>
      <c r="H164" s="229">
        <v>-16886579</v>
      </c>
      <c r="I164" s="229">
        <v>-16886579</v>
      </c>
      <c r="J164" s="229">
        <v>-16886579</v>
      </c>
      <c r="K164" s="229">
        <v>-16886579</v>
      </c>
      <c r="L164" s="229">
        <v>-16886579</v>
      </c>
      <c r="M164" s="229">
        <v>-18356159</v>
      </c>
      <c r="N164" s="229">
        <v>-18356159</v>
      </c>
      <c r="O164" s="229">
        <v>-18356159</v>
      </c>
      <c r="P164" s="229">
        <v>-18356159</v>
      </c>
      <c r="Q164" s="229">
        <v>-18356159</v>
      </c>
      <c r="R164" s="229">
        <v>-18356159</v>
      </c>
      <c r="S164" s="229">
        <v>-18356159</v>
      </c>
      <c r="T164" s="229">
        <f t="shared" si="40"/>
        <v>-17682602</v>
      </c>
      <c r="U164" s="229">
        <f t="shared" si="45"/>
        <v>-17682602</v>
      </c>
      <c r="V164" s="356">
        <f t="shared" si="46"/>
        <v>-17682602</v>
      </c>
      <c r="W164" s="229">
        <v>17682602</v>
      </c>
      <c r="X164" s="356">
        <f t="shared" si="47"/>
        <v>0</v>
      </c>
      <c r="Y164" s="229">
        <v>0</v>
      </c>
      <c r="Z164" s="229">
        <f t="shared" si="41"/>
        <v>0</v>
      </c>
      <c r="AA164" s="75" t="s">
        <v>239</v>
      </c>
      <c r="AB164" s="270">
        <f>SUMIF('Allocation Factors'!$B$3:$B$89,'Accumulated Deferred Income Tax'!AA164,'Allocation Factors'!$P$3:$P$89)</f>
        <v>6.230340034346115E-2</v>
      </c>
      <c r="AC164" s="271">
        <f t="shared" si="42"/>
        <v>0</v>
      </c>
      <c r="AD164" s="271">
        <f t="shared" si="43"/>
        <v>0</v>
      </c>
      <c r="AE164" s="30">
        <f t="shared" si="44"/>
        <v>0</v>
      </c>
    </row>
    <row r="165" spans="1:31">
      <c r="A165" s="29">
        <v>287605</v>
      </c>
      <c r="B165" s="29">
        <v>282</v>
      </c>
      <c r="C165" s="28" t="s">
        <v>296</v>
      </c>
      <c r="D165" s="273">
        <v>105.14</v>
      </c>
      <c r="E165" s="318" t="s">
        <v>8</v>
      </c>
      <c r="F165" s="29" t="s">
        <v>9</v>
      </c>
      <c r="G165" s="229">
        <v>21156038</v>
      </c>
      <c r="H165" s="229">
        <v>21156038</v>
      </c>
      <c r="I165" s="229">
        <v>21156038</v>
      </c>
      <c r="J165" s="229">
        <v>21156038</v>
      </c>
      <c r="K165" s="229">
        <v>21156038</v>
      </c>
      <c r="L165" s="229">
        <v>21156038</v>
      </c>
      <c r="M165" s="229">
        <v>21672077</v>
      </c>
      <c r="N165" s="229">
        <v>21672077</v>
      </c>
      <c r="O165" s="229">
        <v>21672077</v>
      </c>
      <c r="P165" s="229">
        <v>21672077</v>
      </c>
      <c r="Q165" s="229">
        <v>21672077</v>
      </c>
      <c r="R165" s="229">
        <v>21672077</v>
      </c>
      <c r="S165" s="229">
        <v>21672077</v>
      </c>
      <c r="T165" s="229">
        <f t="shared" si="40"/>
        <v>21435559</v>
      </c>
      <c r="U165" s="229">
        <f t="shared" si="45"/>
        <v>21435559</v>
      </c>
      <c r="V165" s="356">
        <f t="shared" si="46"/>
        <v>21435559</v>
      </c>
      <c r="W165" s="229">
        <v>-21435559</v>
      </c>
      <c r="X165" s="356">
        <f t="shared" si="47"/>
        <v>0</v>
      </c>
      <c r="Y165" s="229">
        <v>0</v>
      </c>
      <c r="Z165" s="229">
        <f t="shared" si="41"/>
        <v>0</v>
      </c>
      <c r="AA165" s="75" t="s">
        <v>239</v>
      </c>
      <c r="AB165" s="270">
        <f>SUMIF('Allocation Factors'!$B$3:$B$89,'Accumulated Deferred Income Tax'!AA165,'Allocation Factors'!$P$3:$P$89)</f>
        <v>6.230340034346115E-2</v>
      </c>
      <c r="AC165" s="271">
        <f t="shared" si="42"/>
        <v>0</v>
      </c>
      <c r="AD165" s="271">
        <f t="shared" si="43"/>
        <v>0</v>
      </c>
      <c r="AE165" s="30">
        <f t="shared" si="44"/>
        <v>0</v>
      </c>
    </row>
    <row r="166" spans="1:31">
      <c r="A166" s="29">
        <v>287605</v>
      </c>
      <c r="B166" s="29">
        <v>282</v>
      </c>
      <c r="C166" s="90" t="s">
        <v>509</v>
      </c>
      <c r="D166" s="352" t="s">
        <v>312</v>
      </c>
      <c r="E166" s="318" t="s">
        <v>8</v>
      </c>
      <c r="F166" s="29" t="s">
        <v>9</v>
      </c>
      <c r="G166" s="229">
        <v>-160474681</v>
      </c>
      <c r="H166" s="229">
        <v>-160860680</v>
      </c>
      <c r="I166" s="229">
        <v>-161251440</v>
      </c>
      <c r="J166" s="229">
        <v>-161637796</v>
      </c>
      <c r="K166" s="229">
        <v>-162077800</v>
      </c>
      <c r="L166" s="229">
        <v>-162523741</v>
      </c>
      <c r="M166" s="229">
        <v>-163018214</v>
      </c>
      <c r="N166" s="229">
        <v>-163596540</v>
      </c>
      <c r="O166" s="229">
        <v>-164140835</v>
      </c>
      <c r="P166" s="229">
        <v>-164723846</v>
      </c>
      <c r="Q166" s="229">
        <v>-165355511</v>
      </c>
      <c r="R166" s="229">
        <v>-166034770</v>
      </c>
      <c r="S166" s="229">
        <v>-166717445</v>
      </c>
      <c r="T166" s="229">
        <f t="shared" si="40"/>
        <v>-163234770</v>
      </c>
      <c r="U166" s="229">
        <f t="shared" si="45"/>
        <v>-163234770</v>
      </c>
      <c r="V166" s="356">
        <f t="shared" si="46"/>
        <v>-163234770</v>
      </c>
      <c r="W166" s="229">
        <v>163234770</v>
      </c>
      <c r="X166" s="356">
        <f t="shared" si="47"/>
        <v>0</v>
      </c>
      <c r="Y166" s="229">
        <v>0</v>
      </c>
      <c r="Z166" s="229">
        <f t="shared" si="41"/>
        <v>0</v>
      </c>
      <c r="AA166" s="75" t="s">
        <v>239</v>
      </c>
      <c r="AB166" s="270">
        <f>SUMIF('Allocation Factors'!$B$3:$B$89,'Accumulated Deferred Income Tax'!AA166,'Allocation Factors'!$P$3:$P$89)</f>
        <v>6.230340034346115E-2</v>
      </c>
      <c r="AC166" s="271">
        <f t="shared" si="42"/>
        <v>0</v>
      </c>
      <c r="AD166" s="271">
        <f t="shared" si="43"/>
        <v>0</v>
      </c>
      <c r="AE166" s="30">
        <f t="shared" si="44"/>
        <v>0</v>
      </c>
    </row>
    <row r="167" spans="1:31">
      <c r="A167" s="29">
        <v>287605</v>
      </c>
      <c r="B167" s="29">
        <v>282</v>
      </c>
      <c r="C167" s="90" t="s">
        <v>317</v>
      </c>
      <c r="D167" s="352" t="s">
        <v>313</v>
      </c>
      <c r="E167" s="318" t="s">
        <v>8</v>
      </c>
      <c r="F167" s="29" t="s">
        <v>9</v>
      </c>
      <c r="G167" s="229">
        <v>-75128721</v>
      </c>
      <c r="H167" s="229">
        <v>-75856002</v>
      </c>
      <c r="I167" s="229">
        <v>-76590604</v>
      </c>
      <c r="J167" s="229">
        <v>-77315401</v>
      </c>
      <c r="K167" s="229">
        <v>-78146318</v>
      </c>
      <c r="L167" s="229">
        <v>-78987273</v>
      </c>
      <c r="M167" s="229">
        <v>-79920415</v>
      </c>
      <c r="N167" s="229">
        <v>-81041700</v>
      </c>
      <c r="O167" s="229">
        <v>-82125580</v>
      </c>
      <c r="P167" s="229">
        <v>-83286968</v>
      </c>
      <c r="Q167" s="229">
        <v>-84535177</v>
      </c>
      <c r="R167" s="229">
        <v>-85882704</v>
      </c>
      <c r="S167" s="229">
        <v>-87253456</v>
      </c>
      <c r="T167" s="229">
        <f t="shared" si="40"/>
        <v>-80406603</v>
      </c>
      <c r="U167" s="229">
        <f t="shared" si="45"/>
        <v>-80406603</v>
      </c>
      <c r="V167" s="356">
        <f t="shared" si="46"/>
        <v>-80406603</v>
      </c>
      <c r="W167" s="229">
        <v>80406603</v>
      </c>
      <c r="X167" s="356">
        <f t="shared" si="47"/>
        <v>0</v>
      </c>
      <c r="Y167" s="229">
        <v>0</v>
      </c>
      <c r="Z167" s="229">
        <f t="shared" si="41"/>
        <v>0</v>
      </c>
      <c r="AA167" s="276" t="s">
        <v>239</v>
      </c>
      <c r="AB167" s="270">
        <f>SUMIF('Allocation Factors'!$B$3:$B$89,'Accumulated Deferred Income Tax'!AA167,'Allocation Factors'!$P$3:$P$89)</f>
        <v>6.230340034346115E-2</v>
      </c>
      <c r="AC167" s="271">
        <f t="shared" si="42"/>
        <v>0</v>
      </c>
      <c r="AD167" s="271">
        <f t="shared" si="43"/>
        <v>0</v>
      </c>
      <c r="AE167" s="30">
        <f t="shared" si="44"/>
        <v>0</v>
      </c>
    </row>
    <row r="168" spans="1:31">
      <c r="A168" s="29">
        <v>287605</v>
      </c>
      <c r="B168" s="29">
        <v>282</v>
      </c>
      <c r="C168" s="28" t="s">
        <v>263</v>
      </c>
      <c r="D168" s="273">
        <v>105.142</v>
      </c>
      <c r="E168" s="318" t="s">
        <v>8</v>
      </c>
      <c r="F168" s="29" t="s">
        <v>9</v>
      </c>
      <c r="G168" s="229">
        <v>158803557</v>
      </c>
      <c r="H168" s="229">
        <v>158970157</v>
      </c>
      <c r="I168" s="229">
        <v>159410286</v>
      </c>
      <c r="J168" s="229">
        <v>160255594</v>
      </c>
      <c r="K168" s="229">
        <v>160810224</v>
      </c>
      <c r="L168" s="229">
        <v>161371825</v>
      </c>
      <c r="M168" s="229">
        <v>163640792</v>
      </c>
      <c r="N168" s="229">
        <v>164382502</v>
      </c>
      <c r="O168" s="229">
        <v>165093038</v>
      </c>
      <c r="P168" s="229">
        <v>166072905</v>
      </c>
      <c r="Q168" s="229">
        <v>166072905</v>
      </c>
      <c r="R168" s="229">
        <v>167559161</v>
      </c>
      <c r="S168" s="229">
        <v>168998307</v>
      </c>
      <c r="T168" s="229">
        <f t="shared" si="40"/>
        <v>163128360</v>
      </c>
      <c r="U168" s="229">
        <f t="shared" si="45"/>
        <v>163128360</v>
      </c>
      <c r="V168" s="356">
        <f t="shared" si="46"/>
        <v>163128360</v>
      </c>
      <c r="W168" s="229">
        <v>-163128360</v>
      </c>
      <c r="X168" s="356">
        <f t="shared" si="47"/>
        <v>0</v>
      </c>
      <c r="Y168" s="229">
        <v>0</v>
      </c>
      <c r="Z168" s="229">
        <f t="shared" si="41"/>
        <v>0</v>
      </c>
      <c r="AA168" s="75" t="s">
        <v>239</v>
      </c>
      <c r="AB168" s="270">
        <f>SUMIF('Allocation Factors'!$B$3:$B$89,'Accumulated Deferred Income Tax'!AA168,'Allocation Factors'!$P$3:$P$89)</f>
        <v>6.230340034346115E-2</v>
      </c>
      <c r="AC168" s="271">
        <f t="shared" si="42"/>
        <v>0</v>
      </c>
      <c r="AD168" s="271">
        <f t="shared" si="43"/>
        <v>0</v>
      </c>
      <c r="AE168" s="30">
        <f t="shared" si="44"/>
        <v>0</v>
      </c>
    </row>
    <row r="169" spans="1:31">
      <c r="A169" s="29">
        <v>287605</v>
      </c>
      <c r="B169" s="29">
        <v>282</v>
      </c>
      <c r="C169" s="28" t="s">
        <v>22</v>
      </c>
      <c r="D169" s="273">
        <v>105.146</v>
      </c>
      <c r="E169" s="318" t="s">
        <v>8</v>
      </c>
      <c r="F169" s="29" t="s">
        <v>9</v>
      </c>
      <c r="G169" s="229">
        <v>3393596</v>
      </c>
      <c r="H169" s="229">
        <v>3393596</v>
      </c>
      <c r="I169" s="229">
        <v>3393596</v>
      </c>
      <c r="J169" s="229">
        <v>3393596</v>
      </c>
      <c r="K169" s="229">
        <v>3393596</v>
      </c>
      <c r="L169" s="229">
        <v>3393596</v>
      </c>
      <c r="M169" s="229">
        <v>3393596</v>
      </c>
      <c r="N169" s="229">
        <v>3393596</v>
      </c>
      <c r="O169" s="229">
        <v>3393596</v>
      </c>
      <c r="P169" s="229">
        <v>3393596</v>
      </c>
      <c r="Q169" s="229">
        <v>3393596</v>
      </c>
      <c r="R169" s="229">
        <v>3393596</v>
      </c>
      <c r="S169" s="229">
        <v>3393596</v>
      </c>
      <c r="T169" s="229">
        <f t="shared" si="40"/>
        <v>3393596</v>
      </c>
      <c r="U169" s="229">
        <f t="shared" si="45"/>
        <v>3393596</v>
      </c>
      <c r="V169" s="356">
        <f t="shared" si="46"/>
        <v>3393596</v>
      </c>
      <c r="W169" s="229">
        <v>-3393596</v>
      </c>
      <c r="X169" s="356">
        <f t="shared" si="47"/>
        <v>0</v>
      </c>
      <c r="Y169" s="229">
        <v>0</v>
      </c>
      <c r="Z169" s="229">
        <f t="shared" si="41"/>
        <v>0</v>
      </c>
      <c r="AA169" s="75" t="s">
        <v>239</v>
      </c>
      <c r="AB169" s="270">
        <f>SUMIF('Allocation Factors'!$B$3:$B$89,'Accumulated Deferred Income Tax'!AA169,'Allocation Factors'!$P$3:$P$89)</f>
        <v>6.230340034346115E-2</v>
      </c>
      <c r="AC169" s="271">
        <f t="shared" si="42"/>
        <v>0</v>
      </c>
      <c r="AD169" s="271">
        <f t="shared" si="43"/>
        <v>0</v>
      </c>
      <c r="AE169" s="30">
        <f t="shared" si="44"/>
        <v>0</v>
      </c>
    </row>
    <row r="170" spans="1:31">
      <c r="A170" s="29">
        <v>287605</v>
      </c>
      <c r="B170" s="29">
        <v>282</v>
      </c>
      <c r="C170" s="28" t="s">
        <v>297</v>
      </c>
      <c r="D170" s="273">
        <v>105.14700000000001</v>
      </c>
      <c r="E170" s="318" t="s">
        <v>8</v>
      </c>
      <c r="F170" s="29" t="s">
        <v>9</v>
      </c>
      <c r="G170" s="229">
        <v>-111999</v>
      </c>
      <c r="H170" s="229">
        <v>-111999</v>
      </c>
      <c r="I170" s="229">
        <v>-111999</v>
      </c>
      <c r="J170" s="229">
        <v>-111999</v>
      </c>
      <c r="K170" s="229">
        <v>-111999</v>
      </c>
      <c r="L170" s="229">
        <v>-111999</v>
      </c>
      <c r="M170" s="229">
        <v>-111999</v>
      </c>
      <c r="N170" s="229">
        <v>-111999</v>
      </c>
      <c r="O170" s="229">
        <v>-111999</v>
      </c>
      <c r="P170" s="229">
        <v>-111999</v>
      </c>
      <c r="Q170" s="229">
        <v>-111999</v>
      </c>
      <c r="R170" s="229">
        <v>-111999</v>
      </c>
      <c r="S170" s="229">
        <v>-111999</v>
      </c>
      <c r="T170" s="229">
        <f t="shared" si="40"/>
        <v>-111999</v>
      </c>
      <c r="U170" s="229">
        <f t="shared" si="45"/>
        <v>-111999</v>
      </c>
      <c r="V170" s="356">
        <f t="shared" si="46"/>
        <v>-111999</v>
      </c>
      <c r="W170" s="229">
        <v>111999</v>
      </c>
      <c r="X170" s="356">
        <f t="shared" si="47"/>
        <v>0</v>
      </c>
      <c r="Y170" s="229">
        <v>0</v>
      </c>
      <c r="Z170" s="229">
        <f t="shared" si="41"/>
        <v>0</v>
      </c>
      <c r="AA170" s="75" t="s">
        <v>239</v>
      </c>
      <c r="AB170" s="270">
        <f>SUMIF('Allocation Factors'!$B$3:$B$89,'Accumulated Deferred Income Tax'!AA170,'Allocation Factors'!$P$3:$P$89)</f>
        <v>6.230340034346115E-2</v>
      </c>
      <c r="AC170" s="271">
        <f t="shared" si="42"/>
        <v>0</v>
      </c>
      <c r="AD170" s="271">
        <f t="shared" si="43"/>
        <v>0</v>
      </c>
      <c r="AE170" s="30">
        <f t="shared" si="44"/>
        <v>0</v>
      </c>
    </row>
    <row r="171" spans="1:31">
      <c r="A171" s="29">
        <v>287605</v>
      </c>
      <c r="B171" s="29">
        <v>282</v>
      </c>
      <c r="C171" s="44" t="s">
        <v>609</v>
      </c>
      <c r="D171" s="273">
        <v>105.148</v>
      </c>
      <c r="E171" s="318" t="s">
        <v>8</v>
      </c>
      <c r="F171" s="269" t="s">
        <v>9</v>
      </c>
      <c r="G171" s="229">
        <v>-306514</v>
      </c>
      <c r="H171" s="229">
        <v>-306514</v>
      </c>
      <c r="I171" s="229">
        <v>-306514</v>
      </c>
      <c r="J171" s="229">
        <v>-306514</v>
      </c>
      <c r="K171" s="229">
        <v>-306514</v>
      </c>
      <c r="L171" s="229">
        <v>-306514</v>
      </c>
      <c r="M171" s="229">
        <v>-306514</v>
      </c>
      <c r="N171" s="229">
        <v>-306514</v>
      </c>
      <c r="O171" s="229">
        <v>-306514</v>
      </c>
      <c r="P171" s="229">
        <v>-306514</v>
      </c>
      <c r="Q171" s="229">
        <v>-306514</v>
      </c>
      <c r="R171" s="229">
        <v>-306514</v>
      </c>
      <c r="S171" s="229">
        <v>-306514</v>
      </c>
      <c r="T171" s="229">
        <f t="shared" si="40"/>
        <v>-306514</v>
      </c>
      <c r="U171" s="229">
        <f t="shared" si="45"/>
        <v>-306514</v>
      </c>
      <c r="V171" s="356">
        <f t="shared" si="46"/>
        <v>-306514</v>
      </c>
      <c r="W171" s="229">
        <v>306514</v>
      </c>
      <c r="X171" s="356">
        <f t="shared" si="47"/>
        <v>0</v>
      </c>
      <c r="Y171" s="229">
        <v>0</v>
      </c>
      <c r="Z171" s="229">
        <f t="shared" si="41"/>
        <v>0</v>
      </c>
      <c r="AA171" s="75" t="s">
        <v>239</v>
      </c>
      <c r="AB171" s="270">
        <f>SUMIF('Allocation Factors'!$B$3:$B$89,'Accumulated Deferred Income Tax'!AA171,'Allocation Factors'!$P$3:$P$89)</f>
        <v>6.230340034346115E-2</v>
      </c>
      <c r="AC171" s="271">
        <f t="shared" si="42"/>
        <v>0</v>
      </c>
      <c r="AD171" s="271">
        <f t="shared" si="43"/>
        <v>0</v>
      </c>
      <c r="AE171" s="30">
        <f t="shared" si="44"/>
        <v>0</v>
      </c>
    </row>
    <row r="172" spans="1:31">
      <c r="A172" s="29">
        <v>287605</v>
      </c>
      <c r="B172" s="29">
        <v>282</v>
      </c>
      <c r="C172" s="44" t="s">
        <v>510</v>
      </c>
      <c r="D172" s="273">
        <v>105.151</v>
      </c>
      <c r="E172" s="318" t="s">
        <v>8</v>
      </c>
      <c r="F172" s="269" t="s">
        <v>9</v>
      </c>
      <c r="G172" s="229">
        <v>-611404</v>
      </c>
      <c r="H172" s="229">
        <v>-577429</v>
      </c>
      <c r="I172" s="229">
        <v>-541958</v>
      </c>
      <c r="J172" s="229">
        <v>-522919</v>
      </c>
      <c r="K172" s="229">
        <v>-512111</v>
      </c>
      <c r="L172" s="229">
        <v>-499772</v>
      </c>
      <c r="M172" s="229">
        <v>-482732</v>
      </c>
      <c r="N172" s="229">
        <v>-468931</v>
      </c>
      <c r="O172" s="229">
        <v>-455717</v>
      </c>
      <c r="P172" s="229">
        <v>-443261</v>
      </c>
      <c r="Q172" s="229">
        <v>-434432</v>
      </c>
      <c r="R172" s="229">
        <v>-423199</v>
      </c>
      <c r="S172" s="229">
        <v>-392585</v>
      </c>
      <c r="T172" s="229">
        <f t="shared" si="40"/>
        <v>-488705</v>
      </c>
      <c r="U172" s="229">
        <f t="shared" si="45"/>
        <v>-488705</v>
      </c>
      <c r="V172" s="356">
        <f t="shared" si="46"/>
        <v>-488705</v>
      </c>
      <c r="W172" s="229">
        <v>488705</v>
      </c>
      <c r="X172" s="356">
        <f t="shared" si="47"/>
        <v>0</v>
      </c>
      <c r="Y172" s="229">
        <v>0</v>
      </c>
      <c r="Z172" s="229">
        <f t="shared" si="41"/>
        <v>0</v>
      </c>
      <c r="AA172" s="75" t="s">
        <v>239</v>
      </c>
      <c r="AB172" s="270">
        <f>SUMIF('Allocation Factors'!$B$3:$B$89,'Accumulated Deferred Income Tax'!AA172,'Allocation Factors'!$P$3:$P$89)</f>
        <v>6.230340034346115E-2</v>
      </c>
      <c r="AC172" s="271">
        <f t="shared" si="42"/>
        <v>0</v>
      </c>
      <c r="AD172" s="271">
        <f t="shared" si="43"/>
        <v>0</v>
      </c>
      <c r="AE172" s="30">
        <f t="shared" si="44"/>
        <v>0</v>
      </c>
    </row>
    <row r="173" spans="1:31">
      <c r="A173" s="29">
        <v>287605</v>
      </c>
      <c r="B173" s="29">
        <v>282</v>
      </c>
      <c r="C173" s="28" t="s">
        <v>48</v>
      </c>
      <c r="D173" s="273">
        <v>105.152</v>
      </c>
      <c r="E173" s="318" t="s">
        <v>8</v>
      </c>
      <c r="F173" s="29" t="s">
        <v>9</v>
      </c>
      <c r="G173" s="229">
        <v>-56439564</v>
      </c>
      <c r="H173" s="229">
        <v>-56563201</v>
      </c>
      <c r="I173" s="229">
        <v>-56686838</v>
      </c>
      <c r="J173" s="229">
        <v>-56992384</v>
      </c>
      <c r="K173" s="229">
        <v>-57136234</v>
      </c>
      <c r="L173" s="229">
        <v>-57280083</v>
      </c>
      <c r="M173" s="229">
        <v>-58128730</v>
      </c>
      <c r="N173" s="229">
        <v>-58516800</v>
      </c>
      <c r="O173" s="229">
        <v>-58904870</v>
      </c>
      <c r="P173" s="229">
        <v>-59528487</v>
      </c>
      <c r="Q173" s="229">
        <v>-59995072</v>
      </c>
      <c r="R173" s="229">
        <v>-60461658</v>
      </c>
      <c r="S173" s="229">
        <v>-60398946</v>
      </c>
      <c r="T173" s="229">
        <f t="shared" si="40"/>
        <v>-58217801</v>
      </c>
      <c r="U173" s="229">
        <f t="shared" si="45"/>
        <v>-58217801</v>
      </c>
      <c r="V173" s="356">
        <f t="shared" si="46"/>
        <v>-58217801</v>
      </c>
      <c r="W173" s="229">
        <v>58217801</v>
      </c>
      <c r="X173" s="356">
        <f t="shared" si="47"/>
        <v>0</v>
      </c>
      <c r="Y173" s="229">
        <v>0</v>
      </c>
      <c r="Z173" s="229">
        <f t="shared" si="41"/>
        <v>0</v>
      </c>
      <c r="AA173" s="75" t="s">
        <v>239</v>
      </c>
      <c r="AB173" s="270">
        <f>SUMIF('Allocation Factors'!$B$3:$B$89,'Accumulated Deferred Income Tax'!AA173,'Allocation Factors'!$P$3:$P$89)</f>
        <v>6.230340034346115E-2</v>
      </c>
      <c r="AC173" s="271">
        <f t="shared" si="42"/>
        <v>0</v>
      </c>
      <c r="AD173" s="271">
        <f t="shared" si="43"/>
        <v>0</v>
      </c>
      <c r="AE173" s="30">
        <f t="shared" si="44"/>
        <v>0</v>
      </c>
    </row>
    <row r="174" spans="1:31">
      <c r="A174" s="29">
        <v>287605</v>
      </c>
      <c r="B174" s="29">
        <v>282</v>
      </c>
      <c r="C174" s="90" t="s">
        <v>376</v>
      </c>
      <c r="D174" s="273">
        <v>105.15300000000001</v>
      </c>
      <c r="E174" s="318" t="s">
        <v>8</v>
      </c>
      <c r="F174" s="29" t="s">
        <v>9</v>
      </c>
      <c r="G174" s="229">
        <v>-156670</v>
      </c>
      <c r="H174" s="229">
        <v>-156670</v>
      </c>
      <c r="I174" s="229">
        <v>-156670</v>
      </c>
      <c r="J174" s="229">
        <v>-156670</v>
      </c>
      <c r="K174" s="229">
        <v>-156670</v>
      </c>
      <c r="L174" s="229">
        <v>-156670</v>
      </c>
      <c r="M174" s="229">
        <v>-127166</v>
      </c>
      <c r="N174" s="229">
        <v>-127166</v>
      </c>
      <c r="O174" s="229">
        <v>-127043</v>
      </c>
      <c r="P174" s="229">
        <v>-127043</v>
      </c>
      <c r="Q174" s="229">
        <v>-127043</v>
      </c>
      <c r="R174" s="229">
        <v>-127043</v>
      </c>
      <c r="S174" s="229">
        <v>-125981</v>
      </c>
      <c r="T174" s="229">
        <f t="shared" si="40"/>
        <v>-140598</v>
      </c>
      <c r="U174" s="229">
        <f t="shared" si="45"/>
        <v>-140598</v>
      </c>
      <c r="V174" s="356">
        <f t="shared" si="46"/>
        <v>-140598</v>
      </c>
      <c r="W174" s="229">
        <v>140598</v>
      </c>
      <c r="X174" s="356">
        <f t="shared" si="47"/>
        <v>0</v>
      </c>
      <c r="Y174" s="229">
        <v>0</v>
      </c>
      <c r="Z174" s="229">
        <f t="shared" si="41"/>
        <v>0</v>
      </c>
      <c r="AA174" s="75" t="s">
        <v>239</v>
      </c>
      <c r="AB174" s="270">
        <f>SUMIF('Allocation Factors'!$B$3:$B$89,'Accumulated Deferred Income Tax'!AA174,'Allocation Factors'!$P$3:$P$89)</f>
        <v>6.230340034346115E-2</v>
      </c>
      <c r="AC174" s="271">
        <f t="shared" si="42"/>
        <v>0</v>
      </c>
      <c r="AD174" s="271">
        <f t="shared" si="43"/>
        <v>0</v>
      </c>
      <c r="AE174" s="30">
        <f t="shared" si="44"/>
        <v>0</v>
      </c>
    </row>
    <row r="175" spans="1:31" s="201" customFormat="1">
      <c r="A175" s="29">
        <v>287605</v>
      </c>
      <c r="B175" s="29">
        <v>282</v>
      </c>
      <c r="C175" s="90" t="s">
        <v>610</v>
      </c>
      <c r="D175" s="273">
        <v>105.158</v>
      </c>
      <c r="E175" s="318" t="s">
        <v>8</v>
      </c>
      <c r="F175" s="29" t="s">
        <v>9</v>
      </c>
      <c r="G175" s="229">
        <v>188787</v>
      </c>
      <c r="H175" s="229">
        <v>188275</v>
      </c>
      <c r="I175" s="229">
        <v>187841</v>
      </c>
      <c r="J175" s="229">
        <v>187593</v>
      </c>
      <c r="K175" s="229">
        <v>187429</v>
      </c>
      <c r="L175" s="229">
        <v>187185</v>
      </c>
      <c r="M175" s="229">
        <v>186877</v>
      </c>
      <c r="N175" s="229">
        <v>186570</v>
      </c>
      <c r="O175" s="229">
        <v>186360</v>
      </c>
      <c r="P175" s="229">
        <v>186151</v>
      </c>
      <c r="Q175" s="229">
        <v>185996</v>
      </c>
      <c r="R175" s="229">
        <v>185774</v>
      </c>
      <c r="S175" s="229">
        <v>185420</v>
      </c>
      <c r="T175" s="229">
        <f t="shared" si="40"/>
        <v>186930</v>
      </c>
      <c r="U175" s="229">
        <f t="shared" si="45"/>
        <v>186930</v>
      </c>
      <c r="V175" s="356">
        <f t="shared" si="46"/>
        <v>186930</v>
      </c>
      <c r="W175" s="229">
        <v>-186930</v>
      </c>
      <c r="X175" s="356">
        <f t="shared" si="47"/>
        <v>0</v>
      </c>
      <c r="Y175" s="229">
        <v>0</v>
      </c>
      <c r="Z175" s="229">
        <f t="shared" si="41"/>
        <v>0</v>
      </c>
      <c r="AA175" s="75" t="s">
        <v>239</v>
      </c>
      <c r="AB175" s="270">
        <f>SUMIF('Allocation Factors'!$B$3:$B$89,'Accumulated Deferred Income Tax'!AA175,'Allocation Factors'!$P$3:$P$89)</f>
        <v>6.230340034346115E-2</v>
      </c>
      <c r="AC175" s="271">
        <f t="shared" si="42"/>
        <v>0</v>
      </c>
      <c r="AD175" s="271">
        <f t="shared" si="43"/>
        <v>0</v>
      </c>
      <c r="AE175" s="30">
        <f t="shared" si="44"/>
        <v>0</v>
      </c>
    </row>
    <row r="176" spans="1:31" s="201" customFormat="1">
      <c r="A176" s="29">
        <v>287605</v>
      </c>
      <c r="B176" s="29">
        <v>282</v>
      </c>
      <c r="C176" s="90" t="s">
        <v>611</v>
      </c>
      <c r="D176" s="273">
        <v>105.15900000000001</v>
      </c>
      <c r="E176" s="318" t="s">
        <v>8</v>
      </c>
      <c r="F176" s="29" t="s">
        <v>9</v>
      </c>
      <c r="G176" s="229">
        <v>4408235</v>
      </c>
      <c r="H176" s="229">
        <v>4389410</v>
      </c>
      <c r="I176" s="229">
        <v>4373449</v>
      </c>
      <c r="J176" s="229">
        <v>4364322</v>
      </c>
      <c r="K176" s="229">
        <v>4358311</v>
      </c>
      <c r="L176" s="229">
        <v>4349325</v>
      </c>
      <c r="M176" s="229">
        <v>4337985</v>
      </c>
      <c r="N176" s="229">
        <v>4326714</v>
      </c>
      <c r="O176" s="229">
        <v>4318994</v>
      </c>
      <c r="P176" s="229">
        <v>4311314</v>
      </c>
      <c r="Q176" s="229">
        <v>4305619</v>
      </c>
      <c r="R176" s="229">
        <v>4297427</v>
      </c>
      <c r="S176" s="229">
        <v>4284400</v>
      </c>
      <c r="T176" s="229">
        <f t="shared" si="40"/>
        <v>4339932</v>
      </c>
      <c r="U176" s="229">
        <f t="shared" si="45"/>
        <v>4339932</v>
      </c>
      <c r="V176" s="356">
        <f t="shared" si="46"/>
        <v>4339932</v>
      </c>
      <c r="W176" s="229">
        <v>-4339932</v>
      </c>
      <c r="X176" s="356">
        <f t="shared" si="47"/>
        <v>0</v>
      </c>
      <c r="Y176" s="229">
        <v>0</v>
      </c>
      <c r="Z176" s="229">
        <f t="shared" si="41"/>
        <v>0</v>
      </c>
      <c r="AA176" s="75" t="s">
        <v>239</v>
      </c>
      <c r="AB176" s="270">
        <f>SUMIF('Allocation Factors'!$B$3:$B$89,'Accumulated Deferred Income Tax'!AA176,'Allocation Factors'!$P$3:$P$89)</f>
        <v>6.230340034346115E-2</v>
      </c>
      <c r="AC176" s="271">
        <f t="shared" si="42"/>
        <v>0</v>
      </c>
      <c r="AD176" s="271">
        <f t="shared" si="43"/>
        <v>0</v>
      </c>
      <c r="AE176" s="30">
        <f t="shared" si="44"/>
        <v>0</v>
      </c>
    </row>
    <row r="177" spans="1:31">
      <c r="A177" s="29">
        <v>287599</v>
      </c>
      <c r="B177" s="29">
        <v>282</v>
      </c>
      <c r="C177" s="90" t="s">
        <v>612</v>
      </c>
      <c r="D177" s="273">
        <v>105.16</v>
      </c>
      <c r="E177" s="318" t="s">
        <v>8</v>
      </c>
      <c r="F177" s="276" t="s">
        <v>333</v>
      </c>
      <c r="G177" s="229">
        <v>-4597021</v>
      </c>
      <c r="H177" s="229">
        <v>-4577684</v>
      </c>
      <c r="I177" s="229">
        <v>-4561289</v>
      </c>
      <c r="J177" s="229">
        <v>-4551915</v>
      </c>
      <c r="K177" s="229">
        <v>-4545740</v>
      </c>
      <c r="L177" s="229">
        <v>-4536510</v>
      </c>
      <c r="M177" s="229">
        <v>-4524862</v>
      </c>
      <c r="N177" s="229">
        <v>-4513284</v>
      </c>
      <c r="O177" s="229">
        <v>-4505354</v>
      </c>
      <c r="P177" s="229">
        <v>-4497466</v>
      </c>
      <c r="Q177" s="229">
        <v>-4491616</v>
      </c>
      <c r="R177" s="229">
        <v>-4483200</v>
      </c>
      <c r="S177" s="229">
        <v>-4469820</v>
      </c>
      <c r="T177" s="229">
        <f t="shared" si="40"/>
        <v>-4526862</v>
      </c>
      <c r="U177" s="229">
        <f t="shared" si="45"/>
        <v>-4526862</v>
      </c>
      <c r="V177" s="356">
        <f t="shared" si="46"/>
        <v>-4526862</v>
      </c>
      <c r="W177" s="229">
        <v>4526862</v>
      </c>
      <c r="X177" s="356">
        <f t="shared" si="47"/>
        <v>0</v>
      </c>
      <c r="Y177" s="229">
        <v>0</v>
      </c>
      <c r="Z177" s="229">
        <f t="shared" si="41"/>
        <v>0</v>
      </c>
      <c r="AA177" s="276" t="s">
        <v>331</v>
      </c>
      <c r="AB177" s="270">
        <f>SUMIF('Allocation Factors'!$B$3:$B$89,'Accumulated Deferred Income Tax'!AA177,'Allocation Factors'!$P$3:$P$89)</f>
        <v>0</v>
      </c>
      <c r="AC177" s="271">
        <f t="shared" si="42"/>
        <v>0</v>
      </c>
      <c r="AD177" s="271">
        <f t="shared" si="43"/>
        <v>0</v>
      </c>
      <c r="AE177" s="30">
        <f t="shared" si="44"/>
        <v>0</v>
      </c>
    </row>
    <row r="178" spans="1:31">
      <c r="A178" s="29">
        <v>287605</v>
      </c>
      <c r="B178" s="29">
        <v>282</v>
      </c>
      <c r="C178" s="28" t="s">
        <v>50</v>
      </c>
      <c r="D178" s="273">
        <v>105.16500000000001</v>
      </c>
      <c r="E178" s="318" t="s">
        <v>8</v>
      </c>
      <c r="F178" s="29" t="s">
        <v>9</v>
      </c>
      <c r="G178" s="229">
        <v>-3132289</v>
      </c>
      <c r="H178" s="229">
        <v>-3132289</v>
      </c>
      <c r="I178" s="229">
        <v>-3132289</v>
      </c>
      <c r="J178" s="229">
        <v>-3132289</v>
      </c>
      <c r="K178" s="229">
        <v>0</v>
      </c>
      <c r="L178" s="229">
        <v>0</v>
      </c>
      <c r="M178" s="229">
        <v>0</v>
      </c>
      <c r="N178" s="229">
        <v>0</v>
      </c>
      <c r="O178" s="229">
        <v>0</v>
      </c>
      <c r="P178" s="229">
        <v>0</v>
      </c>
      <c r="Q178" s="229">
        <v>0</v>
      </c>
      <c r="R178" s="229">
        <v>0</v>
      </c>
      <c r="S178" s="229">
        <v>0</v>
      </c>
      <c r="T178" s="229">
        <f t="shared" si="40"/>
        <v>-913584</v>
      </c>
      <c r="U178" s="229">
        <f t="shared" si="45"/>
        <v>-913584</v>
      </c>
      <c r="V178" s="356">
        <f t="shared" si="46"/>
        <v>-913584</v>
      </c>
      <c r="W178" s="229">
        <v>913584</v>
      </c>
      <c r="X178" s="356">
        <f t="shared" si="47"/>
        <v>0</v>
      </c>
      <c r="Y178" s="229">
        <v>0</v>
      </c>
      <c r="Z178" s="229">
        <f t="shared" si="41"/>
        <v>0</v>
      </c>
      <c r="AA178" s="75" t="s">
        <v>239</v>
      </c>
      <c r="AB178" s="270">
        <f>SUMIF('Allocation Factors'!$B$3:$B$89,'Accumulated Deferred Income Tax'!AA178,'Allocation Factors'!$P$3:$P$89)</f>
        <v>6.230340034346115E-2</v>
      </c>
      <c r="AC178" s="271">
        <f t="shared" si="42"/>
        <v>0</v>
      </c>
      <c r="AD178" s="271">
        <f t="shared" si="43"/>
        <v>0</v>
      </c>
      <c r="AE178" s="30">
        <f t="shared" si="44"/>
        <v>0</v>
      </c>
    </row>
    <row r="179" spans="1:31">
      <c r="A179" s="29">
        <v>287605</v>
      </c>
      <c r="B179" s="29">
        <v>282</v>
      </c>
      <c r="C179" s="28" t="s">
        <v>51</v>
      </c>
      <c r="D179" s="273">
        <v>105.17</v>
      </c>
      <c r="E179" s="318" t="s">
        <v>8</v>
      </c>
      <c r="F179" s="29" t="s">
        <v>9</v>
      </c>
      <c r="G179" s="229">
        <v>-3795539</v>
      </c>
      <c r="H179" s="229">
        <v>-3795539</v>
      </c>
      <c r="I179" s="229">
        <v>-3795539</v>
      </c>
      <c r="J179" s="229">
        <v>-3795539</v>
      </c>
      <c r="K179" s="229">
        <v>0</v>
      </c>
      <c r="L179" s="229">
        <v>0</v>
      </c>
      <c r="M179" s="229">
        <v>0</v>
      </c>
      <c r="N179" s="229">
        <v>0</v>
      </c>
      <c r="O179" s="229">
        <v>0</v>
      </c>
      <c r="P179" s="229">
        <v>0</v>
      </c>
      <c r="Q179" s="229">
        <v>0</v>
      </c>
      <c r="R179" s="229">
        <v>0</v>
      </c>
      <c r="S179" s="229">
        <v>0</v>
      </c>
      <c r="T179" s="229">
        <f t="shared" si="40"/>
        <v>-1107032</v>
      </c>
      <c r="U179" s="229">
        <f t="shared" si="45"/>
        <v>-1107032</v>
      </c>
      <c r="V179" s="356">
        <f t="shared" si="46"/>
        <v>-1107032</v>
      </c>
      <c r="W179" s="229">
        <v>1107032</v>
      </c>
      <c r="X179" s="356">
        <f t="shared" si="47"/>
        <v>0</v>
      </c>
      <c r="Y179" s="229">
        <v>0</v>
      </c>
      <c r="Z179" s="229">
        <f t="shared" si="41"/>
        <v>0</v>
      </c>
      <c r="AA179" s="75" t="s">
        <v>239</v>
      </c>
      <c r="AB179" s="270">
        <f>SUMIF('Allocation Factors'!$B$3:$B$89,'Accumulated Deferred Income Tax'!AA179,'Allocation Factors'!$P$3:$P$89)</f>
        <v>6.230340034346115E-2</v>
      </c>
      <c r="AC179" s="271">
        <f t="shared" si="42"/>
        <v>0</v>
      </c>
      <c r="AD179" s="271">
        <f t="shared" si="43"/>
        <v>0</v>
      </c>
      <c r="AE179" s="30">
        <f t="shared" si="44"/>
        <v>0</v>
      </c>
    </row>
    <row r="180" spans="1:31">
      <c r="A180" s="29">
        <v>287605</v>
      </c>
      <c r="B180" s="29">
        <v>282</v>
      </c>
      <c r="C180" s="28" t="s">
        <v>264</v>
      </c>
      <c r="D180" s="273">
        <v>105.175</v>
      </c>
      <c r="E180" s="318" t="s">
        <v>8</v>
      </c>
      <c r="F180" s="29" t="s">
        <v>9</v>
      </c>
      <c r="G180" s="229">
        <v>-185644665</v>
      </c>
      <c r="H180" s="229">
        <v>-186413711</v>
      </c>
      <c r="I180" s="229">
        <v>-187182757</v>
      </c>
      <c r="J180" s="229">
        <v>-188323029</v>
      </c>
      <c r="K180" s="229">
        <v>-189133322</v>
      </c>
      <c r="L180" s="229">
        <v>-189943616</v>
      </c>
      <c r="M180" s="229">
        <v>-191061776</v>
      </c>
      <c r="N180" s="229">
        <v>-192159260</v>
      </c>
      <c r="O180" s="229">
        <v>-193256744</v>
      </c>
      <c r="P180" s="229">
        <v>-194288305</v>
      </c>
      <c r="Q180" s="229">
        <v>-195363815</v>
      </c>
      <c r="R180" s="229">
        <v>-196439325</v>
      </c>
      <c r="S180" s="229">
        <v>-197968993</v>
      </c>
      <c r="T180" s="229">
        <f t="shared" ref="T180:T197" si="48">ROUND(((G180*1)+(SUM(H180:R180)*2)+(S180*1))/24,0)</f>
        <v>-191281041</v>
      </c>
      <c r="U180" s="229">
        <f t="shared" si="45"/>
        <v>-191281041</v>
      </c>
      <c r="V180" s="356">
        <f t="shared" si="46"/>
        <v>-191281041</v>
      </c>
      <c r="W180" s="229">
        <v>191281041</v>
      </c>
      <c r="X180" s="356">
        <f t="shared" si="47"/>
        <v>0</v>
      </c>
      <c r="Y180" s="229">
        <v>0</v>
      </c>
      <c r="Z180" s="229">
        <f t="shared" ref="Z180:Z200" si="49">SUM(X180:Y180)</f>
        <v>0</v>
      </c>
      <c r="AA180" s="75" t="s">
        <v>239</v>
      </c>
      <c r="AB180" s="270">
        <f>SUMIF('Allocation Factors'!$B$3:$B$89,'Accumulated Deferred Income Tax'!AA180,'Allocation Factors'!$P$3:$P$89)</f>
        <v>6.230340034346115E-2</v>
      </c>
      <c r="AC180" s="271">
        <f t="shared" si="42"/>
        <v>0</v>
      </c>
      <c r="AD180" s="271">
        <f t="shared" ref="AD180:AD200" si="50">ROUND(Y180*AB180,0)</f>
        <v>0</v>
      </c>
      <c r="AE180" s="30">
        <f t="shared" ref="AE180:AE200" si="51">SUM(AC180:AD180)</f>
        <v>0</v>
      </c>
    </row>
    <row r="181" spans="1:31">
      <c r="A181" s="29">
        <v>287605</v>
      </c>
      <c r="B181" s="29">
        <v>282</v>
      </c>
      <c r="C181" s="28" t="s">
        <v>514</v>
      </c>
      <c r="D181" s="273">
        <v>105.47</v>
      </c>
      <c r="E181" s="318" t="s">
        <v>8</v>
      </c>
      <c r="F181" s="29" t="s">
        <v>9</v>
      </c>
      <c r="G181" s="229">
        <v>16319657</v>
      </c>
      <c r="H181" s="229">
        <v>16319657</v>
      </c>
      <c r="I181" s="229">
        <v>16319657</v>
      </c>
      <c r="J181" s="229">
        <v>16206799</v>
      </c>
      <c r="K181" s="229">
        <v>16206799</v>
      </c>
      <c r="L181" s="229">
        <v>16206799</v>
      </c>
      <c r="M181" s="229">
        <v>16149731</v>
      </c>
      <c r="N181" s="229">
        <v>16149731</v>
      </c>
      <c r="O181" s="229">
        <v>16149731</v>
      </c>
      <c r="P181" s="229">
        <v>16119629</v>
      </c>
      <c r="Q181" s="229">
        <v>16119629</v>
      </c>
      <c r="R181" s="229">
        <v>16119629</v>
      </c>
      <c r="S181" s="229">
        <v>15931610</v>
      </c>
      <c r="T181" s="229">
        <f t="shared" si="48"/>
        <v>16182785</v>
      </c>
      <c r="U181" s="229">
        <f t="shared" si="45"/>
        <v>16182785</v>
      </c>
      <c r="V181" s="356">
        <f t="shared" si="46"/>
        <v>16182785</v>
      </c>
      <c r="W181" s="229">
        <v>-16182785</v>
      </c>
      <c r="X181" s="356">
        <f t="shared" si="47"/>
        <v>0</v>
      </c>
      <c r="Y181" s="229">
        <v>0</v>
      </c>
      <c r="Z181" s="229">
        <f t="shared" si="49"/>
        <v>0</v>
      </c>
      <c r="AA181" s="75" t="s">
        <v>239</v>
      </c>
      <c r="AB181" s="270">
        <f>SUMIF('Allocation Factors'!$B$3:$B$89,'Accumulated Deferred Income Tax'!AA181,'Allocation Factors'!$P$3:$P$89)</f>
        <v>6.230340034346115E-2</v>
      </c>
      <c r="AC181" s="271">
        <f t="shared" si="42"/>
        <v>0</v>
      </c>
      <c r="AD181" s="271">
        <f t="shared" si="50"/>
        <v>0</v>
      </c>
      <c r="AE181" s="30">
        <f t="shared" si="51"/>
        <v>0</v>
      </c>
    </row>
    <row r="182" spans="1:31">
      <c r="A182" s="29">
        <v>287301</v>
      </c>
      <c r="B182" s="29">
        <v>282</v>
      </c>
      <c r="C182" s="90" t="s">
        <v>319</v>
      </c>
      <c r="D182" s="273">
        <v>105.471</v>
      </c>
      <c r="E182" s="318" t="s">
        <v>8</v>
      </c>
      <c r="F182" s="29" t="s">
        <v>9</v>
      </c>
      <c r="G182" s="229">
        <v>8680735</v>
      </c>
      <c r="H182" s="229">
        <v>8680735</v>
      </c>
      <c r="I182" s="229">
        <v>8680735</v>
      </c>
      <c r="J182" s="229">
        <v>8680735</v>
      </c>
      <c r="K182" s="229">
        <v>8680735</v>
      </c>
      <c r="L182" s="229">
        <v>8680735</v>
      </c>
      <c r="M182" s="229">
        <v>8680735</v>
      </c>
      <c r="N182" s="229">
        <v>8680735</v>
      </c>
      <c r="O182" s="229">
        <v>8680735</v>
      </c>
      <c r="P182" s="229">
        <v>8680735</v>
      </c>
      <c r="Q182" s="229">
        <v>8680735</v>
      </c>
      <c r="R182" s="229">
        <v>8680735</v>
      </c>
      <c r="S182" s="229">
        <v>8680735</v>
      </c>
      <c r="T182" s="229">
        <f t="shared" si="48"/>
        <v>8680735</v>
      </c>
      <c r="U182" s="229">
        <f t="shared" si="45"/>
        <v>8680735</v>
      </c>
      <c r="V182" s="356">
        <f t="shared" si="46"/>
        <v>8680735</v>
      </c>
      <c r="W182" s="229">
        <v>-8680735</v>
      </c>
      <c r="X182" s="356">
        <f t="shared" si="47"/>
        <v>0</v>
      </c>
      <c r="Y182" s="229">
        <v>0</v>
      </c>
      <c r="Z182" s="229">
        <f t="shared" si="49"/>
        <v>0</v>
      </c>
      <c r="AA182" s="276" t="s">
        <v>15</v>
      </c>
      <c r="AB182" s="270">
        <f>SUMIF('Allocation Factors'!$B$3:$B$89,'Accumulated Deferred Income Tax'!AA182,'Allocation Factors'!$P$3:$P$89)</f>
        <v>0</v>
      </c>
      <c r="AC182" s="271">
        <f t="shared" si="42"/>
        <v>0</v>
      </c>
      <c r="AD182" s="271">
        <f t="shared" si="50"/>
        <v>0</v>
      </c>
      <c r="AE182" s="30">
        <f t="shared" si="51"/>
        <v>0</v>
      </c>
    </row>
    <row r="183" spans="1:31">
      <c r="A183" s="29">
        <v>287605</v>
      </c>
      <c r="B183" s="29">
        <v>282</v>
      </c>
      <c r="C183" s="28" t="s">
        <v>59</v>
      </c>
      <c r="D183" s="273">
        <v>320.20999999999998</v>
      </c>
      <c r="E183" s="318" t="s">
        <v>8</v>
      </c>
      <c r="F183" s="29" t="s">
        <v>9</v>
      </c>
      <c r="G183" s="229">
        <v>-7719946</v>
      </c>
      <c r="H183" s="229">
        <v>-7719946</v>
      </c>
      <c r="I183" s="229">
        <v>-7719946</v>
      </c>
      <c r="J183" s="229">
        <v>-7719946</v>
      </c>
      <c r="K183" s="229">
        <v>-7719946</v>
      </c>
      <c r="L183" s="229">
        <v>-7719946</v>
      </c>
      <c r="M183" s="229">
        <v>-7719946</v>
      </c>
      <c r="N183" s="229">
        <v>-7719946</v>
      </c>
      <c r="O183" s="229">
        <v>-7719946</v>
      </c>
      <c r="P183" s="229">
        <v>-7719946</v>
      </c>
      <c r="Q183" s="229">
        <v>-7719946</v>
      </c>
      <c r="R183" s="229">
        <v>-7719946</v>
      </c>
      <c r="S183" s="229">
        <v>-7719946</v>
      </c>
      <c r="T183" s="229">
        <f t="shared" si="48"/>
        <v>-7719946</v>
      </c>
      <c r="U183" s="229">
        <f t="shared" si="45"/>
        <v>-7719946</v>
      </c>
      <c r="V183" s="356">
        <f t="shared" si="46"/>
        <v>-7719946</v>
      </c>
      <c r="W183" s="229">
        <v>7719946</v>
      </c>
      <c r="X183" s="356">
        <f t="shared" si="47"/>
        <v>0</v>
      </c>
      <c r="Y183" s="229">
        <v>0</v>
      </c>
      <c r="Z183" s="229">
        <f t="shared" si="49"/>
        <v>0</v>
      </c>
      <c r="AA183" s="75" t="s">
        <v>239</v>
      </c>
      <c r="AB183" s="270">
        <f>SUMIF('Allocation Factors'!$B$3:$B$89,'Accumulated Deferred Income Tax'!AA183,'Allocation Factors'!$P$3:$P$89)</f>
        <v>6.230340034346115E-2</v>
      </c>
      <c r="AC183" s="271">
        <f t="shared" si="42"/>
        <v>0</v>
      </c>
      <c r="AD183" s="271">
        <f t="shared" si="50"/>
        <v>0</v>
      </c>
      <c r="AE183" s="30">
        <f t="shared" si="51"/>
        <v>0</v>
      </c>
    </row>
    <row r="184" spans="1:31">
      <c r="A184" s="29">
        <v>287605</v>
      </c>
      <c r="B184" s="29">
        <v>282</v>
      </c>
      <c r="C184" s="28" t="s">
        <v>298</v>
      </c>
      <c r="D184" s="273">
        <v>105.131</v>
      </c>
      <c r="E184" s="318" t="s">
        <v>8</v>
      </c>
      <c r="F184" s="269" t="s">
        <v>9</v>
      </c>
      <c r="G184" s="229">
        <v>183513099</v>
      </c>
      <c r="H184" s="229">
        <v>183075644</v>
      </c>
      <c r="I184" s="229">
        <v>182638188</v>
      </c>
      <c r="J184" s="229">
        <v>182608894</v>
      </c>
      <c r="K184" s="229">
        <v>182216790</v>
      </c>
      <c r="L184" s="229">
        <v>181824685</v>
      </c>
      <c r="M184" s="229">
        <v>180339430</v>
      </c>
      <c r="N184" s="229">
        <v>180339430</v>
      </c>
      <c r="O184" s="229">
        <v>180339430</v>
      </c>
      <c r="P184" s="229">
        <v>178669858</v>
      </c>
      <c r="Q184" s="229">
        <v>178113334</v>
      </c>
      <c r="R184" s="229">
        <v>177556810</v>
      </c>
      <c r="S184" s="229">
        <v>177049368</v>
      </c>
      <c r="T184" s="229">
        <f t="shared" si="48"/>
        <v>180666977</v>
      </c>
      <c r="U184" s="229">
        <f t="shared" si="45"/>
        <v>180666977</v>
      </c>
      <c r="V184" s="356">
        <f t="shared" si="46"/>
        <v>180666977</v>
      </c>
      <c r="W184" s="229">
        <v>-180666977</v>
      </c>
      <c r="X184" s="356">
        <f t="shared" si="47"/>
        <v>0</v>
      </c>
      <c r="Y184" s="229">
        <v>0</v>
      </c>
      <c r="Z184" s="229">
        <f t="shared" si="49"/>
        <v>0</v>
      </c>
      <c r="AA184" s="75" t="s">
        <v>239</v>
      </c>
      <c r="AB184" s="270">
        <f>SUMIF('Allocation Factors'!$B$3:$B$89,'Accumulated Deferred Income Tax'!AA184,'Allocation Factors'!$P$3:$P$89)</f>
        <v>6.230340034346115E-2</v>
      </c>
      <c r="AC184" s="271">
        <f t="shared" si="42"/>
        <v>0</v>
      </c>
      <c r="AD184" s="271">
        <f t="shared" si="50"/>
        <v>0</v>
      </c>
      <c r="AE184" s="30">
        <f t="shared" si="51"/>
        <v>0</v>
      </c>
    </row>
    <row r="185" spans="1:31">
      <c r="A185" s="29" t="s">
        <v>8</v>
      </c>
      <c r="B185" s="29">
        <v>282</v>
      </c>
      <c r="C185" s="28" t="s">
        <v>683</v>
      </c>
      <c r="D185" s="273" t="s">
        <v>8</v>
      </c>
      <c r="E185" s="318" t="s">
        <v>722</v>
      </c>
      <c r="F185" s="29" t="s">
        <v>9</v>
      </c>
      <c r="G185" s="229">
        <v>0</v>
      </c>
      <c r="H185" s="229">
        <v>0</v>
      </c>
      <c r="I185" s="229">
        <v>0</v>
      </c>
      <c r="J185" s="229">
        <v>0</v>
      </c>
      <c r="K185" s="229">
        <v>0</v>
      </c>
      <c r="L185" s="229">
        <v>0</v>
      </c>
      <c r="M185" s="229">
        <v>0</v>
      </c>
      <c r="N185" s="229">
        <v>0</v>
      </c>
      <c r="O185" s="229">
        <v>0</v>
      </c>
      <c r="P185" s="229">
        <v>0</v>
      </c>
      <c r="Q185" s="229">
        <v>0</v>
      </c>
      <c r="R185" s="229">
        <v>0</v>
      </c>
      <c r="S185" s="229">
        <v>0</v>
      </c>
      <c r="T185" s="229">
        <f t="shared" si="48"/>
        <v>0</v>
      </c>
      <c r="U185" s="229">
        <f t="shared" si="45"/>
        <v>0</v>
      </c>
      <c r="V185" s="356">
        <f t="shared" si="46"/>
        <v>0</v>
      </c>
      <c r="W185" s="229">
        <v>0</v>
      </c>
      <c r="X185" s="356">
        <f t="shared" si="47"/>
        <v>0</v>
      </c>
      <c r="Y185" s="229">
        <f>+'282'!R5</f>
        <v>-208242</v>
      </c>
      <c r="Z185" s="229">
        <f t="shared" si="49"/>
        <v>-208242</v>
      </c>
      <c r="AA185" s="75" t="s">
        <v>17</v>
      </c>
      <c r="AB185" s="270">
        <f>SUMIF('Allocation Factors'!$B$3:$B$89,'Accumulated Deferred Income Tax'!AA185,'Allocation Factors'!$P$3:$P$89)</f>
        <v>0</v>
      </c>
      <c r="AC185" s="271">
        <f t="shared" ref="AC185:AC200" si="52">ROUND(X185*AB185,0)</f>
        <v>0</v>
      </c>
      <c r="AD185" s="271">
        <f t="shared" si="50"/>
        <v>0</v>
      </c>
      <c r="AE185" s="30">
        <f t="shared" si="51"/>
        <v>0</v>
      </c>
    </row>
    <row r="186" spans="1:31">
      <c r="A186" s="29" t="s">
        <v>8</v>
      </c>
      <c r="B186" s="29">
        <v>282</v>
      </c>
      <c r="C186" s="28" t="s">
        <v>684</v>
      </c>
      <c r="D186" s="273" t="s">
        <v>8</v>
      </c>
      <c r="E186" s="318" t="s">
        <v>722</v>
      </c>
      <c r="F186" s="29" t="s">
        <v>9</v>
      </c>
      <c r="G186" s="229">
        <v>0</v>
      </c>
      <c r="H186" s="229">
        <v>0</v>
      </c>
      <c r="I186" s="229">
        <v>0</v>
      </c>
      <c r="J186" s="229">
        <v>0</v>
      </c>
      <c r="K186" s="229">
        <v>0</v>
      </c>
      <c r="L186" s="229">
        <v>0</v>
      </c>
      <c r="M186" s="229">
        <v>0</v>
      </c>
      <c r="N186" s="229">
        <v>0</v>
      </c>
      <c r="O186" s="229">
        <v>0</v>
      </c>
      <c r="P186" s="229">
        <v>0</v>
      </c>
      <c r="Q186" s="229">
        <v>0</v>
      </c>
      <c r="R186" s="229">
        <v>0</v>
      </c>
      <c r="S186" s="229">
        <v>0</v>
      </c>
      <c r="T186" s="229">
        <v>0</v>
      </c>
      <c r="U186" s="229">
        <v>0</v>
      </c>
      <c r="V186" s="356">
        <v>0</v>
      </c>
      <c r="W186" s="229">
        <v>0</v>
      </c>
      <c r="X186" s="356">
        <f t="shared" si="47"/>
        <v>0</v>
      </c>
      <c r="Y186" s="229">
        <f>+'282'!R6</f>
        <v>2563</v>
      </c>
      <c r="Z186" s="229">
        <f t="shared" si="49"/>
        <v>2563</v>
      </c>
      <c r="AA186" s="75" t="s">
        <v>119</v>
      </c>
      <c r="AB186" s="270">
        <f>SUMIF('Allocation Factors'!$B$3:$B$89,'Accumulated Deferred Income Tax'!AA186,'Allocation Factors'!$P$3:$P$89)</f>
        <v>0</v>
      </c>
      <c r="AC186" s="271">
        <f t="shared" si="52"/>
        <v>0</v>
      </c>
      <c r="AD186" s="271">
        <f t="shared" si="50"/>
        <v>0</v>
      </c>
      <c r="AE186" s="30">
        <f t="shared" si="51"/>
        <v>0</v>
      </c>
    </row>
    <row r="187" spans="1:31">
      <c r="A187" s="29" t="s">
        <v>8</v>
      </c>
      <c r="B187" s="29">
        <v>282</v>
      </c>
      <c r="C187" s="28" t="s">
        <v>685</v>
      </c>
      <c r="D187" s="273" t="s">
        <v>8</v>
      </c>
      <c r="E187" s="318" t="s">
        <v>722</v>
      </c>
      <c r="F187" s="29" t="s">
        <v>9</v>
      </c>
      <c r="G187" s="229">
        <v>0</v>
      </c>
      <c r="H187" s="229">
        <v>0</v>
      </c>
      <c r="I187" s="229">
        <v>0</v>
      </c>
      <c r="J187" s="229">
        <v>0</v>
      </c>
      <c r="K187" s="229">
        <v>0</v>
      </c>
      <c r="L187" s="229">
        <v>0</v>
      </c>
      <c r="M187" s="229">
        <v>0</v>
      </c>
      <c r="N187" s="229">
        <v>0</v>
      </c>
      <c r="O187" s="229">
        <v>0</v>
      </c>
      <c r="P187" s="229">
        <v>0</v>
      </c>
      <c r="Q187" s="229">
        <v>0</v>
      </c>
      <c r="R187" s="229">
        <v>0</v>
      </c>
      <c r="S187" s="229">
        <v>0</v>
      </c>
      <c r="T187" s="229">
        <v>0</v>
      </c>
      <c r="U187" s="229">
        <v>0</v>
      </c>
      <c r="V187" s="356">
        <v>0</v>
      </c>
      <c r="W187" s="229">
        <v>0</v>
      </c>
      <c r="X187" s="356">
        <f t="shared" si="47"/>
        <v>0</v>
      </c>
      <c r="Y187" s="229">
        <f>+'282'!R7</f>
        <v>16190835</v>
      </c>
      <c r="Z187" s="229">
        <f t="shared" si="49"/>
        <v>16190835</v>
      </c>
      <c r="AA187" s="75" t="s">
        <v>162</v>
      </c>
      <c r="AB187" s="270">
        <f>SUMIF('Allocation Factors'!$B$3:$B$89,'Accumulated Deferred Income Tax'!AA187,'Allocation Factors'!$P$3:$P$89)</f>
        <v>0</v>
      </c>
      <c r="AC187" s="271">
        <f t="shared" si="52"/>
        <v>0</v>
      </c>
      <c r="AD187" s="271">
        <f t="shared" si="50"/>
        <v>0</v>
      </c>
      <c r="AE187" s="30">
        <f t="shared" si="51"/>
        <v>0</v>
      </c>
    </row>
    <row r="188" spans="1:31">
      <c r="A188" s="29" t="s">
        <v>8</v>
      </c>
      <c r="B188" s="29">
        <v>282</v>
      </c>
      <c r="C188" s="28" t="s">
        <v>686</v>
      </c>
      <c r="D188" s="273" t="s">
        <v>8</v>
      </c>
      <c r="E188" s="318" t="s">
        <v>722</v>
      </c>
      <c r="F188" s="29" t="s">
        <v>9</v>
      </c>
      <c r="G188" s="229">
        <v>0</v>
      </c>
      <c r="H188" s="229">
        <v>0</v>
      </c>
      <c r="I188" s="229">
        <v>0</v>
      </c>
      <c r="J188" s="229">
        <v>0</v>
      </c>
      <c r="K188" s="229">
        <v>0</v>
      </c>
      <c r="L188" s="229">
        <v>0</v>
      </c>
      <c r="M188" s="229">
        <v>0</v>
      </c>
      <c r="N188" s="229">
        <v>0</v>
      </c>
      <c r="O188" s="229">
        <v>0</v>
      </c>
      <c r="P188" s="229">
        <v>0</v>
      </c>
      <c r="Q188" s="229">
        <v>0</v>
      </c>
      <c r="R188" s="229">
        <v>0</v>
      </c>
      <c r="S188" s="229">
        <v>0</v>
      </c>
      <c r="T188" s="229">
        <v>0</v>
      </c>
      <c r="U188" s="229">
        <v>0</v>
      </c>
      <c r="V188" s="356">
        <v>0</v>
      </c>
      <c r="W188" s="229">
        <v>0</v>
      </c>
      <c r="X188" s="356">
        <f t="shared" si="47"/>
        <v>0</v>
      </c>
      <c r="Y188" s="229">
        <f>+'282'!R8</f>
        <v>9760497</v>
      </c>
      <c r="Z188" s="229">
        <f t="shared" si="49"/>
        <v>9760497</v>
      </c>
      <c r="AA188" s="75" t="s">
        <v>160</v>
      </c>
      <c r="AB188" s="270">
        <f>SUMIF('Allocation Factors'!$B$3:$B$89,'Accumulated Deferred Income Tax'!AA188,'Allocation Factors'!$P$3:$P$89)</f>
        <v>0.21577192756641544</v>
      </c>
      <c r="AC188" s="271">
        <f t="shared" si="52"/>
        <v>0</v>
      </c>
      <c r="AD188" s="271">
        <f t="shared" si="50"/>
        <v>2106041</v>
      </c>
      <c r="AE188" s="30">
        <f t="shared" si="51"/>
        <v>2106041</v>
      </c>
    </row>
    <row r="189" spans="1:31">
      <c r="A189" s="29" t="s">
        <v>8</v>
      </c>
      <c r="B189" s="29">
        <v>282</v>
      </c>
      <c r="C189" s="28" t="s">
        <v>687</v>
      </c>
      <c r="D189" s="273" t="s">
        <v>8</v>
      </c>
      <c r="E189" s="318" t="s">
        <v>722</v>
      </c>
      <c r="F189" s="29" t="s">
        <v>9</v>
      </c>
      <c r="G189" s="229">
        <v>0</v>
      </c>
      <c r="H189" s="229">
        <v>0</v>
      </c>
      <c r="I189" s="229">
        <v>0</v>
      </c>
      <c r="J189" s="229">
        <v>0</v>
      </c>
      <c r="K189" s="229">
        <v>0</v>
      </c>
      <c r="L189" s="229">
        <v>0</v>
      </c>
      <c r="M189" s="229">
        <v>0</v>
      </c>
      <c r="N189" s="229">
        <v>0</v>
      </c>
      <c r="O189" s="229">
        <v>0</v>
      </c>
      <c r="P189" s="229">
        <v>0</v>
      </c>
      <c r="Q189" s="229">
        <v>0</v>
      </c>
      <c r="R189" s="229">
        <v>0</v>
      </c>
      <c r="S189" s="229">
        <v>0</v>
      </c>
      <c r="T189" s="229">
        <v>0</v>
      </c>
      <c r="U189" s="229">
        <v>0</v>
      </c>
      <c r="V189" s="356">
        <v>0</v>
      </c>
      <c r="W189" s="229">
        <v>35987</v>
      </c>
      <c r="X189" s="356">
        <f t="shared" si="47"/>
        <v>35987</v>
      </c>
      <c r="Y189" s="229">
        <f>+'282'!R9</f>
        <v>-35987</v>
      </c>
      <c r="Z189" s="229">
        <f t="shared" si="49"/>
        <v>0</v>
      </c>
      <c r="AA189" s="75" t="s">
        <v>20</v>
      </c>
      <c r="AB189" s="270">
        <f>SUMIF('Allocation Factors'!$B$3:$B$89,'Accumulated Deferred Income Tax'!AA189,'Allocation Factors'!$P$3:$P$89)</f>
        <v>6.4409240866138473E-2</v>
      </c>
      <c r="AC189" s="271">
        <f t="shared" si="52"/>
        <v>2318</v>
      </c>
      <c r="AD189" s="271">
        <f t="shared" si="50"/>
        <v>-2318</v>
      </c>
      <c r="AE189" s="30">
        <f t="shared" si="51"/>
        <v>0</v>
      </c>
    </row>
    <row r="190" spans="1:31">
      <c r="A190" s="29" t="s">
        <v>8</v>
      </c>
      <c r="B190" s="29">
        <v>282</v>
      </c>
      <c r="C190" s="28" t="s">
        <v>688</v>
      </c>
      <c r="D190" s="273" t="s">
        <v>8</v>
      </c>
      <c r="E190" s="318" t="s">
        <v>722</v>
      </c>
      <c r="F190" s="29" t="s">
        <v>9</v>
      </c>
      <c r="G190" s="229">
        <v>0</v>
      </c>
      <c r="H190" s="229">
        <v>0</v>
      </c>
      <c r="I190" s="229">
        <v>0</v>
      </c>
      <c r="J190" s="229">
        <v>0</v>
      </c>
      <c r="K190" s="229">
        <v>0</v>
      </c>
      <c r="L190" s="229">
        <v>0</v>
      </c>
      <c r="M190" s="229">
        <v>0</v>
      </c>
      <c r="N190" s="229">
        <v>0</v>
      </c>
      <c r="O190" s="229">
        <v>0</v>
      </c>
      <c r="P190" s="229">
        <v>0</v>
      </c>
      <c r="Q190" s="229">
        <v>0</v>
      </c>
      <c r="R190" s="229">
        <v>0</v>
      </c>
      <c r="S190" s="229">
        <v>0</v>
      </c>
      <c r="T190" s="229">
        <v>0</v>
      </c>
      <c r="U190" s="229">
        <v>0</v>
      </c>
      <c r="V190" s="356">
        <v>0</v>
      </c>
      <c r="W190" s="229">
        <v>0</v>
      </c>
      <c r="X190" s="356">
        <f t="shared" si="47"/>
        <v>0</v>
      </c>
      <c r="Y190" s="229">
        <f>+'282'!R10</f>
        <v>89607</v>
      </c>
      <c r="Z190" s="229">
        <f t="shared" si="49"/>
        <v>89607</v>
      </c>
      <c r="AA190" s="75" t="s">
        <v>60</v>
      </c>
      <c r="AB190" s="270">
        <f>SUMIF('Allocation Factors'!$B$3:$B$89,'Accumulated Deferred Income Tax'!AA190,'Allocation Factors'!$P$3:$P$89)</f>
        <v>6.9360885492844845E-2</v>
      </c>
      <c r="AC190" s="271">
        <f t="shared" si="52"/>
        <v>0</v>
      </c>
      <c r="AD190" s="271">
        <f t="shared" si="50"/>
        <v>6215</v>
      </c>
      <c r="AE190" s="30">
        <f t="shared" si="51"/>
        <v>6215</v>
      </c>
    </row>
    <row r="191" spans="1:31">
      <c r="A191" s="29" t="s">
        <v>8</v>
      </c>
      <c r="B191" s="29">
        <v>282</v>
      </c>
      <c r="C191" s="28" t="s">
        <v>689</v>
      </c>
      <c r="D191" s="273" t="s">
        <v>8</v>
      </c>
      <c r="E191" s="318" t="s">
        <v>722</v>
      </c>
      <c r="F191" s="29" t="s">
        <v>9</v>
      </c>
      <c r="G191" s="229">
        <v>0</v>
      </c>
      <c r="H191" s="229">
        <v>0</v>
      </c>
      <c r="I191" s="229">
        <v>0</v>
      </c>
      <c r="J191" s="229">
        <v>0</v>
      </c>
      <c r="K191" s="229">
        <v>0</v>
      </c>
      <c r="L191" s="229">
        <v>0</v>
      </c>
      <c r="M191" s="229">
        <v>0</v>
      </c>
      <c r="N191" s="229">
        <v>0</v>
      </c>
      <c r="O191" s="229">
        <v>0</v>
      </c>
      <c r="P191" s="229">
        <v>0</v>
      </c>
      <c r="Q191" s="229">
        <v>0</v>
      </c>
      <c r="R191" s="229">
        <v>0</v>
      </c>
      <c r="S191" s="229">
        <v>0</v>
      </c>
      <c r="T191" s="229">
        <v>0</v>
      </c>
      <c r="U191" s="229">
        <v>0</v>
      </c>
      <c r="V191" s="356">
        <v>0</v>
      </c>
      <c r="W191" s="229">
        <v>0</v>
      </c>
      <c r="X191" s="356">
        <f t="shared" si="47"/>
        <v>0</v>
      </c>
      <c r="Y191" s="229">
        <f>+'282'!R11</f>
        <v>72678</v>
      </c>
      <c r="Z191" s="229">
        <f t="shared" si="49"/>
        <v>72678</v>
      </c>
      <c r="AA191" s="75" t="s">
        <v>29</v>
      </c>
      <c r="AB191" s="270">
        <f>SUMIF('Allocation Factors'!$B$3:$B$89,'Accumulated Deferred Income Tax'!AA191,'Allocation Factors'!$P$3:$P$89)</f>
        <v>0</v>
      </c>
      <c r="AC191" s="271">
        <f t="shared" si="52"/>
        <v>0</v>
      </c>
      <c r="AD191" s="271">
        <f t="shared" si="50"/>
        <v>0</v>
      </c>
      <c r="AE191" s="30">
        <f t="shared" si="51"/>
        <v>0</v>
      </c>
    </row>
    <row r="192" spans="1:31">
      <c r="A192" s="29" t="s">
        <v>8</v>
      </c>
      <c r="B192" s="29">
        <v>282</v>
      </c>
      <c r="C192" s="28" t="s">
        <v>690</v>
      </c>
      <c r="D192" s="273" t="s">
        <v>8</v>
      </c>
      <c r="E192" s="318" t="s">
        <v>722</v>
      </c>
      <c r="F192" s="29" t="s">
        <v>9</v>
      </c>
      <c r="G192" s="229">
        <v>0</v>
      </c>
      <c r="H192" s="229">
        <f t="shared" ref="H192:H200" si="53">+G192</f>
        <v>0</v>
      </c>
      <c r="I192" s="229">
        <f t="shared" ref="I192:I200" si="54">+G192</f>
        <v>0</v>
      </c>
      <c r="J192" s="229">
        <v>0</v>
      </c>
      <c r="K192" s="229">
        <f t="shared" ref="K192:K200" si="55">+J192</f>
        <v>0</v>
      </c>
      <c r="L192" s="229">
        <f t="shared" ref="L192:L200" si="56">+J192</f>
        <v>0</v>
      </c>
      <c r="M192" s="229">
        <v>0</v>
      </c>
      <c r="N192" s="229">
        <f t="shared" ref="N192:N200" si="57">+M192</f>
        <v>0</v>
      </c>
      <c r="O192" s="229">
        <f t="shared" ref="O192:O200" si="58">+M192</f>
        <v>0</v>
      </c>
      <c r="P192" s="229">
        <v>0</v>
      </c>
      <c r="Q192" s="229">
        <f t="shared" ref="Q192:Q200" si="59">+P192</f>
        <v>0</v>
      </c>
      <c r="R192" s="229">
        <f t="shared" ref="R192:R200" si="60">+P192</f>
        <v>0</v>
      </c>
      <c r="S192" s="229">
        <v>0</v>
      </c>
      <c r="T192" s="229">
        <f t="shared" si="48"/>
        <v>0</v>
      </c>
      <c r="U192" s="229">
        <f t="shared" ref="U192:U200" si="61">+T192</f>
        <v>0</v>
      </c>
      <c r="V192" s="356">
        <f t="shared" si="46"/>
        <v>0</v>
      </c>
      <c r="W192" s="229">
        <v>2786</v>
      </c>
      <c r="X192" s="356">
        <f t="shared" si="47"/>
        <v>2786</v>
      </c>
      <c r="Y192" s="229">
        <f>+'282'!R12</f>
        <v>42108074</v>
      </c>
      <c r="Z192" s="229">
        <f t="shared" si="49"/>
        <v>42110860</v>
      </c>
      <c r="AA192" s="75" t="s">
        <v>168</v>
      </c>
      <c r="AB192" s="270">
        <f>SUMIF('Allocation Factors'!$B$3:$B$89,'Accumulated Deferred Income Tax'!AA192,'Allocation Factors'!$P$3:$P$89)</f>
        <v>0.21577192756641544</v>
      </c>
      <c r="AC192" s="271">
        <f t="shared" si="52"/>
        <v>601</v>
      </c>
      <c r="AD192" s="271">
        <f t="shared" si="50"/>
        <v>9085740</v>
      </c>
      <c r="AE192" s="30">
        <f t="shared" si="51"/>
        <v>9086341</v>
      </c>
    </row>
    <row r="193" spans="1:31">
      <c r="A193" s="29" t="s">
        <v>8</v>
      </c>
      <c r="B193" s="29">
        <v>282</v>
      </c>
      <c r="C193" s="28" t="s">
        <v>691</v>
      </c>
      <c r="D193" s="273" t="s">
        <v>8</v>
      </c>
      <c r="E193" s="318" t="s">
        <v>722</v>
      </c>
      <c r="F193" s="29" t="s">
        <v>9</v>
      </c>
      <c r="G193" s="229">
        <v>0</v>
      </c>
      <c r="H193" s="229">
        <f t="shared" si="53"/>
        <v>0</v>
      </c>
      <c r="I193" s="229">
        <f t="shared" si="54"/>
        <v>0</v>
      </c>
      <c r="J193" s="229">
        <v>0</v>
      </c>
      <c r="K193" s="229">
        <f t="shared" si="55"/>
        <v>0</v>
      </c>
      <c r="L193" s="229">
        <f t="shared" si="56"/>
        <v>0</v>
      </c>
      <c r="M193" s="229">
        <v>0</v>
      </c>
      <c r="N193" s="229">
        <f t="shared" si="57"/>
        <v>0</v>
      </c>
      <c r="O193" s="229">
        <f t="shared" si="58"/>
        <v>0</v>
      </c>
      <c r="P193" s="229">
        <v>0</v>
      </c>
      <c r="Q193" s="229">
        <f t="shared" si="59"/>
        <v>0</v>
      </c>
      <c r="R193" s="229">
        <f t="shared" si="60"/>
        <v>0</v>
      </c>
      <c r="S193" s="229">
        <v>0</v>
      </c>
      <c r="T193" s="229">
        <f t="shared" si="48"/>
        <v>0</v>
      </c>
      <c r="U193" s="229">
        <f t="shared" si="61"/>
        <v>0</v>
      </c>
      <c r="V193" s="356">
        <f t="shared" si="46"/>
        <v>0</v>
      </c>
      <c r="W193" s="229">
        <v>0</v>
      </c>
      <c r="X193" s="356">
        <f t="shared" si="47"/>
        <v>0</v>
      </c>
      <c r="Y193" s="229">
        <f>+'282'!R13</f>
        <v>-582977</v>
      </c>
      <c r="Z193" s="229">
        <f t="shared" si="49"/>
        <v>-582977</v>
      </c>
      <c r="AA193" s="75" t="s">
        <v>30</v>
      </c>
      <c r="AB193" s="270">
        <f>SUMIF('Allocation Factors'!$B$3:$B$89,'Accumulated Deferred Income Tax'!AA193,'Allocation Factors'!$P$3:$P$89)</f>
        <v>0</v>
      </c>
      <c r="AC193" s="271">
        <f t="shared" si="52"/>
        <v>0</v>
      </c>
      <c r="AD193" s="271">
        <f t="shared" si="50"/>
        <v>0</v>
      </c>
      <c r="AE193" s="30">
        <f t="shared" si="51"/>
        <v>0</v>
      </c>
    </row>
    <row r="194" spans="1:31">
      <c r="A194" s="29" t="s">
        <v>8</v>
      </c>
      <c r="B194" s="29">
        <v>282</v>
      </c>
      <c r="C194" s="28" t="s">
        <v>692</v>
      </c>
      <c r="D194" s="273" t="s">
        <v>8</v>
      </c>
      <c r="E194" s="318" t="s">
        <v>722</v>
      </c>
      <c r="F194" s="29" t="s">
        <v>9</v>
      </c>
      <c r="G194" s="229">
        <v>0</v>
      </c>
      <c r="H194" s="229">
        <f t="shared" si="53"/>
        <v>0</v>
      </c>
      <c r="I194" s="229">
        <f t="shared" si="54"/>
        <v>0</v>
      </c>
      <c r="J194" s="229">
        <v>0</v>
      </c>
      <c r="K194" s="229">
        <f t="shared" si="55"/>
        <v>0</v>
      </c>
      <c r="L194" s="229">
        <f t="shared" si="56"/>
        <v>0</v>
      </c>
      <c r="M194" s="229">
        <v>0</v>
      </c>
      <c r="N194" s="229">
        <f t="shared" si="57"/>
        <v>0</v>
      </c>
      <c r="O194" s="229">
        <f t="shared" si="58"/>
        <v>0</v>
      </c>
      <c r="P194" s="229">
        <v>0</v>
      </c>
      <c r="Q194" s="229">
        <f t="shared" si="59"/>
        <v>0</v>
      </c>
      <c r="R194" s="229">
        <f t="shared" si="60"/>
        <v>0</v>
      </c>
      <c r="S194" s="229">
        <v>0</v>
      </c>
      <c r="T194" s="229">
        <f t="shared" si="48"/>
        <v>0</v>
      </c>
      <c r="U194" s="229">
        <f t="shared" si="61"/>
        <v>0</v>
      </c>
      <c r="V194" s="356">
        <f t="shared" si="46"/>
        <v>0</v>
      </c>
      <c r="W194" s="229">
        <v>16021889</v>
      </c>
      <c r="X194" s="356">
        <f t="shared" si="47"/>
        <v>16021889</v>
      </c>
      <c r="Y194" s="229">
        <f>+'282'!R15</f>
        <v>-91210420</v>
      </c>
      <c r="Z194" s="229">
        <f t="shared" si="49"/>
        <v>-75188531</v>
      </c>
      <c r="AA194" s="75" t="s">
        <v>19</v>
      </c>
      <c r="AB194" s="270">
        <f>SUMIF('Allocation Factors'!$B$3:$B$89,'Accumulated Deferred Income Tax'!AA194,'Allocation Factors'!$P$3:$P$89)</f>
        <v>7.8111041399714837E-2</v>
      </c>
      <c r="AC194" s="271">
        <f t="shared" si="52"/>
        <v>1251486</v>
      </c>
      <c r="AD194" s="271">
        <f t="shared" si="50"/>
        <v>-7124541</v>
      </c>
      <c r="AE194" s="30">
        <f t="shared" si="51"/>
        <v>-5873055</v>
      </c>
    </row>
    <row r="195" spans="1:31">
      <c r="A195" s="29" t="s">
        <v>8</v>
      </c>
      <c r="B195" s="29">
        <v>282</v>
      </c>
      <c r="C195" s="28" t="s">
        <v>693</v>
      </c>
      <c r="D195" s="273" t="s">
        <v>8</v>
      </c>
      <c r="E195" s="318" t="s">
        <v>722</v>
      </c>
      <c r="F195" s="29" t="s">
        <v>9</v>
      </c>
      <c r="G195" s="229">
        <v>0</v>
      </c>
      <c r="H195" s="229">
        <f t="shared" si="53"/>
        <v>0</v>
      </c>
      <c r="I195" s="229">
        <f t="shared" si="54"/>
        <v>0</v>
      </c>
      <c r="J195" s="229">
        <v>0</v>
      </c>
      <c r="K195" s="229">
        <f t="shared" si="55"/>
        <v>0</v>
      </c>
      <c r="L195" s="229">
        <f t="shared" si="56"/>
        <v>0</v>
      </c>
      <c r="M195" s="229">
        <v>0</v>
      </c>
      <c r="N195" s="229">
        <f t="shared" si="57"/>
        <v>0</v>
      </c>
      <c r="O195" s="229">
        <f t="shared" si="58"/>
        <v>0</v>
      </c>
      <c r="P195" s="229">
        <v>0</v>
      </c>
      <c r="Q195" s="229">
        <f t="shared" si="59"/>
        <v>0</v>
      </c>
      <c r="R195" s="229">
        <f t="shared" si="60"/>
        <v>0</v>
      </c>
      <c r="S195" s="229">
        <v>0</v>
      </c>
      <c r="T195" s="229">
        <f t="shared" si="48"/>
        <v>0</v>
      </c>
      <c r="U195" s="229">
        <f t="shared" si="61"/>
        <v>0</v>
      </c>
      <c r="V195" s="356">
        <f t="shared" si="46"/>
        <v>0</v>
      </c>
      <c r="W195" s="229">
        <v>-404815</v>
      </c>
      <c r="X195" s="356">
        <f t="shared" si="47"/>
        <v>-404815</v>
      </c>
      <c r="Y195" s="229">
        <f>+'282'!R16</f>
        <v>-2109101</v>
      </c>
      <c r="Z195" s="229">
        <f t="shared" si="49"/>
        <v>-2513916</v>
      </c>
      <c r="AA195" s="75" t="s">
        <v>10</v>
      </c>
      <c r="AB195" s="270">
        <f>SUMIF('Allocation Factors'!$B$3:$B$89,'Accumulated Deferred Income Tax'!AA195,'Allocation Factors'!$P$3:$P$89)</f>
        <v>6.7017620954721469E-2</v>
      </c>
      <c r="AC195" s="271">
        <f t="shared" si="52"/>
        <v>-27130</v>
      </c>
      <c r="AD195" s="271">
        <f t="shared" si="50"/>
        <v>-141347</v>
      </c>
      <c r="AE195" s="30">
        <f t="shared" si="51"/>
        <v>-168477</v>
      </c>
    </row>
    <row r="196" spans="1:31">
      <c r="A196" s="29" t="s">
        <v>8</v>
      </c>
      <c r="B196" s="29">
        <v>282</v>
      </c>
      <c r="C196" s="28" t="s">
        <v>694</v>
      </c>
      <c r="D196" s="273" t="s">
        <v>8</v>
      </c>
      <c r="E196" s="318" t="s">
        <v>722</v>
      </c>
      <c r="F196" s="29" t="s">
        <v>9</v>
      </c>
      <c r="G196" s="229">
        <v>0</v>
      </c>
      <c r="H196" s="229">
        <f t="shared" si="53"/>
        <v>0</v>
      </c>
      <c r="I196" s="229">
        <f t="shared" si="54"/>
        <v>0</v>
      </c>
      <c r="J196" s="229">
        <v>0</v>
      </c>
      <c r="K196" s="229">
        <f t="shared" si="55"/>
        <v>0</v>
      </c>
      <c r="L196" s="229">
        <f t="shared" si="56"/>
        <v>0</v>
      </c>
      <c r="M196" s="229">
        <v>0</v>
      </c>
      <c r="N196" s="229">
        <f t="shared" si="57"/>
        <v>0</v>
      </c>
      <c r="O196" s="229">
        <f t="shared" si="58"/>
        <v>0</v>
      </c>
      <c r="P196" s="229">
        <v>0</v>
      </c>
      <c r="Q196" s="229">
        <f t="shared" si="59"/>
        <v>0</v>
      </c>
      <c r="R196" s="229">
        <f t="shared" si="60"/>
        <v>0</v>
      </c>
      <c r="S196" s="229">
        <v>0</v>
      </c>
      <c r="T196" s="229">
        <f t="shared" si="48"/>
        <v>0</v>
      </c>
      <c r="U196" s="229">
        <f t="shared" si="61"/>
        <v>0</v>
      </c>
      <c r="V196" s="356">
        <f t="shared" si="46"/>
        <v>0</v>
      </c>
      <c r="W196" s="229">
        <v>-2682998</v>
      </c>
      <c r="X196" s="356">
        <f t="shared" si="47"/>
        <v>-2682998</v>
      </c>
      <c r="Y196" s="229">
        <f>+'282'!R17</f>
        <v>2682998</v>
      </c>
      <c r="Z196" s="229">
        <f t="shared" si="49"/>
        <v>0</v>
      </c>
      <c r="AA196" s="75" t="s">
        <v>16</v>
      </c>
      <c r="AB196" s="270">
        <f>SUMIF('Allocation Factors'!$B$3:$B$89,'Accumulated Deferred Income Tax'!AA196,'Allocation Factors'!$P$3:$P$89)</f>
        <v>6.0894111271351227E-2</v>
      </c>
      <c r="AC196" s="271">
        <f t="shared" si="52"/>
        <v>-163379</v>
      </c>
      <c r="AD196" s="271">
        <f t="shared" si="50"/>
        <v>163379</v>
      </c>
      <c r="AE196" s="30">
        <f t="shared" si="51"/>
        <v>0</v>
      </c>
    </row>
    <row r="197" spans="1:31">
      <c r="A197" s="29" t="s">
        <v>8</v>
      </c>
      <c r="B197" s="29">
        <v>282</v>
      </c>
      <c r="C197" s="28" t="s">
        <v>695</v>
      </c>
      <c r="D197" s="273" t="s">
        <v>8</v>
      </c>
      <c r="E197" s="318" t="s">
        <v>722</v>
      </c>
      <c r="F197" s="29" t="s">
        <v>9</v>
      </c>
      <c r="G197" s="229">
        <v>0</v>
      </c>
      <c r="H197" s="229">
        <f t="shared" si="53"/>
        <v>0</v>
      </c>
      <c r="I197" s="229">
        <f t="shared" si="54"/>
        <v>0</v>
      </c>
      <c r="J197" s="229">
        <v>0</v>
      </c>
      <c r="K197" s="229">
        <f t="shared" si="55"/>
        <v>0</v>
      </c>
      <c r="L197" s="229">
        <f t="shared" si="56"/>
        <v>0</v>
      </c>
      <c r="M197" s="229">
        <v>0</v>
      </c>
      <c r="N197" s="229">
        <f t="shared" si="57"/>
        <v>0</v>
      </c>
      <c r="O197" s="229">
        <f t="shared" si="58"/>
        <v>0</v>
      </c>
      <c r="P197" s="229">
        <v>0</v>
      </c>
      <c r="Q197" s="229">
        <f t="shared" si="59"/>
        <v>0</v>
      </c>
      <c r="R197" s="229">
        <f t="shared" si="60"/>
        <v>0</v>
      </c>
      <c r="S197" s="229">
        <v>0</v>
      </c>
      <c r="T197" s="229">
        <f t="shared" si="48"/>
        <v>0</v>
      </c>
      <c r="U197" s="229">
        <f t="shared" si="61"/>
        <v>0</v>
      </c>
      <c r="V197" s="356">
        <f t="shared" si="46"/>
        <v>0</v>
      </c>
      <c r="W197" s="229">
        <v>-405626</v>
      </c>
      <c r="X197" s="356">
        <f t="shared" si="47"/>
        <v>-405626</v>
      </c>
      <c r="Y197" s="229">
        <f>+'282'!R18</f>
        <v>405626</v>
      </c>
      <c r="Z197" s="229">
        <f t="shared" si="49"/>
        <v>0</v>
      </c>
      <c r="AA197" s="75" t="s">
        <v>21</v>
      </c>
      <c r="AB197" s="270">
        <f>SUMIF('Allocation Factors'!$B$3:$B$89,'Accumulated Deferred Income Tax'!AA197,'Allocation Factors'!$P$3:$P$89)</f>
        <v>6.4409240866138473E-2</v>
      </c>
      <c r="AC197" s="271">
        <f t="shared" si="52"/>
        <v>-26126</v>
      </c>
      <c r="AD197" s="271">
        <f t="shared" si="50"/>
        <v>26126</v>
      </c>
      <c r="AE197" s="30">
        <f t="shared" si="51"/>
        <v>0</v>
      </c>
    </row>
    <row r="198" spans="1:31">
      <c r="A198" s="29" t="s">
        <v>8</v>
      </c>
      <c r="B198" s="29">
        <v>282</v>
      </c>
      <c r="C198" s="28" t="s">
        <v>696</v>
      </c>
      <c r="D198" s="273" t="s">
        <v>8</v>
      </c>
      <c r="E198" s="318" t="s">
        <v>722</v>
      </c>
      <c r="F198" s="29" t="s">
        <v>9</v>
      </c>
      <c r="G198" s="229">
        <v>0</v>
      </c>
      <c r="H198" s="229">
        <f t="shared" si="53"/>
        <v>0</v>
      </c>
      <c r="I198" s="229">
        <f t="shared" si="54"/>
        <v>0</v>
      </c>
      <c r="J198" s="229">
        <v>0</v>
      </c>
      <c r="K198" s="229">
        <f t="shared" si="55"/>
        <v>0</v>
      </c>
      <c r="L198" s="229">
        <f t="shared" si="56"/>
        <v>0</v>
      </c>
      <c r="M198" s="229">
        <v>0</v>
      </c>
      <c r="N198" s="229">
        <f t="shared" si="57"/>
        <v>0</v>
      </c>
      <c r="O198" s="229">
        <f t="shared" si="58"/>
        <v>0</v>
      </c>
      <c r="P198" s="229">
        <v>0</v>
      </c>
      <c r="Q198" s="229">
        <f t="shared" si="59"/>
        <v>0</v>
      </c>
      <c r="R198" s="229">
        <f t="shared" si="60"/>
        <v>0</v>
      </c>
      <c r="S198" s="229">
        <v>0</v>
      </c>
      <c r="T198" s="229">
        <f t="shared" ref="T198:T200" si="62">ROUND(((G198*1)+(SUM(H198:R198)*2)+(S198*1))/24,0)</f>
        <v>0</v>
      </c>
      <c r="U198" s="229">
        <f t="shared" si="61"/>
        <v>0</v>
      </c>
      <c r="V198" s="356">
        <f t="shared" si="46"/>
        <v>0</v>
      </c>
      <c r="W198" s="229">
        <v>0</v>
      </c>
      <c r="X198" s="356">
        <f t="shared" si="47"/>
        <v>0</v>
      </c>
      <c r="Y198" s="229">
        <f>+'282'!R19</f>
        <v>613094</v>
      </c>
      <c r="Z198" s="229">
        <f t="shared" si="49"/>
        <v>613094</v>
      </c>
      <c r="AA198" s="75" t="s">
        <v>28</v>
      </c>
      <c r="AB198" s="270">
        <f>SUMIF('Allocation Factors'!$B$3:$B$89,'Accumulated Deferred Income Tax'!AA198,'Allocation Factors'!$P$3:$P$89)</f>
        <v>0</v>
      </c>
      <c r="AC198" s="271">
        <f t="shared" si="52"/>
        <v>0</v>
      </c>
      <c r="AD198" s="271">
        <f t="shared" si="50"/>
        <v>0</v>
      </c>
      <c r="AE198" s="30">
        <f t="shared" si="51"/>
        <v>0</v>
      </c>
    </row>
    <row r="199" spans="1:31">
      <c r="A199" s="29" t="s">
        <v>8</v>
      </c>
      <c r="B199" s="29">
        <v>282</v>
      </c>
      <c r="C199" s="28" t="s">
        <v>697</v>
      </c>
      <c r="D199" s="273" t="s">
        <v>8</v>
      </c>
      <c r="E199" s="318" t="s">
        <v>722</v>
      </c>
      <c r="F199" s="29" t="s">
        <v>9</v>
      </c>
      <c r="G199" s="229">
        <v>0</v>
      </c>
      <c r="H199" s="229">
        <f t="shared" si="53"/>
        <v>0</v>
      </c>
      <c r="I199" s="229">
        <f t="shared" si="54"/>
        <v>0</v>
      </c>
      <c r="J199" s="229">
        <v>0</v>
      </c>
      <c r="K199" s="229">
        <f t="shared" si="55"/>
        <v>0</v>
      </c>
      <c r="L199" s="229">
        <f t="shared" si="56"/>
        <v>0</v>
      </c>
      <c r="M199" s="229">
        <v>0</v>
      </c>
      <c r="N199" s="229">
        <f t="shared" si="57"/>
        <v>0</v>
      </c>
      <c r="O199" s="229">
        <f t="shared" si="58"/>
        <v>0</v>
      </c>
      <c r="P199" s="229">
        <v>0</v>
      </c>
      <c r="Q199" s="229">
        <f t="shared" si="59"/>
        <v>0</v>
      </c>
      <c r="R199" s="229">
        <f t="shared" si="60"/>
        <v>0</v>
      </c>
      <c r="S199" s="229">
        <v>0</v>
      </c>
      <c r="T199" s="229">
        <f t="shared" si="62"/>
        <v>0</v>
      </c>
      <c r="U199" s="229">
        <f t="shared" si="61"/>
        <v>0</v>
      </c>
      <c r="V199" s="356">
        <f t="shared" si="46"/>
        <v>0</v>
      </c>
      <c r="W199" s="229">
        <f>-266717025</f>
        <v>-266717025</v>
      </c>
      <c r="X199" s="356">
        <f t="shared" si="47"/>
        <v>-266717025</v>
      </c>
      <c r="Y199" s="229">
        <f>+'282'!R20</f>
        <v>33013544</v>
      </c>
      <c r="Z199" s="229">
        <f t="shared" si="49"/>
        <v>-233703481</v>
      </c>
      <c r="AA199" s="75" t="s">
        <v>26</v>
      </c>
      <c r="AB199" s="270">
        <f>SUMIF('Allocation Factors'!$B$3:$B$89,'Accumulated Deferred Income Tax'!AA199,'Allocation Factors'!$P$3:$P$89)</f>
        <v>1</v>
      </c>
      <c r="AC199" s="271">
        <f t="shared" si="52"/>
        <v>-266717025</v>
      </c>
      <c r="AD199" s="271">
        <f t="shared" si="50"/>
        <v>33013544</v>
      </c>
      <c r="AE199" s="30">
        <f t="shared" si="51"/>
        <v>-233703481</v>
      </c>
    </row>
    <row r="200" spans="1:31">
      <c r="A200" s="29" t="s">
        <v>8</v>
      </c>
      <c r="B200" s="29">
        <v>282</v>
      </c>
      <c r="C200" s="28" t="s">
        <v>698</v>
      </c>
      <c r="D200" s="273" t="s">
        <v>8</v>
      </c>
      <c r="E200" s="318" t="s">
        <v>722</v>
      </c>
      <c r="F200" s="29" t="s">
        <v>9</v>
      </c>
      <c r="G200" s="229">
        <v>0</v>
      </c>
      <c r="H200" s="229">
        <f t="shared" si="53"/>
        <v>0</v>
      </c>
      <c r="I200" s="229">
        <f t="shared" si="54"/>
        <v>0</v>
      </c>
      <c r="J200" s="229">
        <v>0</v>
      </c>
      <c r="K200" s="229">
        <f t="shared" si="55"/>
        <v>0</v>
      </c>
      <c r="L200" s="229">
        <f t="shared" si="56"/>
        <v>0</v>
      </c>
      <c r="M200" s="229">
        <v>0</v>
      </c>
      <c r="N200" s="229">
        <f t="shared" si="57"/>
        <v>0</v>
      </c>
      <c r="O200" s="229">
        <f t="shared" si="58"/>
        <v>0</v>
      </c>
      <c r="P200" s="229">
        <v>0</v>
      </c>
      <c r="Q200" s="229">
        <f t="shared" si="59"/>
        <v>0</v>
      </c>
      <c r="R200" s="229">
        <f t="shared" si="60"/>
        <v>0</v>
      </c>
      <c r="S200" s="229">
        <v>0</v>
      </c>
      <c r="T200" s="229">
        <f t="shared" si="62"/>
        <v>0</v>
      </c>
      <c r="U200" s="229">
        <f t="shared" si="61"/>
        <v>0</v>
      </c>
      <c r="V200" s="356">
        <f t="shared" ref="V200" si="63">+U200</f>
        <v>0</v>
      </c>
      <c r="W200" s="229">
        <v>0</v>
      </c>
      <c r="X200" s="356">
        <f t="shared" ref="X200" si="64">+W200+V200</f>
        <v>0</v>
      </c>
      <c r="Y200" s="229">
        <f>+'282'!R21</f>
        <v>-196190</v>
      </c>
      <c r="Z200" s="229">
        <f t="shared" si="49"/>
        <v>-196190</v>
      </c>
      <c r="AA200" s="75" t="s">
        <v>32</v>
      </c>
      <c r="AB200" s="270">
        <f>SUMIF('Allocation Factors'!$B$3:$B$89,'Accumulated Deferred Income Tax'!AA200,'Allocation Factors'!$P$3:$P$89)</f>
        <v>0</v>
      </c>
      <c r="AC200" s="271">
        <f t="shared" si="52"/>
        <v>0</v>
      </c>
      <c r="AD200" s="271">
        <f t="shared" si="50"/>
        <v>0</v>
      </c>
      <c r="AE200" s="30">
        <f t="shared" si="51"/>
        <v>0</v>
      </c>
    </row>
    <row r="201" spans="1:31" s="181" customFormat="1">
      <c r="A201" s="183"/>
      <c r="B201" s="215"/>
      <c r="C201" s="216"/>
      <c r="D201" s="217"/>
      <c r="E201" s="217"/>
      <c r="F201" s="161"/>
      <c r="G201" s="212">
        <f t="shared" ref="G201:Z201" si="65">SUBTOTAL(9,G148:G200)</f>
        <v>-4506146596</v>
      </c>
      <c r="H201" s="212">
        <f t="shared" si="65"/>
        <v>-4497851805</v>
      </c>
      <c r="I201" s="212">
        <f t="shared" si="65"/>
        <v>-4490208633</v>
      </c>
      <c r="J201" s="212">
        <f t="shared" si="65"/>
        <v>-4513193394</v>
      </c>
      <c r="K201" s="212">
        <f t="shared" si="65"/>
        <v>-4511751839</v>
      </c>
      <c r="L201" s="212">
        <f t="shared" si="65"/>
        <v>-4506530511</v>
      </c>
      <c r="M201" s="212">
        <f t="shared" si="65"/>
        <v>-4181521270</v>
      </c>
      <c r="N201" s="212">
        <f t="shared" si="65"/>
        <v>-4177422386</v>
      </c>
      <c r="O201" s="212">
        <f t="shared" si="65"/>
        <v>-4174251093</v>
      </c>
      <c r="P201" s="212">
        <f t="shared" si="65"/>
        <v>-4170482364</v>
      </c>
      <c r="Q201" s="212">
        <f t="shared" si="65"/>
        <v>-4171254661</v>
      </c>
      <c r="R201" s="212">
        <f t="shared" si="65"/>
        <v>-4170109743</v>
      </c>
      <c r="S201" s="212">
        <f t="shared" si="65"/>
        <v>-4156752665</v>
      </c>
      <c r="T201" s="212">
        <f t="shared" si="65"/>
        <v>-4324668946</v>
      </c>
      <c r="U201" s="212">
        <f t="shared" si="65"/>
        <v>-4324668946</v>
      </c>
      <c r="V201" s="212">
        <f t="shared" si="65"/>
        <v>-4324668946</v>
      </c>
      <c r="W201" s="212">
        <f t="shared" si="65"/>
        <v>4070519144</v>
      </c>
      <c r="X201" s="212">
        <f t="shared" si="65"/>
        <v>-254149802</v>
      </c>
      <c r="Y201" s="212">
        <f t="shared" si="65"/>
        <v>10596599</v>
      </c>
      <c r="Z201" s="212">
        <f t="shared" si="65"/>
        <v>-243553203</v>
      </c>
      <c r="AA201" s="183"/>
      <c r="AB201" s="162"/>
      <c r="AC201" s="212">
        <f>SUBTOTAL(9,AC148:AC200)</f>
        <v>-265679255</v>
      </c>
      <c r="AD201" s="212">
        <f>SUBTOTAL(9,AD148:AD200)</f>
        <v>37132839</v>
      </c>
      <c r="AE201" s="212">
        <f>SUBTOTAL(9,AE148:AE200)</f>
        <v>-228546416</v>
      </c>
    </row>
    <row r="202" spans="1:31" s="201" customFormat="1">
      <c r="A202" s="29">
        <v>286691</v>
      </c>
      <c r="B202" s="29">
        <v>282</v>
      </c>
      <c r="C202" s="90" t="s">
        <v>613</v>
      </c>
      <c r="D202" s="273" t="s">
        <v>8</v>
      </c>
      <c r="E202" s="318" t="s">
        <v>8</v>
      </c>
      <c r="F202" s="269" t="s">
        <v>9</v>
      </c>
      <c r="G202" s="229">
        <v>0</v>
      </c>
      <c r="H202" s="229">
        <v>0</v>
      </c>
      <c r="I202" s="229">
        <v>0</v>
      </c>
      <c r="J202" s="229">
        <v>0</v>
      </c>
      <c r="K202" s="229">
        <v>0</v>
      </c>
      <c r="L202" s="229">
        <v>0</v>
      </c>
      <c r="M202" s="229">
        <v>-6748788</v>
      </c>
      <c r="N202" s="229">
        <v>-6748788</v>
      </c>
      <c r="O202" s="229">
        <v>-6748788</v>
      </c>
      <c r="P202" s="229">
        <v>-6748788</v>
      </c>
      <c r="Q202" s="229">
        <v>-6748788</v>
      </c>
      <c r="R202" s="229">
        <v>-6748788</v>
      </c>
      <c r="S202" s="229">
        <v>-6748788</v>
      </c>
      <c r="T202" s="229">
        <f t="shared" ref="T202:T207" si="66">ROUND(((G202*1)+(SUM(H202:R202)*2)+(S202*1))/24,0)</f>
        <v>-3655594</v>
      </c>
      <c r="U202" s="229">
        <f t="shared" ref="U202:V209" si="67">+T202</f>
        <v>-3655594</v>
      </c>
      <c r="V202" s="356">
        <f t="shared" si="67"/>
        <v>-3655594</v>
      </c>
      <c r="W202" s="356">
        <v>0</v>
      </c>
      <c r="X202" s="356">
        <f t="shared" ref="X202:X225" si="68">IF(F202="U",V202,0)</f>
        <v>-3655594</v>
      </c>
      <c r="Y202" s="229">
        <v>0</v>
      </c>
      <c r="Z202" s="229">
        <f t="shared" ref="Z202:Z207" si="69">SUM(X202:Y202)</f>
        <v>-3655594</v>
      </c>
      <c r="AA202" s="276" t="s">
        <v>17</v>
      </c>
      <c r="AB202" s="270">
        <f>SUMIF('Allocation Factors'!$B$3:$B$89,'Accumulated Deferred Income Tax'!AA202,'Allocation Factors'!$P$3:$P$89)</f>
        <v>0</v>
      </c>
      <c r="AC202" s="271">
        <f t="shared" ref="AC202:AC207" si="70">ROUND(X202*AB202,0)</f>
        <v>0</v>
      </c>
      <c r="AD202" s="271">
        <f t="shared" ref="AD202:AD207" si="71">ROUND(Y202*AB202,0)</f>
        <v>0</v>
      </c>
      <c r="AE202" s="30">
        <f t="shared" ref="AE202:AE207" si="72">SUM(AC202:AD202)</f>
        <v>0</v>
      </c>
    </row>
    <row r="203" spans="1:31" s="201" customFormat="1">
      <c r="A203" s="29">
        <v>286692</v>
      </c>
      <c r="B203" s="29">
        <v>282</v>
      </c>
      <c r="C203" s="90" t="s">
        <v>398</v>
      </c>
      <c r="D203" s="273" t="s">
        <v>8</v>
      </c>
      <c r="E203" s="318" t="s">
        <v>8</v>
      </c>
      <c r="F203" s="269" t="s">
        <v>9</v>
      </c>
      <c r="G203" s="229">
        <v>0</v>
      </c>
      <c r="H203" s="229">
        <v>0</v>
      </c>
      <c r="I203" s="229">
        <v>0</v>
      </c>
      <c r="J203" s="229">
        <v>0</v>
      </c>
      <c r="K203" s="229">
        <v>0</v>
      </c>
      <c r="L203" s="229">
        <v>0</v>
      </c>
      <c r="M203" s="229">
        <v>-10009386</v>
      </c>
      <c r="N203" s="229">
        <v>-10009386</v>
      </c>
      <c r="O203" s="229">
        <v>-10009386</v>
      </c>
      <c r="P203" s="229">
        <v>-9831943</v>
      </c>
      <c r="Q203" s="229">
        <v>-9794053</v>
      </c>
      <c r="R203" s="229">
        <v>-9739546</v>
      </c>
      <c r="S203" s="229">
        <v>-9652882</v>
      </c>
      <c r="T203" s="229">
        <f t="shared" si="66"/>
        <v>-5351678</v>
      </c>
      <c r="U203" s="229">
        <f t="shared" si="67"/>
        <v>-5351678</v>
      </c>
      <c r="V203" s="356">
        <f t="shared" si="67"/>
        <v>-5351678</v>
      </c>
      <c r="W203" s="356">
        <v>0</v>
      </c>
      <c r="X203" s="356">
        <f t="shared" si="68"/>
        <v>-5351678</v>
      </c>
      <c r="Y203" s="229">
        <v>0</v>
      </c>
      <c r="Z203" s="229">
        <f t="shared" si="69"/>
        <v>-5351678</v>
      </c>
      <c r="AA203" s="276" t="s">
        <v>29</v>
      </c>
      <c r="AB203" s="270">
        <f>SUMIF('Allocation Factors'!$B$3:$B$89,'Accumulated Deferred Income Tax'!AA203,'Allocation Factors'!$P$3:$P$89)</f>
        <v>0</v>
      </c>
      <c r="AC203" s="271">
        <f t="shared" si="70"/>
        <v>0</v>
      </c>
      <c r="AD203" s="271">
        <f t="shared" si="71"/>
        <v>0</v>
      </c>
      <c r="AE203" s="30">
        <f t="shared" si="72"/>
        <v>0</v>
      </c>
    </row>
    <row r="204" spans="1:31" s="201" customFormat="1">
      <c r="A204" s="29">
        <v>286693</v>
      </c>
      <c r="B204" s="29">
        <v>282</v>
      </c>
      <c r="C204" s="90" t="s">
        <v>399</v>
      </c>
      <c r="D204" s="273" t="s">
        <v>8</v>
      </c>
      <c r="E204" s="318" t="s">
        <v>8</v>
      </c>
      <c r="F204" s="269" t="s">
        <v>9</v>
      </c>
      <c r="G204" s="229">
        <v>0</v>
      </c>
      <c r="H204" s="229">
        <v>0</v>
      </c>
      <c r="I204" s="229">
        <v>0</v>
      </c>
      <c r="J204" s="229">
        <v>0</v>
      </c>
      <c r="K204" s="229">
        <v>0</v>
      </c>
      <c r="L204" s="229">
        <v>0</v>
      </c>
      <c r="M204" s="229">
        <v>-93279909</v>
      </c>
      <c r="N204" s="229">
        <v>-93279909</v>
      </c>
      <c r="O204" s="229">
        <v>-93279909</v>
      </c>
      <c r="P204" s="229">
        <v>-93279909</v>
      </c>
      <c r="Q204" s="229">
        <v>-93279909</v>
      </c>
      <c r="R204" s="229">
        <v>-93279909</v>
      </c>
      <c r="S204" s="229">
        <v>-93279909</v>
      </c>
      <c r="T204" s="229">
        <f t="shared" si="66"/>
        <v>-50526617</v>
      </c>
      <c r="U204" s="229">
        <f t="shared" si="67"/>
        <v>-50526617</v>
      </c>
      <c r="V204" s="356">
        <f t="shared" si="67"/>
        <v>-50526617</v>
      </c>
      <c r="W204" s="356">
        <v>0</v>
      </c>
      <c r="X204" s="356">
        <f t="shared" si="68"/>
        <v>-50526617</v>
      </c>
      <c r="Y204" s="229">
        <v>0</v>
      </c>
      <c r="Z204" s="229">
        <f t="shared" si="69"/>
        <v>-50526617</v>
      </c>
      <c r="AA204" s="276" t="s">
        <v>30</v>
      </c>
      <c r="AB204" s="270">
        <f>SUMIF('Allocation Factors'!$B$3:$B$89,'Accumulated Deferred Income Tax'!AA204,'Allocation Factors'!$P$3:$P$89)</f>
        <v>0</v>
      </c>
      <c r="AC204" s="271">
        <f t="shared" si="70"/>
        <v>0</v>
      </c>
      <c r="AD204" s="271">
        <f t="shared" si="71"/>
        <v>0</v>
      </c>
      <c r="AE204" s="30">
        <f t="shared" si="72"/>
        <v>0</v>
      </c>
    </row>
    <row r="205" spans="1:31" s="201" customFormat="1">
      <c r="A205" s="29">
        <v>286694</v>
      </c>
      <c r="B205" s="29">
        <v>282</v>
      </c>
      <c r="C205" s="90" t="s">
        <v>400</v>
      </c>
      <c r="D205" s="273" t="s">
        <v>8</v>
      </c>
      <c r="E205" s="318" t="s">
        <v>8</v>
      </c>
      <c r="F205" s="269" t="s">
        <v>9</v>
      </c>
      <c r="G205" s="229">
        <v>0</v>
      </c>
      <c r="H205" s="229">
        <v>0</v>
      </c>
      <c r="I205" s="229">
        <v>0</v>
      </c>
      <c r="J205" s="229">
        <v>0</v>
      </c>
      <c r="K205" s="229">
        <v>0</v>
      </c>
      <c r="L205" s="229">
        <v>0</v>
      </c>
      <c r="M205" s="229">
        <v>-20865641</v>
      </c>
      <c r="N205" s="229">
        <v>-20865641</v>
      </c>
      <c r="O205" s="229">
        <v>-20865641</v>
      </c>
      <c r="P205" s="229">
        <v>-20865641</v>
      </c>
      <c r="Q205" s="229">
        <v>-20865641</v>
      </c>
      <c r="R205" s="229">
        <v>-20865641</v>
      </c>
      <c r="S205" s="229">
        <v>-20865641</v>
      </c>
      <c r="T205" s="229">
        <f t="shared" si="66"/>
        <v>-11302222</v>
      </c>
      <c r="U205" s="229">
        <f t="shared" si="67"/>
        <v>-11302222</v>
      </c>
      <c r="V205" s="356">
        <f t="shared" si="67"/>
        <v>-11302222</v>
      </c>
      <c r="W205" s="356">
        <v>0</v>
      </c>
      <c r="X205" s="356">
        <f t="shared" si="68"/>
        <v>-11302222</v>
      </c>
      <c r="Y205" s="229">
        <v>11302222</v>
      </c>
      <c r="Z205" s="229">
        <f t="shared" si="69"/>
        <v>0</v>
      </c>
      <c r="AA205" s="276" t="s">
        <v>26</v>
      </c>
      <c r="AB205" s="270">
        <f>SUMIF('Allocation Factors'!$B$3:$B$89,'Accumulated Deferred Income Tax'!AA205,'Allocation Factors'!$P$3:$P$89)</f>
        <v>1</v>
      </c>
      <c r="AC205" s="271">
        <f t="shared" si="70"/>
        <v>-11302222</v>
      </c>
      <c r="AD205" s="271">
        <f t="shared" si="71"/>
        <v>11302222</v>
      </c>
      <c r="AE205" s="30">
        <f t="shared" si="72"/>
        <v>0</v>
      </c>
    </row>
    <row r="206" spans="1:31" s="201" customFormat="1">
      <c r="A206" s="29">
        <v>286695</v>
      </c>
      <c r="B206" s="29">
        <v>282</v>
      </c>
      <c r="C206" s="90" t="s">
        <v>401</v>
      </c>
      <c r="D206" s="273" t="s">
        <v>8</v>
      </c>
      <c r="E206" s="318" t="s">
        <v>8</v>
      </c>
      <c r="F206" s="269" t="s">
        <v>9</v>
      </c>
      <c r="G206" s="229">
        <v>0</v>
      </c>
      <c r="H206" s="229">
        <v>0</v>
      </c>
      <c r="I206" s="229">
        <v>0</v>
      </c>
      <c r="J206" s="229">
        <v>0</v>
      </c>
      <c r="K206" s="229">
        <v>0</v>
      </c>
      <c r="L206" s="229">
        <v>0</v>
      </c>
      <c r="M206" s="229">
        <v>-38491281</v>
      </c>
      <c r="N206" s="229">
        <v>-38491281</v>
      </c>
      <c r="O206" s="229">
        <v>-38491281</v>
      </c>
      <c r="P206" s="229">
        <v>-38491281</v>
      </c>
      <c r="Q206" s="229">
        <v>-38491281</v>
      </c>
      <c r="R206" s="229">
        <v>-38491281</v>
      </c>
      <c r="S206" s="229">
        <v>-38491281</v>
      </c>
      <c r="T206" s="229">
        <f t="shared" si="66"/>
        <v>-20849444</v>
      </c>
      <c r="U206" s="229">
        <f t="shared" si="67"/>
        <v>-20849444</v>
      </c>
      <c r="V206" s="356">
        <f t="shared" si="67"/>
        <v>-20849444</v>
      </c>
      <c r="W206" s="356">
        <v>0</v>
      </c>
      <c r="X206" s="356">
        <f t="shared" si="68"/>
        <v>-20849444</v>
      </c>
      <c r="Y206" s="229">
        <v>0</v>
      </c>
      <c r="Z206" s="229">
        <f t="shared" si="69"/>
        <v>-20849444</v>
      </c>
      <c r="AA206" s="276" t="s">
        <v>32</v>
      </c>
      <c r="AB206" s="270">
        <f>SUMIF('Allocation Factors'!$B$3:$B$89,'Accumulated Deferred Income Tax'!AA206,'Allocation Factors'!$P$3:$P$89)</f>
        <v>0</v>
      </c>
      <c r="AC206" s="271">
        <f t="shared" si="70"/>
        <v>0</v>
      </c>
      <c r="AD206" s="271">
        <f t="shared" si="71"/>
        <v>0</v>
      </c>
      <c r="AE206" s="30">
        <f t="shared" si="72"/>
        <v>0</v>
      </c>
    </row>
    <row r="207" spans="1:31" s="201" customFormat="1">
      <c r="A207" s="29">
        <v>286697</v>
      </c>
      <c r="B207" s="29">
        <v>282</v>
      </c>
      <c r="C207" s="90" t="s">
        <v>403</v>
      </c>
      <c r="D207" s="273" t="s">
        <v>8</v>
      </c>
      <c r="E207" s="318" t="s">
        <v>8</v>
      </c>
      <c r="F207" s="269" t="s">
        <v>9</v>
      </c>
      <c r="G207" s="229">
        <v>0</v>
      </c>
      <c r="H207" s="229">
        <v>0</v>
      </c>
      <c r="I207" s="229">
        <v>0</v>
      </c>
      <c r="J207" s="229">
        <v>0</v>
      </c>
      <c r="K207" s="229">
        <v>0</v>
      </c>
      <c r="L207" s="229">
        <v>0</v>
      </c>
      <c r="M207" s="229">
        <v>-3768586</v>
      </c>
      <c r="N207" s="229">
        <v>-3768586</v>
      </c>
      <c r="O207" s="229">
        <v>-3768586</v>
      </c>
      <c r="P207" s="229">
        <v>-3768586</v>
      </c>
      <c r="Q207" s="229">
        <v>-3768586</v>
      </c>
      <c r="R207" s="229">
        <v>-3768586</v>
      </c>
      <c r="S207" s="229">
        <v>-3768586</v>
      </c>
      <c r="T207" s="229">
        <f t="shared" si="66"/>
        <v>-2041317</v>
      </c>
      <c r="U207" s="229">
        <f t="shared" si="67"/>
        <v>-2041317</v>
      </c>
      <c r="V207" s="356">
        <f t="shared" si="67"/>
        <v>-2041317</v>
      </c>
      <c r="W207" s="356">
        <v>0</v>
      </c>
      <c r="X207" s="356">
        <f t="shared" si="68"/>
        <v>-2041317</v>
      </c>
      <c r="Y207" s="229">
        <v>0</v>
      </c>
      <c r="Z207" s="229">
        <f t="shared" si="69"/>
        <v>-2041317</v>
      </c>
      <c r="AA207" s="276" t="s">
        <v>72</v>
      </c>
      <c r="AB207" s="270">
        <f>SUMIF('Allocation Factors'!$B$3:$B$89,'Accumulated Deferred Income Tax'!AA207,'Allocation Factors'!$P$3:$P$89)</f>
        <v>0</v>
      </c>
      <c r="AC207" s="271">
        <f t="shared" si="70"/>
        <v>0</v>
      </c>
      <c r="AD207" s="271">
        <f t="shared" si="71"/>
        <v>0</v>
      </c>
      <c r="AE207" s="30">
        <f t="shared" si="72"/>
        <v>0</v>
      </c>
    </row>
    <row r="208" spans="1:31" s="181" customFormat="1">
      <c r="A208" s="310">
        <v>286914</v>
      </c>
      <c r="B208" s="310">
        <v>282</v>
      </c>
      <c r="C208" s="361" t="s">
        <v>428</v>
      </c>
      <c r="D208" s="390">
        <v>415.52499999999998</v>
      </c>
      <c r="E208" s="311" t="s">
        <v>8</v>
      </c>
      <c r="F208" s="354" t="s">
        <v>333</v>
      </c>
      <c r="G208" s="364">
        <v>0</v>
      </c>
      <c r="H208" s="364">
        <v>0</v>
      </c>
      <c r="I208" s="364">
        <v>0</v>
      </c>
      <c r="J208" s="364">
        <v>0</v>
      </c>
      <c r="K208" s="364">
        <v>0</v>
      </c>
      <c r="L208" s="364">
        <v>0</v>
      </c>
      <c r="M208" s="364">
        <v>0</v>
      </c>
      <c r="N208" s="364">
        <v>0</v>
      </c>
      <c r="O208" s="364">
        <v>0</v>
      </c>
      <c r="P208" s="364">
        <v>-52235</v>
      </c>
      <c r="Q208" s="364">
        <v>-83958</v>
      </c>
      <c r="R208" s="364">
        <v>-115394</v>
      </c>
      <c r="S208" s="364">
        <v>-101532</v>
      </c>
      <c r="T208" s="364">
        <f t="shared" ref="T208:T209" si="73">ROUND(((G208*1)+(SUM(H208:R208)*2)+(S208*1))/24,0)</f>
        <v>-25196</v>
      </c>
      <c r="U208" s="380">
        <f t="shared" si="67"/>
        <v>-25196</v>
      </c>
      <c r="V208" s="356">
        <f t="shared" si="67"/>
        <v>-25196</v>
      </c>
      <c r="W208" s="356">
        <v>0</v>
      </c>
      <c r="X208" s="356">
        <f t="shared" si="68"/>
        <v>0</v>
      </c>
      <c r="Y208" s="229">
        <v>0</v>
      </c>
      <c r="Z208" s="229">
        <f t="shared" ref="Z208:Z225" si="74">SUM(X208:Y208)</f>
        <v>0</v>
      </c>
      <c r="AA208" s="362" t="s">
        <v>331</v>
      </c>
      <c r="AB208" s="270">
        <f>SUMIF('Allocation Factors'!$B$3:$B$89,'Accumulated Deferred Income Tax'!AA208,'Allocation Factors'!$P$3:$P$89)</f>
        <v>0</v>
      </c>
      <c r="AC208" s="271">
        <f t="shared" ref="AC208:AC225" si="75">ROUND(X208*AB208,0)</f>
        <v>0</v>
      </c>
      <c r="AD208" s="271">
        <f t="shared" ref="AD208:AD225" si="76">ROUND(Y208*AB208,0)</f>
        <v>0</v>
      </c>
      <c r="AE208" s="30">
        <f t="shared" ref="AE208:AE225" si="77">SUM(AC208:AD208)</f>
        <v>0</v>
      </c>
    </row>
    <row r="209" spans="1:31" s="181" customFormat="1">
      <c r="A209" s="310">
        <v>286915</v>
      </c>
      <c r="B209" s="310">
        <v>282</v>
      </c>
      <c r="C209" s="361" t="s">
        <v>433</v>
      </c>
      <c r="D209" s="390">
        <v>425.15499999999997</v>
      </c>
      <c r="E209" s="311" t="s">
        <v>8</v>
      </c>
      <c r="F209" s="354" t="s">
        <v>333</v>
      </c>
      <c r="G209" s="364">
        <v>0</v>
      </c>
      <c r="H209" s="364">
        <v>0</v>
      </c>
      <c r="I209" s="364">
        <v>0</v>
      </c>
      <c r="J209" s="364">
        <v>0</v>
      </c>
      <c r="K209" s="364">
        <v>0</v>
      </c>
      <c r="L209" s="364">
        <v>0</v>
      </c>
      <c r="M209" s="364">
        <v>0</v>
      </c>
      <c r="N209" s="364">
        <v>0</v>
      </c>
      <c r="O209" s="364">
        <v>0</v>
      </c>
      <c r="P209" s="364">
        <v>-3544422</v>
      </c>
      <c r="Q209" s="364">
        <v>-3495059</v>
      </c>
      <c r="R209" s="364">
        <v>-3458456</v>
      </c>
      <c r="S209" s="364">
        <v>-3409384</v>
      </c>
      <c r="T209" s="364">
        <f t="shared" si="73"/>
        <v>-1016886</v>
      </c>
      <c r="U209" s="380">
        <f t="shared" si="67"/>
        <v>-1016886</v>
      </c>
      <c r="V209" s="356">
        <f t="shared" si="67"/>
        <v>-1016886</v>
      </c>
      <c r="W209" s="356">
        <v>0</v>
      </c>
      <c r="X209" s="356">
        <f t="shared" si="68"/>
        <v>0</v>
      </c>
      <c r="Y209" s="229">
        <v>0</v>
      </c>
      <c r="Z209" s="229">
        <f t="shared" si="74"/>
        <v>0</v>
      </c>
      <c r="AA209" s="362" t="s">
        <v>331</v>
      </c>
      <c r="AB209" s="270">
        <f>SUMIF('Allocation Factors'!$B$3:$B$89,'Accumulated Deferred Income Tax'!AA209,'Allocation Factors'!$P$3:$P$89)</f>
        <v>0</v>
      </c>
      <c r="AC209" s="271">
        <f t="shared" si="75"/>
        <v>0</v>
      </c>
      <c r="AD209" s="271">
        <f t="shared" si="76"/>
        <v>0</v>
      </c>
      <c r="AE209" s="30">
        <f t="shared" si="77"/>
        <v>0</v>
      </c>
    </row>
    <row r="210" spans="1:31" s="181" customFormat="1">
      <c r="A210" s="310">
        <v>287224</v>
      </c>
      <c r="B210" s="310">
        <v>282</v>
      </c>
      <c r="C210" s="361" t="s">
        <v>749</v>
      </c>
      <c r="D210" s="390">
        <v>145.03</v>
      </c>
      <c r="E210" s="311" t="s">
        <v>8</v>
      </c>
      <c r="F210" s="354" t="s">
        <v>333</v>
      </c>
      <c r="G210" s="364">
        <v>1291023</v>
      </c>
      <c r="H210" s="364">
        <v>1328395</v>
      </c>
      <c r="I210" s="364">
        <v>1360849</v>
      </c>
      <c r="J210" s="364">
        <v>1308685</v>
      </c>
      <c r="K210" s="364">
        <v>1333272</v>
      </c>
      <c r="L210" s="364">
        <v>1354170</v>
      </c>
      <c r="M210" s="364">
        <v>1378419</v>
      </c>
      <c r="N210" s="364">
        <v>1422675</v>
      </c>
      <c r="O210" s="364">
        <v>1456850</v>
      </c>
      <c r="P210" s="364">
        <v>1539368</v>
      </c>
      <c r="Q210" s="364">
        <v>1549078</v>
      </c>
      <c r="R210" s="364">
        <v>1563175</v>
      </c>
      <c r="S210" s="364">
        <v>1526260</v>
      </c>
      <c r="T210" s="364">
        <f t="shared" ref="T210:T225" si="78">ROUND(((G210*1)+(SUM(H210:R210)*2)+(S210*1))/24,0)</f>
        <v>1416965</v>
      </c>
      <c r="U210" s="380">
        <f t="shared" ref="U210:U225" si="79">+T210</f>
        <v>1416965</v>
      </c>
      <c r="V210" s="356">
        <f t="shared" ref="V210:V225" si="80">+U210</f>
        <v>1416965</v>
      </c>
      <c r="W210" s="356">
        <v>0</v>
      </c>
      <c r="X210" s="356">
        <f t="shared" si="68"/>
        <v>0</v>
      </c>
      <c r="Y210" s="229">
        <v>0</v>
      </c>
      <c r="Z210" s="229">
        <f t="shared" si="74"/>
        <v>0</v>
      </c>
      <c r="AA210" s="362" t="s">
        <v>331</v>
      </c>
      <c r="AB210" s="270">
        <f>SUMIF('Allocation Factors'!$B$3:$B$89,'Accumulated Deferred Income Tax'!AA210,'Allocation Factors'!$P$3:$P$89)</f>
        <v>0</v>
      </c>
      <c r="AC210" s="271">
        <f t="shared" si="75"/>
        <v>0</v>
      </c>
      <c r="AD210" s="271">
        <f t="shared" si="76"/>
        <v>0</v>
      </c>
      <c r="AE210" s="30">
        <f t="shared" si="77"/>
        <v>0</v>
      </c>
    </row>
    <row r="211" spans="1:31" s="181" customFormat="1">
      <c r="A211" s="310">
        <v>287221</v>
      </c>
      <c r="B211" s="310">
        <v>282</v>
      </c>
      <c r="C211" s="361" t="s">
        <v>431</v>
      </c>
      <c r="D211" s="390">
        <v>415.93299999999999</v>
      </c>
      <c r="E211" s="311" t="s">
        <v>8</v>
      </c>
      <c r="F211" s="354" t="s">
        <v>9</v>
      </c>
      <c r="G211" s="378">
        <v>-306766</v>
      </c>
      <c r="H211" s="378">
        <v>-306766</v>
      </c>
      <c r="I211" s="378">
        <v>-306766</v>
      </c>
      <c r="J211" s="378">
        <v>-306766</v>
      </c>
      <c r="K211" s="378">
        <v>-306766</v>
      </c>
      <c r="L211" s="378">
        <v>-306766</v>
      </c>
      <c r="M211" s="378">
        <v>-306766</v>
      </c>
      <c r="N211" s="378">
        <v>-306766</v>
      </c>
      <c r="O211" s="378">
        <v>-306766</v>
      </c>
      <c r="P211" s="378">
        <v>-306766</v>
      </c>
      <c r="Q211" s="378">
        <v>-306766</v>
      </c>
      <c r="R211" s="378">
        <v>-298254</v>
      </c>
      <c r="S211" s="378">
        <v>-298254</v>
      </c>
      <c r="T211" s="378">
        <f t="shared" si="78"/>
        <v>-305702</v>
      </c>
      <c r="U211" s="380">
        <f t="shared" si="79"/>
        <v>-305702</v>
      </c>
      <c r="V211" s="356">
        <f t="shared" si="80"/>
        <v>-305702</v>
      </c>
      <c r="W211" s="356">
        <v>0</v>
      </c>
      <c r="X211" s="356">
        <f t="shared" si="68"/>
        <v>-305702</v>
      </c>
      <c r="Y211" s="229">
        <v>0</v>
      </c>
      <c r="Z211" s="229">
        <f t="shared" si="74"/>
        <v>-305702</v>
      </c>
      <c r="AA211" s="362" t="s">
        <v>29</v>
      </c>
      <c r="AB211" s="270">
        <f>SUMIF('Allocation Factors'!$B$3:$B$89,'Accumulated Deferred Income Tax'!AA211,'Allocation Factors'!$P$3:$P$89)</f>
        <v>0</v>
      </c>
      <c r="AC211" s="271">
        <f t="shared" si="75"/>
        <v>0</v>
      </c>
      <c r="AD211" s="271">
        <f t="shared" si="76"/>
        <v>0</v>
      </c>
      <c r="AE211" s="30">
        <f t="shared" si="77"/>
        <v>0</v>
      </c>
    </row>
    <row r="212" spans="1:31" s="181" customFormat="1">
      <c r="A212" s="310">
        <v>287222</v>
      </c>
      <c r="B212" s="310">
        <v>282</v>
      </c>
      <c r="C212" s="361" t="s">
        <v>432</v>
      </c>
      <c r="D212" s="390">
        <v>415.93400000000003</v>
      </c>
      <c r="E212" s="311" t="s">
        <v>8</v>
      </c>
      <c r="F212" s="354" t="s">
        <v>9</v>
      </c>
      <c r="G212" s="378">
        <v>-2219066</v>
      </c>
      <c r="H212" s="378">
        <v>-2219066</v>
      </c>
      <c r="I212" s="378">
        <v>-2219066</v>
      </c>
      <c r="J212" s="378">
        <v>-2219066</v>
      </c>
      <c r="K212" s="378">
        <v>-2219066</v>
      </c>
      <c r="L212" s="378">
        <v>-2219066</v>
      </c>
      <c r="M212" s="378">
        <v>-2219066</v>
      </c>
      <c r="N212" s="378">
        <v>-2219066</v>
      </c>
      <c r="O212" s="378">
        <v>-2219066</v>
      </c>
      <c r="P212" s="378">
        <v>-2219066</v>
      </c>
      <c r="Q212" s="378">
        <v>-2219066</v>
      </c>
      <c r="R212" s="378">
        <v>-2157491</v>
      </c>
      <c r="S212" s="378">
        <v>-2157491</v>
      </c>
      <c r="T212" s="378">
        <f t="shared" si="78"/>
        <v>-2211369</v>
      </c>
      <c r="U212" s="380">
        <f t="shared" si="79"/>
        <v>-2211369</v>
      </c>
      <c r="V212" s="356">
        <f t="shared" si="80"/>
        <v>-2211369</v>
      </c>
      <c r="W212" s="356">
        <v>0</v>
      </c>
      <c r="X212" s="356">
        <f t="shared" si="68"/>
        <v>-2211369</v>
      </c>
      <c r="Y212" s="229">
        <v>0</v>
      </c>
      <c r="Z212" s="229">
        <f t="shared" si="74"/>
        <v>-2211369</v>
      </c>
      <c r="AA212" s="362" t="s">
        <v>28</v>
      </c>
      <c r="AB212" s="270">
        <f>SUMIF('Allocation Factors'!$B$3:$B$89,'Accumulated Deferred Income Tax'!AA212,'Allocation Factors'!$P$3:$P$89)</f>
        <v>0</v>
      </c>
      <c r="AC212" s="271">
        <f t="shared" si="75"/>
        <v>0</v>
      </c>
      <c r="AD212" s="271">
        <f t="shared" si="76"/>
        <v>0</v>
      </c>
      <c r="AE212" s="30">
        <f t="shared" si="77"/>
        <v>0</v>
      </c>
    </row>
    <row r="213" spans="1:31">
      <c r="A213" s="310">
        <v>287223</v>
      </c>
      <c r="B213" s="310">
        <v>282</v>
      </c>
      <c r="C213" s="361" t="s">
        <v>366</v>
      </c>
      <c r="D213" s="390">
        <v>415.935</v>
      </c>
      <c r="E213" s="311" t="s">
        <v>8</v>
      </c>
      <c r="F213" s="354" t="s">
        <v>9</v>
      </c>
      <c r="G213" s="378">
        <v>-328985</v>
      </c>
      <c r="H213" s="378">
        <v>-318019</v>
      </c>
      <c r="I213" s="378">
        <v>-307052</v>
      </c>
      <c r="J213" s="378">
        <v>-296086</v>
      </c>
      <c r="K213" s="378">
        <v>-285120</v>
      </c>
      <c r="L213" s="378">
        <v>-274154</v>
      </c>
      <c r="M213" s="378">
        <v>-263188</v>
      </c>
      <c r="N213" s="378">
        <v>-252222</v>
      </c>
      <c r="O213" s="378">
        <v>-241255</v>
      </c>
      <c r="P213" s="378">
        <v>-230289</v>
      </c>
      <c r="Q213" s="378">
        <v>-219323</v>
      </c>
      <c r="R213" s="378">
        <v>-186544</v>
      </c>
      <c r="S213" s="378">
        <v>-175578</v>
      </c>
      <c r="T213" s="378">
        <f t="shared" si="78"/>
        <v>-260461</v>
      </c>
      <c r="U213" s="380">
        <f t="shared" si="79"/>
        <v>-260461</v>
      </c>
      <c r="V213" s="356">
        <f t="shared" si="80"/>
        <v>-260461</v>
      </c>
      <c r="W213" s="356">
        <v>0</v>
      </c>
      <c r="X213" s="356">
        <f t="shared" si="68"/>
        <v>-260461</v>
      </c>
      <c r="Y213" s="229">
        <v>0</v>
      </c>
      <c r="Z213" s="229">
        <f t="shared" si="74"/>
        <v>-260461</v>
      </c>
      <c r="AA213" s="362" t="s">
        <v>32</v>
      </c>
      <c r="AB213" s="270">
        <f>SUMIF('Allocation Factors'!$B$3:$B$89,'Accumulated Deferred Income Tax'!AA213,'Allocation Factors'!$P$3:$P$89)</f>
        <v>0</v>
      </c>
      <c r="AC213" s="271">
        <f t="shared" si="75"/>
        <v>0</v>
      </c>
      <c r="AD213" s="271">
        <f t="shared" si="76"/>
        <v>0</v>
      </c>
      <c r="AE213" s="30">
        <f t="shared" si="77"/>
        <v>0</v>
      </c>
    </row>
    <row r="214" spans="1:31" s="181" customFormat="1">
      <c r="A214" s="29">
        <v>287313</v>
      </c>
      <c r="B214" s="29">
        <v>282</v>
      </c>
      <c r="C214" s="28" t="s">
        <v>299</v>
      </c>
      <c r="D214" s="273">
        <v>105.45</v>
      </c>
      <c r="E214" s="311" t="s">
        <v>8</v>
      </c>
      <c r="F214" s="29" t="s">
        <v>333</v>
      </c>
      <c r="G214" s="229">
        <v>242718173</v>
      </c>
      <c r="H214" s="229">
        <v>243480894</v>
      </c>
      <c r="I214" s="229">
        <v>244205751</v>
      </c>
      <c r="J214" s="229">
        <v>245121570</v>
      </c>
      <c r="K214" s="229">
        <v>245902112</v>
      </c>
      <c r="L214" s="229">
        <v>246456087</v>
      </c>
      <c r="M214" s="229">
        <v>247201083</v>
      </c>
      <c r="N214" s="229">
        <v>248331113</v>
      </c>
      <c r="O214" s="229">
        <v>249227023</v>
      </c>
      <c r="P214" s="229">
        <v>249552765</v>
      </c>
      <c r="Q214" s="229">
        <v>249974037</v>
      </c>
      <c r="R214" s="229">
        <v>250614420</v>
      </c>
      <c r="S214" s="229">
        <v>251388884</v>
      </c>
      <c r="T214" s="229">
        <f t="shared" si="78"/>
        <v>247260032</v>
      </c>
      <c r="U214" s="229">
        <f t="shared" si="79"/>
        <v>247260032</v>
      </c>
      <c r="V214" s="356">
        <f t="shared" si="80"/>
        <v>247260032</v>
      </c>
      <c r="W214" s="356">
        <v>0</v>
      </c>
      <c r="X214" s="356">
        <f t="shared" si="68"/>
        <v>0</v>
      </c>
      <c r="Y214" s="229">
        <v>0</v>
      </c>
      <c r="Z214" s="229">
        <f t="shared" si="74"/>
        <v>0</v>
      </c>
      <c r="AA214" s="29" t="s">
        <v>331</v>
      </c>
      <c r="AB214" s="270">
        <f>SUMIF('Allocation Factors'!$B$3:$B$89,'Accumulated Deferred Income Tax'!AA214,'Allocation Factors'!$P$3:$P$89)</f>
        <v>0</v>
      </c>
      <c r="AC214" s="271">
        <f t="shared" si="75"/>
        <v>0</v>
      </c>
      <c r="AD214" s="271">
        <f t="shared" si="76"/>
        <v>0</v>
      </c>
      <c r="AE214" s="30">
        <f t="shared" si="77"/>
        <v>0</v>
      </c>
    </row>
    <row r="215" spans="1:31" s="181" customFormat="1">
      <c r="A215" s="29">
        <v>287607</v>
      </c>
      <c r="B215" s="29">
        <v>282</v>
      </c>
      <c r="C215" s="90" t="s">
        <v>614</v>
      </c>
      <c r="D215" s="29" t="s">
        <v>8</v>
      </c>
      <c r="E215" s="311" t="s">
        <v>8</v>
      </c>
      <c r="F215" s="276" t="s">
        <v>9</v>
      </c>
      <c r="G215" s="229">
        <v>-9417687</v>
      </c>
      <c r="H215" s="229">
        <v>-9153733</v>
      </c>
      <c r="I215" s="229">
        <v>-8929940</v>
      </c>
      <c r="J215" s="229">
        <v>-8801975</v>
      </c>
      <c r="K215" s="229">
        <v>-8717692</v>
      </c>
      <c r="L215" s="229">
        <v>-8591693</v>
      </c>
      <c r="M215" s="229">
        <v>-7633104</v>
      </c>
      <c r="N215" s="229">
        <v>-7463364</v>
      </c>
      <c r="O215" s="229">
        <v>-7347098</v>
      </c>
      <c r="P215" s="229">
        <v>-7231454</v>
      </c>
      <c r="Q215" s="229">
        <v>-7145688</v>
      </c>
      <c r="R215" s="229">
        <v>-7022308</v>
      </c>
      <c r="S215" s="229">
        <v>-7148389</v>
      </c>
      <c r="T215" s="229">
        <f t="shared" si="78"/>
        <v>-8026757</v>
      </c>
      <c r="U215" s="229">
        <f t="shared" si="79"/>
        <v>-8026757</v>
      </c>
      <c r="V215" s="356">
        <f t="shared" si="80"/>
        <v>-8026757</v>
      </c>
      <c r="W215" s="356">
        <v>0</v>
      </c>
      <c r="X215" s="356">
        <f t="shared" si="68"/>
        <v>-8026757</v>
      </c>
      <c r="Y215" s="229">
        <v>0</v>
      </c>
      <c r="Z215" s="229">
        <f t="shared" si="74"/>
        <v>-8026757</v>
      </c>
      <c r="AA215" s="276" t="s">
        <v>170</v>
      </c>
      <c r="AB215" s="270">
        <f>SUMIF('Allocation Factors'!$B$3:$B$89,'Accumulated Deferred Income Tax'!AA215,'Allocation Factors'!$P$3:$P$89)</f>
        <v>0.22591574269314921</v>
      </c>
      <c r="AC215" s="271">
        <f t="shared" si="75"/>
        <v>-1813371</v>
      </c>
      <c r="AD215" s="271">
        <f t="shared" si="76"/>
        <v>0</v>
      </c>
      <c r="AE215" s="30">
        <f t="shared" si="77"/>
        <v>-1813371</v>
      </c>
    </row>
    <row r="216" spans="1:31">
      <c r="A216" s="29">
        <v>287608</v>
      </c>
      <c r="B216" s="29">
        <v>282</v>
      </c>
      <c r="C216" s="28" t="s">
        <v>615</v>
      </c>
      <c r="D216" s="273" t="s">
        <v>266</v>
      </c>
      <c r="E216" s="29" t="s">
        <v>8</v>
      </c>
      <c r="F216" s="29" t="s">
        <v>9</v>
      </c>
      <c r="G216" s="229">
        <v>-1102687</v>
      </c>
      <c r="H216" s="229">
        <v>-1062076</v>
      </c>
      <c r="I216" s="229">
        <v>-1027643</v>
      </c>
      <c r="J216" s="229">
        <v>-1007955</v>
      </c>
      <c r="K216" s="229">
        <v>-994987</v>
      </c>
      <c r="L216" s="229">
        <v>-975601</v>
      </c>
      <c r="M216" s="229">
        <v>-951139</v>
      </c>
      <c r="N216" s="229">
        <v>-928118</v>
      </c>
      <c r="O216" s="229">
        <v>-912350</v>
      </c>
      <c r="P216" s="229">
        <v>-896666</v>
      </c>
      <c r="Q216" s="229">
        <v>-885034</v>
      </c>
      <c r="R216" s="229">
        <v>-868301</v>
      </c>
      <c r="S216" s="229">
        <v>-841696</v>
      </c>
      <c r="T216" s="229">
        <f t="shared" si="78"/>
        <v>-956838</v>
      </c>
      <c r="U216" s="229">
        <f t="shared" si="79"/>
        <v>-956838</v>
      </c>
      <c r="V216" s="356">
        <f t="shared" si="80"/>
        <v>-956838</v>
      </c>
      <c r="W216" s="356">
        <v>0</v>
      </c>
      <c r="X216" s="356">
        <f t="shared" si="68"/>
        <v>-956838</v>
      </c>
      <c r="Y216" s="229">
        <v>0</v>
      </c>
      <c r="Z216" s="229">
        <f t="shared" si="74"/>
        <v>-956838</v>
      </c>
      <c r="AA216" s="276" t="s">
        <v>162</v>
      </c>
      <c r="AB216" s="270">
        <f>SUMIF('Allocation Factors'!$B$3:$B$89,'Accumulated Deferred Income Tax'!AA216,'Allocation Factors'!$P$3:$P$89)</f>
        <v>0</v>
      </c>
      <c r="AC216" s="271">
        <f t="shared" si="75"/>
        <v>0</v>
      </c>
      <c r="AD216" s="271">
        <f t="shared" si="76"/>
        <v>0</v>
      </c>
      <c r="AE216" s="30">
        <f t="shared" si="77"/>
        <v>0</v>
      </c>
    </row>
    <row r="217" spans="1:31">
      <c r="A217" s="29">
        <v>287610</v>
      </c>
      <c r="B217" s="29">
        <v>282</v>
      </c>
      <c r="C217" s="28" t="s">
        <v>513</v>
      </c>
      <c r="D217" s="273">
        <v>105.46</v>
      </c>
      <c r="E217" s="29" t="s">
        <v>8</v>
      </c>
      <c r="F217" s="269" t="s">
        <v>333</v>
      </c>
      <c r="G217" s="229">
        <v>-26158705</v>
      </c>
      <c r="H217" s="229">
        <v>-25916052</v>
      </c>
      <c r="I217" s="229">
        <v>-25635898</v>
      </c>
      <c r="J217" s="229">
        <v>-25093169</v>
      </c>
      <c r="K217" s="229">
        <v>-24915105</v>
      </c>
      <c r="L217" s="229">
        <v>-24706240</v>
      </c>
      <c r="M217" s="229">
        <v>-24192983</v>
      </c>
      <c r="N217" s="229">
        <v>-24050529</v>
      </c>
      <c r="O217" s="229">
        <v>-23888825</v>
      </c>
      <c r="P217" s="229">
        <v>-23674379</v>
      </c>
      <c r="Q217" s="229">
        <v>-23488571</v>
      </c>
      <c r="R217" s="229">
        <v>-23258532</v>
      </c>
      <c r="S217" s="229">
        <v>-23953663</v>
      </c>
      <c r="T217" s="229">
        <f t="shared" si="78"/>
        <v>-24489706</v>
      </c>
      <c r="U217" s="229">
        <f t="shared" si="79"/>
        <v>-24489706</v>
      </c>
      <c r="V217" s="356">
        <f t="shared" si="80"/>
        <v>-24489706</v>
      </c>
      <c r="W217" s="356">
        <v>0</v>
      </c>
      <c r="X217" s="356">
        <f t="shared" si="68"/>
        <v>0</v>
      </c>
      <c r="Y217" s="229">
        <v>0</v>
      </c>
      <c r="Z217" s="229">
        <f t="shared" si="74"/>
        <v>0</v>
      </c>
      <c r="AA217" s="29" t="s">
        <v>331</v>
      </c>
      <c r="AB217" s="270">
        <f>SUMIF('Allocation Factors'!$B$3:$B$89,'Accumulated Deferred Income Tax'!AA217,'Allocation Factors'!$P$3:$P$89)</f>
        <v>0</v>
      </c>
      <c r="AC217" s="271">
        <f t="shared" si="75"/>
        <v>0</v>
      </c>
      <c r="AD217" s="271">
        <f t="shared" si="76"/>
        <v>0</v>
      </c>
      <c r="AE217" s="30">
        <f t="shared" si="77"/>
        <v>0</v>
      </c>
    </row>
    <row r="218" spans="1:31">
      <c r="A218" s="29">
        <v>287185</v>
      </c>
      <c r="B218" s="29">
        <v>282</v>
      </c>
      <c r="C218" s="90" t="s">
        <v>634</v>
      </c>
      <c r="D218" s="29" t="s">
        <v>8</v>
      </c>
      <c r="E218" s="29" t="s">
        <v>8</v>
      </c>
      <c r="F218" s="269" t="s">
        <v>333</v>
      </c>
      <c r="G218" s="229">
        <v>0</v>
      </c>
      <c r="H218" s="229">
        <v>0</v>
      </c>
      <c r="I218" s="229">
        <v>0</v>
      </c>
      <c r="J218" s="229">
        <v>0</v>
      </c>
      <c r="K218" s="229">
        <v>0</v>
      </c>
      <c r="L218" s="229">
        <v>0</v>
      </c>
      <c r="M218" s="229">
        <v>173163591</v>
      </c>
      <c r="N218" s="229">
        <v>173163591</v>
      </c>
      <c r="O218" s="229">
        <v>173163591</v>
      </c>
      <c r="P218" s="229">
        <v>172986148</v>
      </c>
      <c r="Q218" s="229">
        <v>172948258</v>
      </c>
      <c r="R218" s="229">
        <v>172893751</v>
      </c>
      <c r="S218" s="229">
        <v>172807087</v>
      </c>
      <c r="T218" s="229">
        <f t="shared" si="78"/>
        <v>93726873</v>
      </c>
      <c r="U218" s="229">
        <f t="shared" si="79"/>
        <v>93726873</v>
      </c>
      <c r="V218" s="356">
        <f t="shared" si="80"/>
        <v>93726873</v>
      </c>
      <c r="W218" s="356">
        <v>0</v>
      </c>
      <c r="X218" s="356">
        <f t="shared" si="68"/>
        <v>0</v>
      </c>
      <c r="Y218" s="229">
        <v>0</v>
      </c>
      <c r="Z218" s="229">
        <f t="shared" si="74"/>
        <v>0</v>
      </c>
      <c r="AA218" s="276" t="s">
        <v>331</v>
      </c>
      <c r="AB218" s="270">
        <f>SUMIF('Allocation Factors'!$B$3:$B$89,'Accumulated Deferred Income Tax'!AA218,'Allocation Factors'!$P$3:$P$89)</f>
        <v>0</v>
      </c>
      <c r="AC218" s="271">
        <f t="shared" si="75"/>
        <v>0</v>
      </c>
      <c r="AD218" s="271">
        <f t="shared" si="76"/>
        <v>0</v>
      </c>
      <c r="AE218" s="30">
        <f t="shared" si="77"/>
        <v>0</v>
      </c>
    </row>
    <row r="219" spans="1:31">
      <c r="A219" s="29">
        <v>287187</v>
      </c>
      <c r="B219" s="29">
        <v>282</v>
      </c>
      <c r="C219" s="90" t="s">
        <v>616</v>
      </c>
      <c r="D219" s="273">
        <v>100.121</v>
      </c>
      <c r="E219" s="29" t="s">
        <v>8</v>
      </c>
      <c r="F219" s="269" t="s">
        <v>333</v>
      </c>
      <c r="G219" s="229">
        <v>1401533341</v>
      </c>
      <c r="H219" s="229">
        <v>1395703719</v>
      </c>
      <c r="I219" s="229">
        <v>1390671100</v>
      </c>
      <c r="J219" s="229">
        <v>1399305288</v>
      </c>
      <c r="K219" s="229">
        <v>1397791988</v>
      </c>
      <c r="L219" s="229">
        <v>1395280306</v>
      </c>
      <c r="M219" s="229">
        <v>1122042940</v>
      </c>
      <c r="N219" s="229">
        <v>1118818996</v>
      </c>
      <c r="O219" s="229">
        <v>1116463184</v>
      </c>
      <c r="P219" s="229">
        <v>1114140568</v>
      </c>
      <c r="Q219" s="229">
        <v>1112670314</v>
      </c>
      <c r="R219" s="229">
        <v>1110329717</v>
      </c>
      <c r="S219" s="229">
        <v>1104359460</v>
      </c>
      <c r="T219" s="229">
        <f t="shared" si="78"/>
        <v>1243847043</v>
      </c>
      <c r="U219" s="229">
        <f t="shared" si="79"/>
        <v>1243847043</v>
      </c>
      <c r="V219" s="356">
        <f t="shared" si="80"/>
        <v>1243847043</v>
      </c>
      <c r="W219" s="356">
        <v>0</v>
      </c>
      <c r="X219" s="356">
        <f t="shared" si="68"/>
        <v>0</v>
      </c>
      <c r="Y219" s="229">
        <v>0</v>
      </c>
      <c r="Z219" s="229">
        <f t="shared" si="74"/>
        <v>0</v>
      </c>
      <c r="AA219" s="29" t="s">
        <v>331</v>
      </c>
      <c r="AB219" s="270">
        <f>SUMIF('Allocation Factors'!$B$3:$B$89,'Accumulated Deferred Income Tax'!AA219,'Allocation Factors'!$P$3:$P$89)</f>
        <v>0</v>
      </c>
      <c r="AC219" s="271">
        <f t="shared" si="75"/>
        <v>0</v>
      </c>
      <c r="AD219" s="271">
        <f t="shared" si="76"/>
        <v>0</v>
      </c>
      <c r="AE219" s="30">
        <f t="shared" si="77"/>
        <v>0</v>
      </c>
    </row>
    <row r="220" spans="1:31">
      <c r="A220" s="29">
        <v>287189</v>
      </c>
      <c r="B220" s="29">
        <v>282</v>
      </c>
      <c r="C220" s="90" t="s">
        <v>617</v>
      </c>
      <c r="D220" s="273">
        <v>100.122</v>
      </c>
      <c r="E220" s="29" t="s">
        <v>8</v>
      </c>
      <c r="F220" s="269" t="s">
        <v>333</v>
      </c>
      <c r="G220" s="229">
        <v>9417687</v>
      </c>
      <c r="H220" s="229">
        <v>9153733</v>
      </c>
      <c r="I220" s="229">
        <v>8929940</v>
      </c>
      <c r="J220" s="229">
        <v>8801975</v>
      </c>
      <c r="K220" s="229">
        <v>8717692</v>
      </c>
      <c r="L220" s="229">
        <v>8591693</v>
      </c>
      <c r="M220" s="229">
        <v>7633104</v>
      </c>
      <c r="N220" s="229">
        <v>7463364</v>
      </c>
      <c r="O220" s="229">
        <v>7347098</v>
      </c>
      <c r="P220" s="229">
        <v>7231454</v>
      </c>
      <c r="Q220" s="229">
        <v>7145688</v>
      </c>
      <c r="R220" s="229">
        <v>7022308</v>
      </c>
      <c r="S220" s="229">
        <v>7148389</v>
      </c>
      <c r="T220" s="229">
        <f t="shared" si="78"/>
        <v>8026757</v>
      </c>
      <c r="U220" s="229">
        <f t="shared" si="79"/>
        <v>8026757</v>
      </c>
      <c r="V220" s="356">
        <f t="shared" si="80"/>
        <v>8026757</v>
      </c>
      <c r="W220" s="356">
        <v>0</v>
      </c>
      <c r="X220" s="356">
        <f t="shared" si="68"/>
        <v>0</v>
      </c>
      <c r="Y220" s="229">
        <v>0</v>
      </c>
      <c r="Z220" s="229">
        <f t="shared" si="74"/>
        <v>0</v>
      </c>
      <c r="AA220" s="29" t="s">
        <v>331</v>
      </c>
      <c r="AB220" s="270">
        <f>SUMIF('Allocation Factors'!$B$3:$B$89,'Accumulated Deferred Income Tax'!AA220,'Allocation Factors'!$P$3:$P$89)</f>
        <v>0</v>
      </c>
      <c r="AC220" s="271">
        <f t="shared" si="75"/>
        <v>0</v>
      </c>
      <c r="AD220" s="271">
        <f t="shared" si="76"/>
        <v>0</v>
      </c>
      <c r="AE220" s="30">
        <f t="shared" si="77"/>
        <v>0</v>
      </c>
    </row>
    <row r="221" spans="1:31">
      <c r="A221" s="29">
        <v>287704</v>
      </c>
      <c r="B221" s="29">
        <v>282</v>
      </c>
      <c r="C221" s="28" t="s">
        <v>47</v>
      </c>
      <c r="D221" s="273">
        <v>105.143</v>
      </c>
      <c r="E221" s="29" t="s">
        <v>8</v>
      </c>
      <c r="F221" s="29" t="s">
        <v>9</v>
      </c>
      <c r="G221" s="229">
        <v>-1058379</v>
      </c>
      <c r="H221" s="229">
        <v>-1058379</v>
      </c>
      <c r="I221" s="229">
        <v>-1058379</v>
      </c>
      <c r="J221" s="229">
        <v>-1070808</v>
      </c>
      <c r="K221" s="229">
        <v>-1070808</v>
      </c>
      <c r="L221" s="229">
        <v>-1070808</v>
      </c>
      <c r="M221" s="229">
        <v>-1083823</v>
      </c>
      <c r="N221" s="229">
        <v>-1083823</v>
      </c>
      <c r="O221" s="229">
        <v>-1083823</v>
      </c>
      <c r="P221" s="229">
        <v>-1097617</v>
      </c>
      <c r="Q221" s="229">
        <v>-1097617</v>
      </c>
      <c r="R221" s="229">
        <v>-1097617</v>
      </c>
      <c r="S221" s="229">
        <v>-1113140</v>
      </c>
      <c r="T221" s="229">
        <f t="shared" si="78"/>
        <v>-1079938</v>
      </c>
      <c r="U221" s="229">
        <f t="shared" si="79"/>
        <v>-1079938</v>
      </c>
      <c r="V221" s="356">
        <f t="shared" si="80"/>
        <v>-1079938</v>
      </c>
      <c r="W221" s="356">
        <v>0</v>
      </c>
      <c r="X221" s="356">
        <f t="shared" si="68"/>
        <v>-1079938</v>
      </c>
      <c r="Y221" s="229">
        <v>0</v>
      </c>
      <c r="Z221" s="229">
        <f t="shared" si="74"/>
        <v>-1079938</v>
      </c>
      <c r="AA221" s="29" t="s">
        <v>10</v>
      </c>
      <c r="AB221" s="270">
        <f>SUMIF('Allocation Factors'!$B$3:$B$89,'Accumulated Deferred Income Tax'!AA221,'Allocation Factors'!$P$3:$P$89)</f>
        <v>6.7017620954721469E-2</v>
      </c>
      <c r="AC221" s="271">
        <f t="shared" si="75"/>
        <v>-72375</v>
      </c>
      <c r="AD221" s="271">
        <f t="shared" si="76"/>
        <v>0</v>
      </c>
      <c r="AE221" s="30">
        <f t="shared" si="77"/>
        <v>-72375</v>
      </c>
    </row>
    <row r="222" spans="1:31">
      <c r="A222" s="29">
        <v>287766</v>
      </c>
      <c r="B222" s="29">
        <v>282</v>
      </c>
      <c r="C222" s="28" t="s">
        <v>551</v>
      </c>
      <c r="D222" s="273" t="s">
        <v>63</v>
      </c>
      <c r="E222" s="29" t="s">
        <v>8</v>
      </c>
      <c r="F222" s="269" t="s">
        <v>9</v>
      </c>
      <c r="G222" s="229">
        <v>75022</v>
      </c>
      <c r="H222" s="229">
        <v>74022</v>
      </c>
      <c r="I222" s="229">
        <v>73022</v>
      </c>
      <c r="J222" s="229">
        <v>72022</v>
      </c>
      <c r="K222" s="229">
        <v>71022</v>
      </c>
      <c r="L222" s="229">
        <v>70022</v>
      </c>
      <c r="M222" s="229">
        <v>69021</v>
      </c>
      <c r="N222" s="229">
        <v>68438</v>
      </c>
      <c r="O222" s="229">
        <v>67856</v>
      </c>
      <c r="P222" s="229">
        <v>67273</v>
      </c>
      <c r="Q222" s="229">
        <v>66690</v>
      </c>
      <c r="R222" s="229">
        <v>66107</v>
      </c>
      <c r="S222" s="229">
        <v>65524</v>
      </c>
      <c r="T222" s="229">
        <f t="shared" si="78"/>
        <v>69647</v>
      </c>
      <c r="U222" s="229">
        <f t="shared" si="79"/>
        <v>69647</v>
      </c>
      <c r="V222" s="356">
        <f t="shared" si="80"/>
        <v>69647</v>
      </c>
      <c r="W222" s="356">
        <v>0</v>
      </c>
      <c r="X222" s="356">
        <f t="shared" si="68"/>
        <v>69647</v>
      </c>
      <c r="Y222" s="229">
        <v>0</v>
      </c>
      <c r="Z222" s="229">
        <f t="shared" si="74"/>
        <v>69647</v>
      </c>
      <c r="AA222" s="29" t="s">
        <v>10</v>
      </c>
      <c r="AB222" s="270">
        <f>SUMIF('Allocation Factors'!$B$3:$B$89,'Accumulated Deferred Income Tax'!AA222,'Allocation Factors'!$P$3:$P$89)</f>
        <v>6.7017620954721469E-2</v>
      </c>
      <c r="AC222" s="271">
        <f t="shared" si="75"/>
        <v>4668</v>
      </c>
      <c r="AD222" s="271">
        <f t="shared" si="76"/>
        <v>0</v>
      </c>
      <c r="AE222" s="30">
        <f t="shared" si="77"/>
        <v>4668</v>
      </c>
    </row>
    <row r="223" spans="1:31">
      <c r="A223" s="29">
        <v>287771</v>
      </c>
      <c r="B223" s="29">
        <v>282</v>
      </c>
      <c r="C223" s="28" t="s">
        <v>267</v>
      </c>
      <c r="D223" s="273">
        <v>110.205</v>
      </c>
      <c r="E223" s="29" t="s">
        <v>8</v>
      </c>
      <c r="F223" s="269" t="s">
        <v>9</v>
      </c>
      <c r="G223" s="229">
        <v>158404</v>
      </c>
      <c r="H223" s="229">
        <v>157652</v>
      </c>
      <c r="I223" s="229">
        <v>156901</v>
      </c>
      <c r="J223" s="229">
        <v>156149</v>
      </c>
      <c r="K223" s="229">
        <v>155398</v>
      </c>
      <c r="L223" s="229">
        <v>154646</v>
      </c>
      <c r="M223" s="229">
        <v>154934</v>
      </c>
      <c r="N223" s="229">
        <v>154220</v>
      </c>
      <c r="O223" s="229">
        <v>153507</v>
      </c>
      <c r="P223" s="229">
        <v>152793</v>
      </c>
      <c r="Q223" s="229">
        <v>152079</v>
      </c>
      <c r="R223" s="229">
        <v>151365</v>
      </c>
      <c r="S223" s="229">
        <v>150795</v>
      </c>
      <c r="T223" s="229">
        <f t="shared" si="78"/>
        <v>154520</v>
      </c>
      <c r="U223" s="229">
        <f t="shared" si="79"/>
        <v>154520</v>
      </c>
      <c r="V223" s="356">
        <f t="shared" si="80"/>
        <v>154520</v>
      </c>
      <c r="W223" s="356">
        <v>0</v>
      </c>
      <c r="X223" s="356">
        <f t="shared" si="68"/>
        <v>154520</v>
      </c>
      <c r="Y223" s="229">
        <v>0</v>
      </c>
      <c r="Z223" s="229">
        <f t="shared" si="74"/>
        <v>154520</v>
      </c>
      <c r="AA223" s="276" t="s">
        <v>119</v>
      </c>
      <c r="AB223" s="270">
        <f>SUMIF('Allocation Factors'!$B$3:$B$89,'Accumulated Deferred Income Tax'!AA223,'Allocation Factors'!$P$3:$P$89)</f>
        <v>0</v>
      </c>
      <c r="AC223" s="271">
        <f t="shared" si="75"/>
        <v>0</v>
      </c>
      <c r="AD223" s="271">
        <f t="shared" si="76"/>
        <v>0</v>
      </c>
      <c r="AE223" s="30">
        <f t="shared" si="77"/>
        <v>0</v>
      </c>
    </row>
    <row r="224" spans="1:31">
      <c r="A224" s="29">
        <v>287928</v>
      </c>
      <c r="B224" s="298">
        <v>282</v>
      </c>
      <c r="C224" s="90" t="s">
        <v>469</v>
      </c>
      <c r="D224" s="275">
        <v>425.31</v>
      </c>
      <c r="E224" s="29" t="s">
        <v>8</v>
      </c>
      <c r="F224" s="276" t="s">
        <v>9</v>
      </c>
      <c r="G224" s="229">
        <v>-4190160</v>
      </c>
      <c r="H224" s="229">
        <v>-4162980</v>
      </c>
      <c r="I224" s="229">
        <v>-4135765</v>
      </c>
      <c r="J224" s="229">
        <v>-4108440</v>
      </c>
      <c r="K224" s="229">
        <v>-4081208</v>
      </c>
      <c r="L224" s="229">
        <v>-4053976</v>
      </c>
      <c r="M224" s="229">
        <v>-4026581</v>
      </c>
      <c r="N224" s="229">
        <v>-3999353</v>
      </c>
      <c r="O224" s="229">
        <v>-3972145</v>
      </c>
      <c r="P224" s="229">
        <v>-3944929</v>
      </c>
      <c r="Q224" s="229">
        <v>-3917735</v>
      </c>
      <c r="R224" s="229">
        <v>-3890519</v>
      </c>
      <c r="S224" s="229">
        <v>-3863223</v>
      </c>
      <c r="T224" s="229">
        <f t="shared" si="78"/>
        <v>-4026694</v>
      </c>
      <c r="U224" s="229">
        <f t="shared" si="79"/>
        <v>-4026694</v>
      </c>
      <c r="V224" s="356">
        <f t="shared" si="80"/>
        <v>-4026694</v>
      </c>
      <c r="W224" s="356">
        <v>0</v>
      </c>
      <c r="X224" s="356">
        <f t="shared" si="68"/>
        <v>-4026694</v>
      </c>
      <c r="Y224" s="229">
        <v>0</v>
      </c>
      <c r="Z224" s="229">
        <f t="shared" si="74"/>
        <v>-4026694</v>
      </c>
      <c r="AA224" s="276" t="s">
        <v>15</v>
      </c>
      <c r="AB224" s="270">
        <f>SUMIF('Allocation Factors'!$B$3:$B$89,'Accumulated Deferred Income Tax'!AA224,'Allocation Factors'!$P$3:$P$89)</f>
        <v>0</v>
      </c>
      <c r="AC224" s="271">
        <f t="shared" si="75"/>
        <v>0</v>
      </c>
      <c r="AD224" s="271">
        <f t="shared" si="76"/>
        <v>0</v>
      </c>
      <c r="AE224" s="30">
        <f t="shared" si="77"/>
        <v>0</v>
      </c>
    </row>
    <row r="225" spans="1:31">
      <c r="A225" s="29">
        <v>287929</v>
      </c>
      <c r="B225" s="298">
        <v>282</v>
      </c>
      <c r="C225" s="90" t="s">
        <v>300</v>
      </c>
      <c r="D225" s="275">
        <v>105.46</v>
      </c>
      <c r="E225" s="29" t="s">
        <v>8</v>
      </c>
      <c r="F225" s="276" t="s">
        <v>333</v>
      </c>
      <c r="G225" s="229">
        <v>-242718173</v>
      </c>
      <c r="H225" s="229">
        <v>-243480894</v>
      </c>
      <c r="I225" s="229">
        <v>-244205751</v>
      </c>
      <c r="J225" s="229">
        <v>-245121570</v>
      </c>
      <c r="K225" s="229">
        <v>-245902112</v>
      </c>
      <c r="L225" s="229">
        <v>-246456087</v>
      </c>
      <c r="M225" s="229">
        <v>-247201083</v>
      </c>
      <c r="N225" s="229">
        <v>-248331113</v>
      </c>
      <c r="O225" s="229">
        <v>-249227023</v>
      </c>
      <c r="P225" s="229">
        <v>-249552765</v>
      </c>
      <c r="Q225" s="229">
        <v>-249974037</v>
      </c>
      <c r="R225" s="229">
        <v>-250614420</v>
      </c>
      <c r="S225" s="229">
        <v>-251388884</v>
      </c>
      <c r="T225" s="229">
        <f t="shared" si="78"/>
        <v>-247260032</v>
      </c>
      <c r="U225" s="229">
        <f t="shared" si="79"/>
        <v>-247260032</v>
      </c>
      <c r="V225" s="356">
        <f t="shared" si="80"/>
        <v>-247260032</v>
      </c>
      <c r="W225" s="356">
        <v>0</v>
      </c>
      <c r="X225" s="356">
        <f t="shared" si="68"/>
        <v>0</v>
      </c>
      <c r="Y225" s="229">
        <v>0</v>
      </c>
      <c r="Z225" s="229">
        <f t="shared" si="74"/>
        <v>0</v>
      </c>
      <c r="AA225" s="276" t="s">
        <v>331</v>
      </c>
      <c r="AB225" s="270">
        <f>SUMIF('Allocation Factors'!$B$3:$B$89,'Accumulated Deferred Income Tax'!AA225,'Allocation Factors'!$P$3:$P$89)</f>
        <v>0</v>
      </c>
      <c r="AC225" s="271">
        <f t="shared" si="75"/>
        <v>0</v>
      </c>
      <c r="AD225" s="271">
        <f t="shared" si="76"/>
        <v>0</v>
      </c>
      <c r="AE225" s="30">
        <f t="shared" si="77"/>
        <v>0</v>
      </c>
    </row>
    <row r="226" spans="1:31">
      <c r="A226" s="183"/>
      <c r="B226" s="215"/>
      <c r="C226" s="216"/>
      <c r="D226" s="217"/>
      <c r="E226" s="217"/>
      <c r="F226" s="161"/>
      <c r="G226" s="186">
        <f t="shared" ref="G226:K226" si="81">SUBTOTAL(9,G202:G225)</f>
        <v>1367693042</v>
      </c>
      <c r="H226" s="186">
        <f t="shared" si="81"/>
        <v>1362220450</v>
      </c>
      <c r="I226" s="186">
        <f t="shared" si="81"/>
        <v>1357571303</v>
      </c>
      <c r="J226" s="186">
        <f t="shared" si="81"/>
        <v>1366739854</v>
      </c>
      <c r="K226" s="186">
        <f t="shared" si="81"/>
        <v>1365478620</v>
      </c>
      <c r="L226" s="186">
        <f>SUBTOTAL(9,L202:L225)</f>
        <v>1363252533</v>
      </c>
      <c r="M226" s="186">
        <f t="shared" ref="M226:Z226" si="82">SUBTOTAL(9,M202:M225)</f>
        <v>1090601768</v>
      </c>
      <c r="N226" s="186">
        <f t="shared" si="82"/>
        <v>1087624452</v>
      </c>
      <c r="O226" s="186">
        <f t="shared" si="82"/>
        <v>1085517167</v>
      </c>
      <c r="P226" s="186">
        <f t="shared" si="82"/>
        <v>1079933633</v>
      </c>
      <c r="Q226" s="186">
        <f t="shared" si="82"/>
        <v>1078725032</v>
      </c>
      <c r="R226" s="186">
        <f t="shared" si="82"/>
        <v>1076779256</v>
      </c>
      <c r="S226" s="186">
        <f t="shared" si="82"/>
        <v>1070188078</v>
      </c>
      <c r="T226" s="186">
        <f t="shared" si="82"/>
        <v>1211115386</v>
      </c>
      <c r="U226" s="186">
        <f t="shared" si="82"/>
        <v>1211115386</v>
      </c>
      <c r="V226" s="186">
        <f t="shared" si="82"/>
        <v>1211115386</v>
      </c>
      <c r="W226" s="186">
        <f t="shared" si="82"/>
        <v>0</v>
      </c>
      <c r="X226" s="186">
        <f t="shared" si="82"/>
        <v>-110370464</v>
      </c>
      <c r="Y226" s="186">
        <f t="shared" si="82"/>
        <v>11302222</v>
      </c>
      <c r="Z226" s="186">
        <f t="shared" si="82"/>
        <v>-99068242</v>
      </c>
      <c r="AA226" s="183"/>
      <c r="AB226" s="162"/>
      <c r="AC226" s="213">
        <f>SUBTOTAL(9,AC202:AC225)</f>
        <v>-13183300</v>
      </c>
      <c r="AD226" s="213">
        <f t="shared" ref="AD226:AE226" si="83">SUBTOTAL(9,AD202:AD225)</f>
        <v>11302222</v>
      </c>
      <c r="AE226" s="213">
        <f t="shared" si="83"/>
        <v>-1881078</v>
      </c>
    </row>
    <row r="227" spans="1:31">
      <c r="A227" s="183"/>
      <c r="B227" s="215"/>
      <c r="C227" s="216"/>
      <c r="D227" s="217"/>
      <c r="E227" s="217"/>
      <c r="F227" s="161"/>
      <c r="G227" s="186">
        <f t="shared" ref="G227:Z227" si="84">SUBTOTAL(9,G148:G226)</f>
        <v>-3138453554</v>
      </c>
      <c r="H227" s="186">
        <f t="shared" si="84"/>
        <v>-3135631355</v>
      </c>
      <c r="I227" s="186">
        <f t="shared" si="84"/>
        <v>-3132637330</v>
      </c>
      <c r="J227" s="186">
        <f t="shared" si="84"/>
        <v>-3146453540</v>
      </c>
      <c r="K227" s="186">
        <f t="shared" si="84"/>
        <v>-3146273219</v>
      </c>
      <c r="L227" s="186">
        <f t="shared" si="84"/>
        <v>-3143277978</v>
      </c>
      <c r="M227" s="186">
        <f t="shared" si="84"/>
        <v>-3090919502</v>
      </c>
      <c r="N227" s="186">
        <f t="shared" si="84"/>
        <v>-3089797934</v>
      </c>
      <c r="O227" s="186">
        <f t="shared" si="84"/>
        <v>-3088733926</v>
      </c>
      <c r="P227" s="186">
        <f t="shared" si="84"/>
        <v>-3090548731</v>
      </c>
      <c r="Q227" s="186">
        <f t="shared" si="84"/>
        <v>-3092529629</v>
      </c>
      <c r="R227" s="186">
        <f t="shared" si="84"/>
        <v>-3093330487</v>
      </c>
      <c r="S227" s="186">
        <f t="shared" si="84"/>
        <v>-3086564587</v>
      </c>
      <c r="T227" s="186">
        <f t="shared" si="84"/>
        <v>-3113553560</v>
      </c>
      <c r="U227" s="186">
        <f t="shared" si="84"/>
        <v>-3113553560</v>
      </c>
      <c r="V227" s="186">
        <f t="shared" si="84"/>
        <v>-3113553560</v>
      </c>
      <c r="W227" s="186">
        <f t="shared" si="84"/>
        <v>4070519144</v>
      </c>
      <c r="X227" s="186">
        <f t="shared" si="84"/>
        <v>-364520266</v>
      </c>
      <c r="Y227" s="186">
        <f t="shared" si="84"/>
        <v>21898821</v>
      </c>
      <c r="Z227" s="186">
        <f t="shared" si="84"/>
        <v>-342621445</v>
      </c>
      <c r="AA227" s="183"/>
      <c r="AB227" s="162"/>
      <c r="AC227" s="213">
        <f>SUBTOTAL(9,AC148:AC226)</f>
        <v>-278862555</v>
      </c>
      <c r="AD227" s="213">
        <f>SUBTOTAL(9,AD148:AD226)</f>
        <v>48435061</v>
      </c>
      <c r="AE227" s="213">
        <f>SUBTOTAL(9,AE148:AE226)</f>
        <v>-230427494</v>
      </c>
    </row>
    <row r="228" spans="1:31">
      <c r="A228" s="29">
        <v>286900</v>
      </c>
      <c r="B228" s="29">
        <v>283</v>
      </c>
      <c r="C228" s="90" t="s">
        <v>618</v>
      </c>
      <c r="D228" s="273">
        <v>415.93700000000001</v>
      </c>
      <c r="E228" s="29" t="s">
        <v>8</v>
      </c>
      <c r="F228" s="276" t="s">
        <v>333</v>
      </c>
      <c r="G228" s="229">
        <v>68301</v>
      </c>
      <c r="H228" s="229">
        <v>68301</v>
      </c>
      <c r="I228" s="229">
        <v>68301</v>
      </c>
      <c r="J228" s="229">
        <v>68301</v>
      </c>
      <c r="K228" s="229">
        <v>68301</v>
      </c>
      <c r="L228" s="229">
        <v>68301</v>
      </c>
      <c r="M228" s="229">
        <v>68301</v>
      </c>
      <c r="N228" s="229">
        <v>68301</v>
      </c>
      <c r="O228" s="229">
        <v>68301</v>
      </c>
      <c r="P228" s="229">
        <v>68301</v>
      </c>
      <c r="Q228" s="229">
        <v>68301</v>
      </c>
      <c r="R228" s="229">
        <v>68301</v>
      </c>
      <c r="S228" s="229">
        <v>68301</v>
      </c>
      <c r="T228" s="229">
        <f t="shared" ref="T228:T237" si="85">ROUND(((G228*1)+(SUM(H228:R228)*2)+(S228*1))/24,0)</f>
        <v>68301</v>
      </c>
      <c r="U228" s="229">
        <f>+T228</f>
        <v>68301</v>
      </c>
      <c r="V228" s="356">
        <f>+U228</f>
        <v>68301</v>
      </c>
      <c r="W228" s="356">
        <v>0</v>
      </c>
      <c r="X228" s="356">
        <f t="shared" ref="X228:X259" si="86">IF(F228="U",V228,0)</f>
        <v>0</v>
      </c>
      <c r="Y228" s="229">
        <v>0</v>
      </c>
      <c r="Z228" s="229">
        <f t="shared" ref="Z228:Z259" si="87">SUM(X228:Y228)</f>
        <v>0</v>
      </c>
      <c r="AA228" s="276" t="s">
        <v>331</v>
      </c>
      <c r="AB228" s="270">
        <f>SUMIF('Allocation Factors'!$B$3:$B$89,'Accumulated Deferred Income Tax'!AA228,'Allocation Factors'!$P$3:$P$89)</f>
        <v>0</v>
      </c>
      <c r="AC228" s="271">
        <f t="shared" ref="AC228:AC259" si="88">ROUND(X228*AB228,0)</f>
        <v>0</v>
      </c>
      <c r="AD228" s="271">
        <f t="shared" ref="AD228:AD259" si="89">ROUND(Y228*AB228,0)</f>
        <v>0</v>
      </c>
      <c r="AE228" s="30">
        <f t="shared" ref="AE228:AE259" si="90">SUM(AC228:AD228)</f>
        <v>0</v>
      </c>
    </row>
    <row r="229" spans="1:31">
      <c r="A229" s="29">
        <v>286901</v>
      </c>
      <c r="B229" s="29">
        <v>283</v>
      </c>
      <c r="C229" s="90" t="s">
        <v>619</v>
      </c>
      <c r="D229" s="273">
        <v>415.93799999999999</v>
      </c>
      <c r="E229" s="29" t="s">
        <v>8</v>
      </c>
      <c r="F229" s="29" t="s">
        <v>9</v>
      </c>
      <c r="G229" s="229">
        <v>12797</v>
      </c>
      <c r="H229" s="229">
        <v>12797</v>
      </c>
      <c r="I229" s="229">
        <v>12797</v>
      </c>
      <c r="J229" s="229">
        <v>12797</v>
      </c>
      <c r="K229" s="229">
        <v>12797</v>
      </c>
      <c r="L229" s="229">
        <v>12797</v>
      </c>
      <c r="M229" s="229">
        <v>12797</v>
      </c>
      <c r="N229" s="229">
        <v>12797</v>
      </c>
      <c r="O229" s="229">
        <v>12797</v>
      </c>
      <c r="P229" s="229">
        <v>12797</v>
      </c>
      <c r="Q229" s="229">
        <v>12797</v>
      </c>
      <c r="R229" s="229">
        <v>12797</v>
      </c>
      <c r="S229" s="229">
        <v>12797</v>
      </c>
      <c r="T229" s="229">
        <f t="shared" si="85"/>
        <v>12797</v>
      </c>
      <c r="U229" s="229">
        <f>+T229</f>
        <v>12797</v>
      </c>
      <c r="V229" s="356">
        <f>+U229</f>
        <v>12797</v>
      </c>
      <c r="W229" s="356">
        <v>0</v>
      </c>
      <c r="X229" s="356">
        <f t="shared" si="86"/>
        <v>12797</v>
      </c>
      <c r="Y229" s="229">
        <v>0</v>
      </c>
      <c r="Z229" s="229">
        <f t="shared" si="87"/>
        <v>12797</v>
      </c>
      <c r="AA229" s="276" t="s">
        <v>17</v>
      </c>
      <c r="AB229" s="270">
        <f>SUMIF('Allocation Factors'!$B$3:$B$89,'Accumulated Deferred Income Tax'!AA229,'Allocation Factors'!$P$3:$P$89)</f>
        <v>0</v>
      </c>
      <c r="AC229" s="271">
        <f t="shared" si="88"/>
        <v>0</v>
      </c>
      <c r="AD229" s="271">
        <f t="shared" si="89"/>
        <v>0</v>
      </c>
      <c r="AE229" s="30">
        <f t="shared" si="90"/>
        <v>0</v>
      </c>
    </row>
    <row r="230" spans="1:31">
      <c r="A230" s="29">
        <v>286903</v>
      </c>
      <c r="B230" s="29">
        <v>283</v>
      </c>
      <c r="C230" s="90" t="s">
        <v>522</v>
      </c>
      <c r="D230" s="273">
        <v>320.27100000000002</v>
      </c>
      <c r="E230" s="29" t="s">
        <v>8</v>
      </c>
      <c r="F230" s="276" t="s">
        <v>333</v>
      </c>
      <c r="G230" s="229">
        <v>605193</v>
      </c>
      <c r="H230" s="229">
        <v>571571</v>
      </c>
      <c r="I230" s="229">
        <v>537949</v>
      </c>
      <c r="J230" s="229">
        <v>504327</v>
      </c>
      <c r="K230" s="229">
        <v>470706</v>
      </c>
      <c r="L230" s="229">
        <v>437084</v>
      </c>
      <c r="M230" s="229">
        <v>403462</v>
      </c>
      <c r="N230" s="229">
        <v>369840</v>
      </c>
      <c r="O230" s="229">
        <v>336218</v>
      </c>
      <c r="P230" s="229">
        <v>302597</v>
      </c>
      <c r="Q230" s="229">
        <v>268975</v>
      </c>
      <c r="R230" s="229">
        <v>235353</v>
      </c>
      <c r="S230" s="229">
        <v>201731</v>
      </c>
      <c r="T230" s="229">
        <f t="shared" si="85"/>
        <v>403462</v>
      </c>
      <c r="U230" s="229">
        <f t="shared" ref="U230:U261" si="91">+T230</f>
        <v>403462</v>
      </c>
      <c r="V230" s="356">
        <f t="shared" ref="V230:V293" si="92">+U230</f>
        <v>403462</v>
      </c>
      <c r="W230" s="356">
        <v>0</v>
      </c>
      <c r="X230" s="356">
        <f t="shared" si="86"/>
        <v>0</v>
      </c>
      <c r="Y230" s="229">
        <v>0</v>
      </c>
      <c r="Z230" s="229">
        <f t="shared" si="87"/>
        <v>0</v>
      </c>
      <c r="AA230" s="276" t="s">
        <v>331</v>
      </c>
      <c r="AB230" s="270">
        <f>SUMIF('Allocation Factors'!$B$3:$B$89,'Accumulated Deferred Income Tax'!AA230,'Allocation Factors'!$P$3:$P$89)</f>
        <v>0</v>
      </c>
      <c r="AC230" s="271">
        <f t="shared" si="88"/>
        <v>0</v>
      </c>
      <c r="AD230" s="271">
        <f t="shared" si="89"/>
        <v>0</v>
      </c>
      <c r="AE230" s="30">
        <f t="shared" si="90"/>
        <v>0</v>
      </c>
    </row>
    <row r="231" spans="1:31">
      <c r="A231" s="29">
        <v>286905</v>
      </c>
      <c r="B231" s="29">
        <v>283</v>
      </c>
      <c r="C231" s="90" t="s">
        <v>381</v>
      </c>
      <c r="D231" s="273">
        <v>415.53</v>
      </c>
      <c r="E231" s="29" t="s">
        <v>8</v>
      </c>
      <c r="F231" s="276" t="s">
        <v>9</v>
      </c>
      <c r="G231" s="229">
        <v>-18440</v>
      </c>
      <c r="H231" s="229">
        <v>-21513</v>
      </c>
      <c r="I231" s="229">
        <v>-24587</v>
      </c>
      <c r="J231" s="229">
        <v>-27660</v>
      </c>
      <c r="K231" s="229">
        <v>-30733</v>
      </c>
      <c r="L231" s="229">
        <v>-33807</v>
      </c>
      <c r="M231" s="229">
        <v>-36880</v>
      </c>
      <c r="N231" s="229">
        <v>-39953</v>
      </c>
      <c r="O231" s="229">
        <v>-43027</v>
      </c>
      <c r="P231" s="229">
        <v>-46100</v>
      </c>
      <c r="Q231" s="229">
        <v>-49173</v>
      </c>
      <c r="R231" s="229">
        <v>-52247</v>
      </c>
      <c r="S231" s="229">
        <v>-55320</v>
      </c>
      <c r="T231" s="229">
        <f t="shared" si="85"/>
        <v>-36880</v>
      </c>
      <c r="U231" s="229">
        <f t="shared" si="91"/>
        <v>-36880</v>
      </c>
      <c r="V231" s="356">
        <f t="shared" si="92"/>
        <v>-36880</v>
      </c>
      <c r="W231" s="356">
        <v>0</v>
      </c>
      <c r="X231" s="356">
        <f t="shared" si="86"/>
        <v>-36880</v>
      </c>
      <c r="Y231" s="229">
        <v>0</v>
      </c>
      <c r="Z231" s="229">
        <f t="shared" si="87"/>
        <v>-36880</v>
      </c>
      <c r="AA231" s="276" t="s">
        <v>29</v>
      </c>
      <c r="AB231" s="270">
        <f>SUMIF('Allocation Factors'!$B$3:$B$89,'Accumulated Deferred Income Tax'!AA231,'Allocation Factors'!$P$3:$P$89)</f>
        <v>0</v>
      </c>
      <c r="AC231" s="271">
        <f t="shared" si="88"/>
        <v>0</v>
      </c>
      <c r="AD231" s="271">
        <f t="shared" si="89"/>
        <v>0</v>
      </c>
      <c r="AE231" s="30">
        <f t="shared" si="90"/>
        <v>0</v>
      </c>
    </row>
    <row r="232" spans="1:31">
      <c r="A232" s="29">
        <v>286906</v>
      </c>
      <c r="B232" s="29">
        <v>283</v>
      </c>
      <c r="C232" s="90" t="s">
        <v>382</v>
      </c>
      <c r="D232" s="273">
        <v>415.53100000000001</v>
      </c>
      <c r="E232" s="29" t="s">
        <v>8</v>
      </c>
      <c r="F232" s="276" t="s">
        <v>9</v>
      </c>
      <c r="G232" s="229">
        <v>-1622716</v>
      </c>
      <c r="H232" s="229">
        <v>-1712867</v>
      </c>
      <c r="I232" s="229">
        <v>-1803018</v>
      </c>
      <c r="J232" s="229">
        <v>-1893169</v>
      </c>
      <c r="K232" s="229">
        <v>-1983320</v>
      </c>
      <c r="L232" s="229">
        <v>-2073471</v>
      </c>
      <c r="M232" s="229">
        <v>-2163621</v>
      </c>
      <c r="N232" s="229">
        <v>-2253772</v>
      </c>
      <c r="O232" s="229">
        <v>-2343923</v>
      </c>
      <c r="P232" s="229">
        <v>-2434074</v>
      </c>
      <c r="Q232" s="229">
        <v>-2524227</v>
      </c>
      <c r="R232" s="229">
        <v>-2614376</v>
      </c>
      <c r="S232" s="229">
        <v>-2704527</v>
      </c>
      <c r="T232" s="229">
        <f t="shared" si="85"/>
        <v>-2163622</v>
      </c>
      <c r="U232" s="229">
        <f t="shared" si="91"/>
        <v>-2163622</v>
      </c>
      <c r="V232" s="356">
        <f t="shared" si="92"/>
        <v>-2163622</v>
      </c>
      <c r="W232" s="356">
        <v>0</v>
      </c>
      <c r="X232" s="356">
        <f t="shared" si="86"/>
        <v>-2163622</v>
      </c>
      <c r="Y232" s="229">
        <v>0</v>
      </c>
      <c r="Z232" s="229">
        <f t="shared" si="87"/>
        <v>-2163622</v>
      </c>
      <c r="AA232" s="276" t="s">
        <v>28</v>
      </c>
      <c r="AB232" s="270">
        <f>SUMIF('Allocation Factors'!$B$3:$B$89,'Accumulated Deferred Income Tax'!AA232,'Allocation Factors'!$P$3:$P$89)</f>
        <v>0</v>
      </c>
      <c r="AC232" s="271">
        <f t="shared" si="88"/>
        <v>0</v>
      </c>
      <c r="AD232" s="271">
        <f t="shared" si="89"/>
        <v>0</v>
      </c>
      <c r="AE232" s="30">
        <f t="shared" si="90"/>
        <v>0</v>
      </c>
    </row>
    <row r="233" spans="1:31">
      <c r="A233" s="29">
        <v>286907</v>
      </c>
      <c r="B233" s="29">
        <v>283</v>
      </c>
      <c r="C233" s="90" t="s">
        <v>383</v>
      </c>
      <c r="D233" s="273">
        <v>415.53199999999998</v>
      </c>
      <c r="E233" s="29" t="s">
        <v>8</v>
      </c>
      <c r="F233" s="276" t="s">
        <v>9</v>
      </c>
      <c r="G233" s="229">
        <v>-393386</v>
      </c>
      <c r="H233" s="229">
        <v>-426168</v>
      </c>
      <c r="I233" s="229">
        <v>-458950</v>
      </c>
      <c r="J233" s="229">
        <v>-491732</v>
      </c>
      <c r="K233" s="229">
        <v>-524514</v>
      </c>
      <c r="L233" s="229">
        <v>-557296</v>
      </c>
      <c r="M233" s="229">
        <v>-590078</v>
      </c>
      <c r="N233" s="229">
        <v>-622860</v>
      </c>
      <c r="O233" s="229">
        <v>-655642</v>
      </c>
      <c r="P233" s="229">
        <v>-688424</v>
      </c>
      <c r="Q233" s="229">
        <v>-721206</v>
      </c>
      <c r="R233" s="229">
        <v>-753988</v>
      </c>
      <c r="S233" s="229">
        <v>-786770</v>
      </c>
      <c r="T233" s="229">
        <f t="shared" si="85"/>
        <v>-590078</v>
      </c>
      <c r="U233" s="229">
        <f t="shared" si="91"/>
        <v>-590078</v>
      </c>
      <c r="V233" s="356">
        <f t="shared" si="92"/>
        <v>-590078</v>
      </c>
      <c r="W233" s="356">
        <v>0</v>
      </c>
      <c r="X233" s="356">
        <f t="shared" si="86"/>
        <v>-590078</v>
      </c>
      <c r="Y233" s="229">
        <v>0</v>
      </c>
      <c r="Z233" s="229">
        <f t="shared" si="87"/>
        <v>-590078</v>
      </c>
      <c r="AA233" s="276" t="s">
        <v>32</v>
      </c>
      <c r="AB233" s="270">
        <f>SUMIF('Allocation Factors'!$B$3:$B$89,'Accumulated Deferred Income Tax'!AA233,'Allocation Factors'!$P$3:$P$89)</f>
        <v>0</v>
      </c>
      <c r="AC233" s="271">
        <f t="shared" si="88"/>
        <v>0</v>
      </c>
      <c r="AD233" s="271">
        <f t="shared" si="89"/>
        <v>0</v>
      </c>
      <c r="AE233" s="30">
        <f t="shared" si="90"/>
        <v>0</v>
      </c>
    </row>
    <row r="234" spans="1:31">
      <c r="A234" s="29">
        <v>286908</v>
      </c>
      <c r="B234" s="29">
        <v>283</v>
      </c>
      <c r="C234" s="90" t="s">
        <v>385</v>
      </c>
      <c r="D234" s="273">
        <v>210.20099999999999</v>
      </c>
      <c r="E234" s="29" t="s">
        <v>8</v>
      </c>
      <c r="F234" s="276" t="s">
        <v>333</v>
      </c>
      <c r="G234" s="229">
        <v>-3391794</v>
      </c>
      <c r="H234" s="229">
        <v>-3391794</v>
      </c>
      <c r="I234" s="229">
        <v>-3391794</v>
      </c>
      <c r="J234" s="229">
        <v>-3391794</v>
      </c>
      <c r="K234" s="229">
        <v>-3391794</v>
      </c>
      <c r="L234" s="229">
        <v>-3391794</v>
      </c>
      <c r="M234" s="229">
        <v>-3391794</v>
      </c>
      <c r="N234" s="229">
        <v>-3391794</v>
      </c>
      <c r="O234" s="229">
        <v>-3391794</v>
      </c>
      <c r="P234" s="229">
        <v>-3391794</v>
      </c>
      <c r="Q234" s="229">
        <v>-3391794</v>
      </c>
      <c r="R234" s="229">
        <v>-3391794</v>
      </c>
      <c r="S234" s="229">
        <v>-3391794</v>
      </c>
      <c r="T234" s="229">
        <f t="shared" si="85"/>
        <v>-3391794</v>
      </c>
      <c r="U234" s="229">
        <f t="shared" si="91"/>
        <v>-3391794</v>
      </c>
      <c r="V234" s="356">
        <f t="shared" si="92"/>
        <v>-3391794</v>
      </c>
      <c r="W234" s="356">
        <v>0</v>
      </c>
      <c r="X234" s="356">
        <f t="shared" si="86"/>
        <v>0</v>
      </c>
      <c r="Y234" s="229">
        <v>0</v>
      </c>
      <c r="Z234" s="229">
        <f t="shared" si="87"/>
        <v>0</v>
      </c>
      <c r="AA234" s="276" t="s">
        <v>331</v>
      </c>
      <c r="AB234" s="270">
        <f>SUMIF('Allocation Factors'!$B$3:$B$89,'Accumulated Deferred Income Tax'!AA234,'Allocation Factors'!$P$3:$P$89)</f>
        <v>0</v>
      </c>
      <c r="AC234" s="271">
        <f t="shared" si="88"/>
        <v>0</v>
      </c>
      <c r="AD234" s="271">
        <f t="shared" si="89"/>
        <v>0</v>
      </c>
      <c r="AE234" s="30">
        <f t="shared" si="90"/>
        <v>0</v>
      </c>
    </row>
    <row r="235" spans="1:31">
      <c r="A235" s="29">
        <v>286909</v>
      </c>
      <c r="B235" s="29">
        <v>283</v>
      </c>
      <c r="C235" s="90" t="s">
        <v>559</v>
      </c>
      <c r="D235" s="273">
        <v>720.81500000000005</v>
      </c>
      <c r="E235" s="29" t="s">
        <v>8</v>
      </c>
      <c r="F235" s="276" t="s">
        <v>333</v>
      </c>
      <c r="G235" s="229">
        <v>-420088</v>
      </c>
      <c r="H235" s="229">
        <v>-597278</v>
      </c>
      <c r="I235" s="229">
        <v>-782643</v>
      </c>
      <c r="J235" s="229">
        <v>-944265</v>
      </c>
      <c r="K235" s="229">
        <v>-1112069</v>
      </c>
      <c r="L235" s="229">
        <v>-1279408</v>
      </c>
      <c r="M235" s="229">
        <v>0</v>
      </c>
      <c r="N235" s="229">
        <v>0</v>
      </c>
      <c r="O235" s="229">
        <v>-1740</v>
      </c>
      <c r="P235" s="229">
        <v>-153615</v>
      </c>
      <c r="Q235" s="229">
        <v>-307726</v>
      </c>
      <c r="R235" s="229">
        <v>-460134</v>
      </c>
      <c r="S235" s="229">
        <v>-611066</v>
      </c>
      <c r="T235" s="229">
        <f t="shared" si="85"/>
        <v>-512871</v>
      </c>
      <c r="U235" s="229">
        <f t="shared" si="91"/>
        <v>-512871</v>
      </c>
      <c r="V235" s="356">
        <f t="shared" si="92"/>
        <v>-512871</v>
      </c>
      <c r="W235" s="356">
        <v>0</v>
      </c>
      <c r="X235" s="356">
        <f t="shared" si="86"/>
        <v>0</v>
      </c>
      <c r="Y235" s="229">
        <v>0</v>
      </c>
      <c r="Z235" s="229">
        <f t="shared" si="87"/>
        <v>0</v>
      </c>
      <c r="AA235" s="276" t="s">
        <v>331</v>
      </c>
      <c r="AB235" s="270">
        <f>SUMIF('Allocation Factors'!$B$3:$B$89,'Accumulated Deferred Income Tax'!AA235,'Allocation Factors'!$P$3:$P$89)</f>
        <v>0</v>
      </c>
      <c r="AC235" s="271">
        <f t="shared" si="88"/>
        <v>0</v>
      </c>
      <c r="AD235" s="271">
        <f t="shared" si="89"/>
        <v>0</v>
      </c>
      <c r="AE235" s="30">
        <f t="shared" si="90"/>
        <v>0</v>
      </c>
    </row>
    <row r="236" spans="1:31">
      <c r="A236" s="29">
        <v>286910</v>
      </c>
      <c r="B236" s="29">
        <v>283</v>
      </c>
      <c r="C236" s="90" t="s">
        <v>415</v>
      </c>
      <c r="D236" s="273">
        <v>415.2</v>
      </c>
      <c r="E236" s="29" t="s">
        <v>8</v>
      </c>
      <c r="F236" s="276" t="s">
        <v>9</v>
      </c>
      <c r="G236" s="229">
        <v>0</v>
      </c>
      <c r="H236" s="229">
        <v>-510</v>
      </c>
      <c r="I236" s="229">
        <v>-2327</v>
      </c>
      <c r="J236" s="229">
        <v>-4377</v>
      </c>
      <c r="K236" s="229">
        <v>-5972</v>
      </c>
      <c r="L236" s="229">
        <v>-8591</v>
      </c>
      <c r="M236" s="229">
        <v>-11996</v>
      </c>
      <c r="N236" s="229">
        <v>-17500</v>
      </c>
      <c r="O236" s="229">
        <v>-35138</v>
      </c>
      <c r="P236" s="229">
        <v>-74598</v>
      </c>
      <c r="Q236" s="229">
        <v>-77453</v>
      </c>
      <c r="R236" s="229">
        <v>-84729</v>
      </c>
      <c r="S236" s="229">
        <v>-95858</v>
      </c>
      <c r="T236" s="229">
        <f t="shared" si="85"/>
        <v>-30927</v>
      </c>
      <c r="U236" s="229">
        <f t="shared" si="91"/>
        <v>-30927</v>
      </c>
      <c r="V236" s="356">
        <f t="shared" si="92"/>
        <v>-30927</v>
      </c>
      <c r="W236" s="356">
        <v>0</v>
      </c>
      <c r="X236" s="356">
        <f t="shared" si="86"/>
        <v>-30927</v>
      </c>
      <c r="Y236" s="229">
        <v>0</v>
      </c>
      <c r="Z236" s="229">
        <f t="shared" si="87"/>
        <v>-30927</v>
      </c>
      <c r="AA236" s="276" t="s">
        <v>15</v>
      </c>
      <c r="AB236" s="270">
        <f>SUMIF('Allocation Factors'!$B$3:$B$89,'Accumulated Deferred Income Tax'!AA236,'Allocation Factors'!$P$3:$P$89)</f>
        <v>0</v>
      </c>
      <c r="AC236" s="271">
        <f t="shared" si="88"/>
        <v>0</v>
      </c>
      <c r="AD236" s="271">
        <f t="shared" si="89"/>
        <v>0</v>
      </c>
      <c r="AE236" s="30">
        <f t="shared" si="90"/>
        <v>0</v>
      </c>
    </row>
    <row r="237" spans="1:31">
      <c r="A237" s="29">
        <v>286911</v>
      </c>
      <c r="B237" s="29">
        <v>283</v>
      </c>
      <c r="C237" s="90" t="s">
        <v>743</v>
      </c>
      <c r="D237" s="273">
        <v>415.43</v>
      </c>
      <c r="E237" s="29" t="s">
        <v>8</v>
      </c>
      <c r="F237" s="276" t="s">
        <v>9</v>
      </c>
      <c r="G237" s="229">
        <v>0</v>
      </c>
      <c r="H237" s="229">
        <v>0</v>
      </c>
      <c r="I237" s="229">
        <v>0</v>
      </c>
      <c r="J237" s="229">
        <v>0</v>
      </c>
      <c r="K237" s="229">
        <v>0</v>
      </c>
      <c r="L237" s="229">
        <v>0</v>
      </c>
      <c r="M237" s="229">
        <v>112508</v>
      </c>
      <c r="N237" s="229">
        <v>112745</v>
      </c>
      <c r="O237" s="229">
        <v>112727</v>
      </c>
      <c r="P237" s="229">
        <v>112259</v>
      </c>
      <c r="Q237" s="229">
        <v>110087</v>
      </c>
      <c r="R237" s="229">
        <v>109817</v>
      </c>
      <c r="S237" s="229">
        <v>109384</v>
      </c>
      <c r="T237" s="229">
        <f t="shared" si="85"/>
        <v>60403</v>
      </c>
      <c r="U237" s="229">
        <f t="shared" si="91"/>
        <v>60403</v>
      </c>
      <c r="V237" s="356">
        <f t="shared" si="92"/>
        <v>60403</v>
      </c>
      <c r="W237" s="356">
        <v>0</v>
      </c>
      <c r="X237" s="356">
        <f t="shared" si="86"/>
        <v>60403</v>
      </c>
      <c r="Y237" s="229">
        <v>0</v>
      </c>
      <c r="Z237" s="229">
        <f t="shared" si="87"/>
        <v>60403</v>
      </c>
      <c r="AA237" s="276" t="s">
        <v>15</v>
      </c>
      <c r="AB237" s="270">
        <f>SUMIF('Allocation Factors'!$B$3:$B$89,'Accumulated Deferred Income Tax'!AA237,'Allocation Factors'!$P$3:$P$89)</f>
        <v>0</v>
      </c>
      <c r="AC237" s="271">
        <f t="shared" si="88"/>
        <v>0</v>
      </c>
      <c r="AD237" s="271">
        <f t="shared" si="89"/>
        <v>0</v>
      </c>
      <c r="AE237" s="30">
        <f t="shared" si="90"/>
        <v>0</v>
      </c>
    </row>
    <row r="238" spans="1:31">
      <c r="A238" s="29">
        <v>286912</v>
      </c>
      <c r="B238" s="29">
        <v>283</v>
      </c>
      <c r="C238" s="90" t="s">
        <v>427</v>
      </c>
      <c r="D238" s="273">
        <v>415.43099999999998</v>
      </c>
      <c r="E238" s="29" t="s">
        <v>8</v>
      </c>
      <c r="F238" s="276" t="s">
        <v>9</v>
      </c>
      <c r="G238" s="229">
        <v>0</v>
      </c>
      <c r="H238" s="229">
        <v>0</v>
      </c>
      <c r="I238" s="229">
        <v>0</v>
      </c>
      <c r="J238" s="229">
        <v>0</v>
      </c>
      <c r="K238" s="229">
        <v>0</v>
      </c>
      <c r="L238" s="229">
        <v>0</v>
      </c>
      <c r="M238" s="229">
        <v>0</v>
      </c>
      <c r="N238" s="229">
        <v>0</v>
      </c>
      <c r="O238" s="229">
        <v>-558</v>
      </c>
      <c r="P238" s="229">
        <v>-1718</v>
      </c>
      <c r="Q238" s="229">
        <v>-7864</v>
      </c>
      <c r="R238" s="229">
        <v>-8410</v>
      </c>
      <c r="S238" s="229">
        <v>-9703</v>
      </c>
      <c r="T238" s="229">
        <f t="shared" ref="T238:T239" si="93">ROUND(((G238*1)+(SUM(H238:R238)*2)+(S238*1))/24,0)</f>
        <v>-1950</v>
      </c>
      <c r="U238" s="229">
        <f t="shared" si="91"/>
        <v>-1950</v>
      </c>
      <c r="V238" s="356">
        <f t="shared" si="92"/>
        <v>-1950</v>
      </c>
      <c r="W238" s="356">
        <v>0</v>
      </c>
      <c r="X238" s="356">
        <f t="shared" si="86"/>
        <v>-1950</v>
      </c>
      <c r="Y238" s="229">
        <v>0</v>
      </c>
      <c r="Z238" s="229">
        <f t="shared" si="87"/>
        <v>-1950</v>
      </c>
      <c r="AA238" s="276" t="s">
        <v>15</v>
      </c>
      <c r="AB238" s="270">
        <f>SUMIF('Allocation Factors'!$B$3:$B$89,'Accumulated Deferred Income Tax'!AA238,'Allocation Factors'!$P$3:$P$89)</f>
        <v>0</v>
      </c>
      <c r="AC238" s="271">
        <f t="shared" si="88"/>
        <v>0</v>
      </c>
      <c r="AD238" s="271">
        <f t="shared" si="89"/>
        <v>0</v>
      </c>
      <c r="AE238" s="30">
        <f t="shared" si="90"/>
        <v>0</v>
      </c>
    </row>
    <row r="239" spans="1:31">
      <c r="A239" s="29">
        <v>286913</v>
      </c>
      <c r="B239" s="29">
        <v>283</v>
      </c>
      <c r="C239" s="90" t="s">
        <v>429</v>
      </c>
      <c r="D239" s="273">
        <v>415.72</v>
      </c>
      <c r="E239" s="29" t="s">
        <v>8</v>
      </c>
      <c r="F239" s="276" t="s">
        <v>9</v>
      </c>
      <c r="G239" s="229">
        <v>0</v>
      </c>
      <c r="H239" s="229">
        <v>0</v>
      </c>
      <c r="I239" s="229">
        <v>0</v>
      </c>
      <c r="J239" s="229">
        <v>0</v>
      </c>
      <c r="K239" s="229">
        <v>0</v>
      </c>
      <c r="L239" s="229">
        <v>0</v>
      </c>
      <c r="M239" s="229">
        <v>0</v>
      </c>
      <c r="N239" s="229">
        <v>-156</v>
      </c>
      <c r="O239" s="229">
        <v>-1362</v>
      </c>
      <c r="P239" s="229">
        <v>-2353</v>
      </c>
      <c r="Q239" s="229">
        <v>-2614</v>
      </c>
      <c r="R239" s="229">
        <v>-14145</v>
      </c>
      <c r="S239" s="229">
        <v>-39352</v>
      </c>
      <c r="T239" s="229">
        <f t="shared" si="93"/>
        <v>-3359</v>
      </c>
      <c r="U239" s="229">
        <f t="shared" si="91"/>
        <v>-3359</v>
      </c>
      <c r="V239" s="356">
        <f t="shared" si="92"/>
        <v>-3359</v>
      </c>
      <c r="W239" s="356">
        <v>0</v>
      </c>
      <c r="X239" s="356">
        <f t="shared" si="86"/>
        <v>-3359</v>
      </c>
      <c r="Y239" s="229">
        <v>0</v>
      </c>
      <c r="Z239" s="229">
        <f t="shared" si="87"/>
        <v>-3359</v>
      </c>
      <c r="AA239" s="276" t="s">
        <v>15</v>
      </c>
      <c r="AB239" s="270">
        <f>SUMIF('Allocation Factors'!$B$3:$B$89,'Accumulated Deferred Income Tax'!AA239,'Allocation Factors'!$P$3:$P$89)</f>
        <v>0</v>
      </c>
      <c r="AC239" s="271">
        <f t="shared" si="88"/>
        <v>0</v>
      </c>
      <c r="AD239" s="271">
        <f t="shared" si="89"/>
        <v>0</v>
      </c>
      <c r="AE239" s="30">
        <f t="shared" si="90"/>
        <v>0</v>
      </c>
    </row>
    <row r="240" spans="1:31">
      <c r="A240" s="29">
        <v>287564</v>
      </c>
      <c r="B240" s="29">
        <v>283</v>
      </c>
      <c r="C240" s="90" t="s">
        <v>35</v>
      </c>
      <c r="D240" s="273">
        <v>425.13</v>
      </c>
      <c r="E240" s="29" t="s">
        <v>8</v>
      </c>
      <c r="F240" s="276" t="s">
        <v>333</v>
      </c>
      <c r="G240" s="229">
        <v>-28124</v>
      </c>
      <c r="H240" s="229">
        <v>-28124</v>
      </c>
      <c r="I240" s="229">
        <v>-28124</v>
      </c>
      <c r="J240" s="229">
        <v>-32650</v>
      </c>
      <c r="K240" s="229">
        <v>-32650</v>
      </c>
      <c r="L240" s="229">
        <v>-32650</v>
      </c>
      <c r="M240" s="229">
        <v>-37177</v>
      </c>
      <c r="N240" s="229">
        <v>-37177</v>
      </c>
      <c r="O240" s="229">
        <v>-37177</v>
      </c>
      <c r="P240" s="229">
        <v>-41703</v>
      </c>
      <c r="Q240" s="229">
        <v>-41703</v>
      </c>
      <c r="R240" s="229">
        <v>-41703</v>
      </c>
      <c r="S240" s="229">
        <v>-46229</v>
      </c>
      <c r="T240" s="229">
        <f t="shared" ref="T240:T271" si="94">ROUND(((G240*1)+(SUM(H240:R240)*2)+(S240*1))/24,0)</f>
        <v>-35668</v>
      </c>
      <c r="U240" s="229">
        <f t="shared" si="91"/>
        <v>-35668</v>
      </c>
      <c r="V240" s="356">
        <f t="shared" si="92"/>
        <v>-35668</v>
      </c>
      <c r="W240" s="356">
        <v>0</v>
      </c>
      <c r="X240" s="356">
        <f t="shared" si="86"/>
        <v>0</v>
      </c>
      <c r="Y240" s="229">
        <v>0</v>
      </c>
      <c r="Z240" s="229">
        <f t="shared" si="87"/>
        <v>0</v>
      </c>
      <c r="AA240" s="276" t="s">
        <v>331</v>
      </c>
      <c r="AB240" s="270">
        <f>SUMIF('Allocation Factors'!$B$3:$B$89,'Accumulated Deferred Income Tax'!AA240,'Allocation Factors'!$P$3:$P$89)</f>
        <v>0</v>
      </c>
      <c r="AC240" s="271">
        <f t="shared" si="88"/>
        <v>0</v>
      </c>
      <c r="AD240" s="271">
        <f t="shared" si="89"/>
        <v>0</v>
      </c>
      <c r="AE240" s="30">
        <f t="shared" si="90"/>
        <v>0</v>
      </c>
    </row>
    <row r="241" spans="1:31">
      <c r="A241" s="29">
        <v>287570</v>
      </c>
      <c r="B241" s="29">
        <v>283</v>
      </c>
      <c r="C241" s="73" t="s">
        <v>535</v>
      </c>
      <c r="D241" s="273">
        <v>415.70100000000002</v>
      </c>
      <c r="E241" s="29" t="s">
        <v>8</v>
      </c>
      <c r="F241" s="29" t="s">
        <v>9</v>
      </c>
      <c r="G241" s="229">
        <v>-10211</v>
      </c>
      <c r="H241" s="229">
        <v>-10229</v>
      </c>
      <c r="I241" s="229">
        <v>-10247</v>
      </c>
      <c r="J241" s="229">
        <v>-10265</v>
      </c>
      <c r="K241" s="229">
        <v>-10284</v>
      </c>
      <c r="L241" s="229">
        <v>-10303</v>
      </c>
      <c r="M241" s="229">
        <v>-10325</v>
      </c>
      <c r="N241" s="229">
        <v>-10347</v>
      </c>
      <c r="O241" s="229">
        <v>-10436</v>
      </c>
      <c r="P241" s="229">
        <v>-10458</v>
      </c>
      <c r="Q241" s="229">
        <v>-10478</v>
      </c>
      <c r="R241" s="229">
        <v>-10572</v>
      </c>
      <c r="S241" s="229">
        <v>-10593</v>
      </c>
      <c r="T241" s="229">
        <f t="shared" si="94"/>
        <v>-10362</v>
      </c>
      <c r="U241" s="229">
        <f t="shared" si="91"/>
        <v>-10362</v>
      </c>
      <c r="V241" s="356">
        <f t="shared" si="92"/>
        <v>-10362</v>
      </c>
      <c r="W241" s="356">
        <v>0</v>
      </c>
      <c r="X241" s="356">
        <f t="shared" si="86"/>
        <v>-10362</v>
      </c>
      <c r="Y241" s="229">
        <v>0</v>
      </c>
      <c r="Z241" s="229">
        <f t="shared" si="87"/>
        <v>-10362</v>
      </c>
      <c r="AA241" s="276" t="s">
        <v>15</v>
      </c>
      <c r="AB241" s="270">
        <f>SUMIF('Allocation Factors'!$B$3:$B$89,'Accumulated Deferred Income Tax'!AA241,'Allocation Factors'!$P$3:$P$89)</f>
        <v>0</v>
      </c>
      <c r="AC241" s="271">
        <f t="shared" si="88"/>
        <v>0</v>
      </c>
      <c r="AD241" s="271">
        <f t="shared" si="89"/>
        <v>0</v>
      </c>
      <c r="AE241" s="30">
        <f t="shared" si="90"/>
        <v>0</v>
      </c>
    </row>
    <row r="242" spans="1:31">
      <c r="A242" s="29">
        <v>287571</v>
      </c>
      <c r="B242" s="29">
        <v>283</v>
      </c>
      <c r="C242" s="73" t="s">
        <v>457</v>
      </c>
      <c r="D242" s="273">
        <v>415.702</v>
      </c>
      <c r="E242" s="29" t="s">
        <v>8</v>
      </c>
      <c r="F242" s="29" t="s">
        <v>9</v>
      </c>
      <c r="G242" s="229">
        <v>-196552</v>
      </c>
      <c r="H242" s="229">
        <v>-195992</v>
      </c>
      <c r="I242" s="229">
        <v>-195432</v>
      </c>
      <c r="J242" s="229">
        <v>-194872</v>
      </c>
      <c r="K242" s="229">
        <v>-194312</v>
      </c>
      <c r="L242" s="229">
        <v>-193752</v>
      </c>
      <c r="M242" s="229">
        <v>-193192</v>
      </c>
      <c r="N242" s="229">
        <v>-192632</v>
      </c>
      <c r="O242" s="229">
        <v>-192072</v>
      </c>
      <c r="P242" s="229">
        <v>-191512</v>
      </c>
      <c r="Q242" s="229">
        <v>-190952</v>
      </c>
      <c r="R242" s="229">
        <v>-190392</v>
      </c>
      <c r="S242" s="229">
        <v>-189832</v>
      </c>
      <c r="T242" s="229">
        <f t="shared" si="94"/>
        <v>-193192</v>
      </c>
      <c r="U242" s="229">
        <f t="shared" si="91"/>
        <v>-193192</v>
      </c>
      <c r="V242" s="356">
        <f t="shared" si="92"/>
        <v>-193192</v>
      </c>
      <c r="W242" s="356">
        <v>0</v>
      </c>
      <c r="X242" s="356">
        <f t="shared" si="86"/>
        <v>-193192</v>
      </c>
      <c r="Y242" s="229">
        <v>0</v>
      </c>
      <c r="Z242" s="229">
        <f t="shared" si="87"/>
        <v>-193192</v>
      </c>
      <c r="AA242" s="276" t="s">
        <v>80</v>
      </c>
      <c r="AB242" s="270">
        <f>SUMIF('Allocation Factors'!$B$3:$B$89,'Accumulated Deferred Income Tax'!AA242,'Allocation Factors'!$P$3:$P$89)</f>
        <v>0</v>
      </c>
      <c r="AC242" s="271">
        <f t="shared" si="88"/>
        <v>0</v>
      </c>
      <c r="AD242" s="271">
        <f t="shared" si="89"/>
        <v>0</v>
      </c>
      <c r="AE242" s="30">
        <f t="shared" si="90"/>
        <v>0</v>
      </c>
    </row>
    <row r="243" spans="1:31">
      <c r="A243" s="29">
        <v>287573</v>
      </c>
      <c r="B243" s="29">
        <v>283</v>
      </c>
      <c r="C243" s="90" t="s">
        <v>620</v>
      </c>
      <c r="D243" s="273">
        <v>415.87299999999999</v>
      </c>
      <c r="E243" s="29" t="s">
        <v>8</v>
      </c>
      <c r="F243" s="29" t="s">
        <v>9</v>
      </c>
      <c r="G243" s="229">
        <v>0</v>
      </c>
      <c r="H243" s="229">
        <v>0</v>
      </c>
      <c r="I243" s="229">
        <v>0</v>
      </c>
      <c r="J243" s="229">
        <v>0</v>
      </c>
      <c r="K243" s="229">
        <v>-278576</v>
      </c>
      <c r="L243" s="229">
        <v>0</v>
      </c>
      <c r="M243" s="229">
        <v>0</v>
      </c>
      <c r="N243" s="229">
        <v>0</v>
      </c>
      <c r="O243" s="229">
        <v>0</v>
      </c>
      <c r="P243" s="229">
        <v>0</v>
      </c>
      <c r="Q243" s="229">
        <v>0</v>
      </c>
      <c r="R243" s="229">
        <v>0</v>
      </c>
      <c r="S243" s="229">
        <v>0</v>
      </c>
      <c r="T243" s="229">
        <f t="shared" si="94"/>
        <v>-23215</v>
      </c>
      <c r="U243" s="229">
        <f t="shared" si="91"/>
        <v>-23215</v>
      </c>
      <c r="V243" s="356">
        <f t="shared" si="92"/>
        <v>-23215</v>
      </c>
      <c r="W243" s="356">
        <v>0</v>
      </c>
      <c r="X243" s="356">
        <f t="shared" si="86"/>
        <v>-23215</v>
      </c>
      <c r="Y243" s="229">
        <v>0</v>
      </c>
      <c r="Z243" s="229">
        <f t="shared" si="87"/>
        <v>-23215</v>
      </c>
      <c r="AA243" s="276" t="s">
        <v>15</v>
      </c>
      <c r="AB243" s="270">
        <f>SUMIF('Allocation Factors'!$B$3:$B$89,'Accumulated Deferred Income Tax'!AA243,'Allocation Factors'!$P$3:$P$89)</f>
        <v>0</v>
      </c>
      <c r="AC243" s="271">
        <f t="shared" si="88"/>
        <v>0</v>
      </c>
      <c r="AD243" s="271">
        <f t="shared" si="89"/>
        <v>0</v>
      </c>
      <c r="AE243" s="30">
        <f t="shared" si="90"/>
        <v>0</v>
      </c>
    </row>
    <row r="244" spans="1:31">
      <c r="A244" s="29">
        <v>287576</v>
      </c>
      <c r="B244" s="29">
        <v>283</v>
      </c>
      <c r="C244" s="28" t="s">
        <v>549</v>
      </c>
      <c r="D244" s="273">
        <v>430.11</v>
      </c>
      <c r="E244" s="29" t="s">
        <v>8</v>
      </c>
      <c r="F244" s="29" t="s">
        <v>9</v>
      </c>
      <c r="G244" s="229">
        <v>-1515732</v>
      </c>
      <c r="H244" s="229">
        <v>-2392420</v>
      </c>
      <c r="I244" s="229">
        <v>-3385063</v>
      </c>
      <c r="J244" s="229">
        <v>-4816898</v>
      </c>
      <c r="K244" s="229">
        <v>-5146761</v>
      </c>
      <c r="L244" s="229">
        <v>-5134606</v>
      </c>
      <c r="M244" s="229">
        <v>-5131927</v>
      </c>
      <c r="N244" s="229">
        <v>-6124246</v>
      </c>
      <c r="O244" s="229">
        <v>-4891792</v>
      </c>
      <c r="P244" s="229">
        <v>-6002332</v>
      </c>
      <c r="Q244" s="229">
        <v>-6295686</v>
      </c>
      <c r="R244" s="229">
        <v>-6574373</v>
      </c>
      <c r="S244" s="229">
        <v>-4143541</v>
      </c>
      <c r="T244" s="229">
        <f t="shared" si="94"/>
        <v>-4893812</v>
      </c>
      <c r="U244" s="229">
        <f t="shared" si="91"/>
        <v>-4893812</v>
      </c>
      <c r="V244" s="356">
        <f t="shared" si="92"/>
        <v>-4893812</v>
      </c>
      <c r="W244" s="356">
        <v>0</v>
      </c>
      <c r="X244" s="356">
        <f t="shared" si="86"/>
        <v>-4893812</v>
      </c>
      <c r="Y244" s="229">
        <v>0</v>
      </c>
      <c r="Z244" s="229">
        <f t="shared" si="87"/>
        <v>-4893812</v>
      </c>
      <c r="AA244" s="29" t="s">
        <v>15</v>
      </c>
      <c r="AB244" s="270">
        <f>SUMIF('Allocation Factors'!$B$3:$B$89,'Accumulated Deferred Income Tax'!AA244,'Allocation Factors'!$P$3:$P$89)</f>
        <v>0</v>
      </c>
      <c r="AC244" s="271">
        <f t="shared" si="88"/>
        <v>0</v>
      </c>
      <c r="AD244" s="271">
        <f t="shared" si="89"/>
        <v>0</v>
      </c>
      <c r="AE244" s="30">
        <f t="shared" si="90"/>
        <v>0</v>
      </c>
    </row>
    <row r="245" spans="1:31">
      <c r="A245" s="29">
        <v>287577</v>
      </c>
      <c r="B245" s="29">
        <v>283</v>
      </c>
      <c r="C245" s="28" t="s">
        <v>536</v>
      </c>
      <c r="D245" s="273">
        <v>415.82</v>
      </c>
      <c r="E245" s="29" t="s">
        <v>8</v>
      </c>
      <c r="F245" s="29" t="s">
        <v>9</v>
      </c>
      <c r="G245" s="229">
        <v>123855</v>
      </c>
      <c r="H245" s="229">
        <v>103212</v>
      </c>
      <c r="I245" s="229">
        <v>82570</v>
      </c>
      <c r="J245" s="229">
        <v>61927</v>
      </c>
      <c r="K245" s="229">
        <v>41284</v>
      </c>
      <c r="L245" s="229">
        <v>20642</v>
      </c>
      <c r="M245" s="229">
        <v>-1</v>
      </c>
      <c r="N245" s="229">
        <v>-1</v>
      </c>
      <c r="O245" s="229">
        <v>-1</v>
      </c>
      <c r="P245" s="229">
        <v>0</v>
      </c>
      <c r="Q245" s="229">
        <v>0</v>
      </c>
      <c r="R245" s="229">
        <v>0</v>
      </c>
      <c r="S245" s="229">
        <v>0</v>
      </c>
      <c r="T245" s="229">
        <f t="shared" si="94"/>
        <v>30963</v>
      </c>
      <c r="U245" s="229">
        <f t="shared" si="91"/>
        <v>30963</v>
      </c>
      <c r="V245" s="356">
        <f t="shared" si="92"/>
        <v>30963</v>
      </c>
      <c r="W245" s="356">
        <v>0</v>
      </c>
      <c r="X245" s="356">
        <f t="shared" si="86"/>
        <v>30963</v>
      </c>
      <c r="Y245" s="229">
        <v>0</v>
      </c>
      <c r="Z245" s="229">
        <f t="shared" si="87"/>
        <v>30963</v>
      </c>
      <c r="AA245" s="276" t="s">
        <v>30</v>
      </c>
      <c r="AB245" s="270">
        <f>SUMIF('Allocation Factors'!$B$3:$B$89,'Accumulated Deferred Income Tax'!AA245,'Allocation Factors'!$P$3:$P$89)</f>
        <v>0</v>
      </c>
      <c r="AC245" s="271">
        <f t="shared" si="88"/>
        <v>0</v>
      </c>
      <c r="AD245" s="271">
        <f t="shared" si="89"/>
        <v>0</v>
      </c>
      <c r="AE245" s="30">
        <f t="shared" si="90"/>
        <v>0</v>
      </c>
    </row>
    <row r="246" spans="1:31">
      <c r="A246" s="29">
        <v>287581</v>
      </c>
      <c r="B246" s="29">
        <v>283</v>
      </c>
      <c r="C246" s="28" t="s">
        <v>537</v>
      </c>
      <c r="D246" s="273">
        <v>415.82400000000001</v>
      </c>
      <c r="E246" s="29" t="s">
        <v>8</v>
      </c>
      <c r="F246" s="29" t="s">
        <v>9</v>
      </c>
      <c r="G246" s="229">
        <v>11068</v>
      </c>
      <c r="H246" s="229">
        <v>9223</v>
      </c>
      <c r="I246" s="229">
        <v>7379</v>
      </c>
      <c r="J246" s="229">
        <v>5534</v>
      </c>
      <c r="K246" s="229">
        <v>3689</v>
      </c>
      <c r="L246" s="229">
        <v>1845</v>
      </c>
      <c r="M246" s="229">
        <v>0</v>
      </c>
      <c r="N246" s="229">
        <v>0</v>
      </c>
      <c r="O246" s="229">
        <v>0</v>
      </c>
      <c r="P246" s="229">
        <v>0</v>
      </c>
      <c r="Q246" s="229">
        <v>0</v>
      </c>
      <c r="R246" s="229">
        <v>0</v>
      </c>
      <c r="S246" s="229">
        <v>0</v>
      </c>
      <c r="T246" s="229">
        <f t="shared" si="94"/>
        <v>2767</v>
      </c>
      <c r="U246" s="229">
        <f t="shared" si="91"/>
        <v>2767</v>
      </c>
      <c r="V246" s="356">
        <f t="shared" si="92"/>
        <v>2767</v>
      </c>
      <c r="W246" s="356">
        <v>0</v>
      </c>
      <c r="X246" s="356">
        <f t="shared" si="86"/>
        <v>2767</v>
      </c>
      <c r="Y246" s="229">
        <v>0</v>
      </c>
      <c r="Z246" s="229">
        <f t="shared" si="87"/>
        <v>2767</v>
      </c>
      <c r="AA246" s="29" t="s">
        <v>17</v>
      </c>
      <c r="AB246" s="270">
        <f>SUMIF('Allocation Factors'!$B$3:$B$89,'Accumulated Deferred Income Tax'!AA246,'Allocation Factors'!$P$3:$P$89)</f>
        <v>0</v>
      </c>
      <c r="AC246" s="271">
        <f t="shared" si="88"/>
        <v>0</v>
      </c>
      <c r="AD246" s="271">
        <f t="shared" si="89"/>
        <v>0</v>
      </c>
      <c r="AE246" s="30">
        <f t="shared" si="90"/>
        <v>0</v>
      </c>
    </row>
    <row r="247" spans="1:31">
      <c r="A247" s="29">
        <v>287583</v>
      </c>
      <c r="B247" s="29">
        <v>283</v>
      </c>
      <c r="C247" s="90" t="s">
        <v>430</v>
      </c>
      <c r="D247" s="273">
        <v>415.82600000000002</v>
      </c>
      <c r="E247" s="29" t="s">
        <v>8</v>
      </c>
      <c r="F247" s="276" t="s">
        <v>333</v>
      </c>
      <c r="G247" s="229">
        <v>0</v>
      </c>
      <c r="H247" s="229">
        <v>0</v>
      </c>
      <c r="I247" s="229">
        <v>0</v>
      </c>
      <c r="J247" s="229">
        <v>0</v>
      </c>
      <c r="K247" s="229">
        <v>0</v>
      </c>
      <c r="L247" s="229">
        <v>0</v>
      </c>
      <c r="M247" s="229">
        <v>0</v>
      </c>
      <c r="N247" s="229">
        <v>0</v>
      </c>
      <c r="O247" s="229">
        <v>0</v>
      </c>
      <c r="P247" s="229">
        <v>0</v>
      </c>
      <c r="Q247" s="229">
        <v>0</v>
      </c>
      <c r="R247" s="229">
        <v>0</v>
      </c>
      <c r="S247" s="229">
        <v>-357880</v>
      </c>
      <c r="T247" s="229">
        <f t="shared" si="94"/>
        <v>-14912</v>
      </c>
      <c r="U247" s="229">
        <f t="shared" si="91"/>
        <v>-14912</v>
      </c>
      <c r="V247" s="356">
        <f t="shared" si="92"/>
        <v>-14912</v>
      </c>
      <c r="W247" s="356">
        <v>0</v>
      </c>
      <c r="X247" s="356">
        <f t="shared" si="86"/>
        <v>0</v>
      </c>
      <c r="Y247" s="229">
        <v>0</v>
      </c>
      <c r="Z247" s="229">
        <f t="shared" si="87"/>
        <v>0</v>
      </c>
      <c r="AA247" s="276" t="s">
        <v>331</v>
      </c>
      <c r="AB247" s="270">
        <f>SUMIF('Allocation Factors'!$B$3:$B$89,'Accumulated Deferred Income Tax'!AA247,'Allocation Factors'!$P$3:$P$89)</f>
        <v>0</v>
      </c>
      <c r="AC247" s="271">
        <f t="shared" si="88"/>
        <v>0</v>
      </c>
      <c r="AD247" s="271">
        <f t="shared" si="89"/>
        <v>0</v>
      </c>
      <c r="AE247" s="30">
        <f t="shared" si="90"/>
        <v>0</v>
      </c>
    </row>
    <row r="248" spans="1:31">
      <c r="A248" s="29">
        <v>287584</v>
      </c>
      <c r="B248" s="29">
        <v>283</v>
      </c>
      <c r="C248" s="28" t="s">
        <v>459</v>
      </c>
      <c r="D248" s="273">
        <v>415.827</v>
      </c>
      <c r="E248" s="29" t="s">
        <v>8</v>
      </c>
      <c r="F248" s="29" t="s">
        <v>9</v>
      </c>
      <c r="G248" s="229">
        <v>-23730</v>
      </c>
      <c r="H248" s="229">
        <v>-19775</v>
      </c>
      <c r="I248" s="229">
        <v>-15820</v>
      </c>
      <c r="J248" s="229">
        <v>-11865</v>
      </c>
      <c r="K248" s="229">
        <v>-7910</v>
      </c>
      <c r="L248" s="229">
        <v>-3955</v>
      </c>
      <c r="M248" s="229">
        <v>0</v>
      </c>
      <c r="N248" s="229">
        <v>0</v>
      </c>
      <c r="O248" s="229">
        <v>0</v>
      </c>
      <c r="P248" s="229">
        <v>0</v>
      </c>
      <c r="Q248" s="229">
        <v>0</v>
      </c>
      <c r="R248" s="229">
        <v>0</v>
      </c>
      <c r="S248" s="229">
        <v>0</v>
      </c>
      <c r="T248" s="229">
        <f t="shared" si="94"/>
        <v>-5933</v>
      </c>
      <c r="U248" s="229">
        <f t="shared" si="91"/>
        <v>-5933</v>
      </c>
      <c r="V248" s="356">
        <f t="shared" si="92"/>
        <v>-5933</v>
      </c>
      <c r="W248" s="356">
        <v>0</v>
      </c>
      <c r="X248" s="356">
        <f t="shared" si="86"/>
        <v>-5933</v>
      </c>
      <c r="Y248" s="229">
        <v>0</v>
      </c>
      <c r="Z248" s="229">
        <f t="shared" si="87"/>
        <v>-5933</v>
      </c>
      <c r="AA248" s="29" t="s">
        <v>30</v>
      </c>
      <c r="AB248" s="270">
        <f>SUMIF('Allocation Factors'!$B$3:$B$89,'Accumulated Deferred Income Tax'!AA248,'Allocation Factors'!$P$3:$P$89)</f>
        <v>0</v>
      </c>
      <c r="AC248" s="271">
        <f t="shared" si="88"/>
        <v>0</v>
      </c>
      <c r="AD248" s="271">
        <f t="shared" si="89"/>
        <v>0</v>
      </c>
      <c r="AE248" s="30">
        <f t="shared" si="90"/>
        <v>0</v>
      </c>
    </row>
    <row r="249" spans="1:31">
      <c r="A249" s="29">
        <v>287588</v>
      </c>
      <c r="B249" s="29">
        <v>283</v>
      </c>
      <c r="C249" s="28" t="s">
        <v>33</v>
      </c>
      <c r="D249" s="273">
        <v>415.83100000000002</v>
      </c>
      <c r="E249" s="29" t="s">
        <v>8</v>
      </c>
      <c r="F249" s="29" t="s">
        <v>9</v>
      </c>
      <c r="G249" s="229">
        <v>-2150</v>
      </c>
      <c r="H249" s="229">
        <v>-1791</v>
      </c>
      <c r="I249" s="229">
        <v>-1433</v>
      </c>
      <c r="J249" s="229">
        <v>-1075</v>
      </c>
      <c r="K249" s="229">
        <v>-717</v>
      </c>
      <c r="L249" s="229">
        <v>-358</v>
      </c>
      <c r="M249" s="229">
        <v>0</v>
      </c>
      <c r="N249" s="229">
        <v>0</v>
      </c>
      <c r="O249" s="229">
        <v>0</v>
      </c>
      <c r="P249" s="229">
        <v>0</v>
      </c>
      <c r="Q249" s="229">
        <v>0</v>
      </c>
      <c r="R249" s="229">
        <v>0</v>
      </c>
      <c r="S249" s="229">
        <v>0</v>
      </c>
      <c r="T249" s="229">
        <f t="shared" si="94"/>
        <v>-537</v>
      </c>
      <c r="U249" s="229">
        <f t="shared" si="91"/>
        <v>-537</v>
      </c>
      <c r="V249" s="356">
        <f t="shared" si="92"/>
        <v>-537</v>
      </c>
      <c r="W249" s="356">
        <v>0</v>
      </c>
      <c r="X249" s="356">
        <f t="shared" si="86"/>
        <v>-537</v>
      </c>
      <c r="Y249" s="229">
        <v>0</v>
      </c>
      <c r="Z249" s="229">
        <f t="shared" si="87"/>
        <v>-537</v>
      </c>
      <c r="AA249" s="29" t="s">
        <v>17</v>
      </c>
      <c r="AB249" s="270">
        <f>SUMIF('Allocation Factors'!$B$3:$B$89,'Accumulated Deferred Income Tax'!AA249,'Allocation Factors'!$P$3:$P$89)</f>
        <v>0</v>
      </c>
      <c r="AC249" s="271">
        <f t="shared" si="88"/>
        <v>0</v>
      </c>
      <c r="AD249" s="271">
        <f t="shared" si="89"/>
        <v>0</v>
      </c>
      <c r="AE249" s="30">
        <f t="shared" si="90"/>
        <v>0</v>
      </c>
    </row>
    <row r="250" spans="1:31">
      <c r="A250" s="29">
        <v>287591</v>
      </c>
      <c r="B250" s="29">
        <v>283</v>
      </c>
      <c r="C250" s="28" t="s">
        <v>455</v>
      </c>
      <c r="D250" s="273">
        <v>415.30099999999999</v>
      </c>
      <c r="E250" s="29">
        <v>4.1100000000000003</v>
      </c>
      <c r="F250" s="29" t="s">
        <v>9</v>
      </c>
      <c r="G250" s="229">
        <v>482497</v>
      </c>
      <c r="H250" s="229">
        <v>483364</v>
      </c>
      <c r="I250" s="229">
        <v>486734</v>
      </c>
      <c r="J250" s="229">
        <v>488334</v>
      </c>
      <c r="K250" s="229">
        <v>488791</v>
      </c>
      <c r="L250" s="229">
        <v>488865</v>
      </c>
      <c r="M250" s="229">
        <v>502643</v>
      </c>
      <c r="N250" s="229">
        <v>498250</v>
      </c>
      <c r="O250" s="229">
        <v>498212</v>
      </c>
      <c r="P250" s="229">
        <v>499900</v>
      </c>
      <c r="Q250" s="229">
        <v>499475</v>
      </c>
      <c r="R250" s="229">
        <v>508083</v>
      </c>
      <c r="S250" s="229">
        <v>508010</v>
      </c>
      <c r="T250" s="229">
        <f t="shared" si="94"/>
        <v>494825</v>
      </c>
      <c r="U250" s="229">
        <f t="shared" si="91"/>
        <v>494825</v>
      </c>
      <c r="V250" s="356">
        <f t="shared" si="92"/>
        <v>494825</v>
      </c>
      <c r="W250" s="356">
        <v>0</v>
      </c>
      <c r="X250" s="356">
        <f t="shared" si="86"/>
        <v>494825</v>
      </c>
      <c r="Y250" s="229">
        <f>-X250</f>
        <v>-494825</v>
      </c>
      <c r="Z250" s="229">
        <f t="shared" si="87"/>
        <v>0</v>
      </c>
      <c r="AA250" s="29" t="s">
        <v>26</v>
      </c>
      <c r="AB250" s="270">
        <f>SUMIF('Allocation Factors'!$B$3:$B$89,'Accumulated Deferred Income Tax'!AA250,'Allocation Factors'!$P$3:$P$89)</f>
        <v>1</v>
      </c>
      <c r="AC250" s="271">
        <f t="shared" si="88"/>
        <v>494825</v>
      </c>
      <c r="AD250" s="271">
        <f t="shared" si="89"/>
        <v>-494825</v>
      </c>
      <c r="AE250" s="30">
        <f t="shared" si="90"/>
        <v>0</v>
      </c>
    </row>
    <row r="251" spans="1:31">
      <c r="A251" s="29">
        <v>287593</v>
      </c>
      <c r="B251" s="29">
        <v>283</v>
      </c>
      <c r="C251" s="90" t="s">
        <v>540</v>
      </c>
      <c r="D251" s="273">
        <v>415.87400000000002</v>
      </c>
      <c r="E251" s="29" t="s">
        <v>8</v>
      </c>
      <c r="F251" s="29" t="s">
        <v>9</v>
      </c>
      <c r="G251" s="229">
        <v>0</v>
      </c>
      <c r="H251" s="229">
        <v>-405795</v>
      </c>
      <c r="I251" s="229">
        <v>-2342447</v>
      </c>
      <c r="J251" s="229">
        <v>-1262583</v>
      </c>
      <c r="K251" s="229">
        <v>-1307594</v>
      </c>
      <c r="L251" s="229">
        <v>-1385643</v>
      </c>
      <c r="M251" s="229">
        <v>-1355403</v>
      </c>
      <c r="N251" s="229">
        <v>-1224390</v>
      </c>
      <c r="O251" s="229">
        <v>-2296080</v>
      </c>
      <c r="P251" s="229">
        <v>-2614720</v>
      </c>
      <c r="Q251" s="229">
        <v>-2175187</v>
      </c>
      <c r="R251" s="229">
        <v>-2106384</v>
      </c>
      <c r="S251" s="229">
        <v>-1795552</v>
      </c>
      <c r="T251" s="229">
        <f t="shared" si="94"/>
        <v>-1614500</v>
      </c>
      <c r="U251" s="229">
        <f t="shared" si="91"/>
        <v>-1614500</v>
      </c>
      <c r="V251" s="356">
        <f t="shared" si="92"/>
        <v>-1614500</v>
      </c>
      <c r="W251" s="356">
        <v>0</v>
      </c>
      <c r="X251" s="356">
        <f t="shared" si="86"/>
        <v>-1614500</v>
      </c>
      <c r="Y251" s="229">
        <v>0</v>
      </c>
      <c r="Z251" s="229">
        <f t="shared" si="87"/>
        <v>-1614500</v>
      </c>
      <c r="AA251" s="276" t="s">
        <v>15</v>
      </c>
      <c r="AB251" s="270">
        <f>SUMIF('Allocation Factors'!$B$3:$B$89,'Accumulated Deferred Income Tax'!AA251,'Allocation Factors'!$P$3:$P$89)</f>
        <v>0</v>
      </c>
      <c r="AC251" s="271">
        <f t="shared" si="88"/>
        <v>0</v>
      </c>
      <c r="AD251" s="271">
        <f t="shared" si="89"/>
        <v>0</v>
      </c>
      <c r="AE251" s="30">
        <f t="shared" si="90"/>
        <v>0</v>
      </c>
    </row>
    <row r="252" spans="1:31">
      <c r="A252" s="29">
        <v>287596</v>
      </c>
      <c r="B252" s="29">
        <v>283</v>
      </c>
      <c r="C252" s="28" t="s">
        <v>545</v>
      </c>
      <c r="D252" s="273">
        <v>415.892</v>
      </c>
      <c r="E252" s="29" t="s">
        <v>8</v>
      </c>
      <c r="F252" s="29" t="s">
        <v>9</v>
      </c>
      <c r="G252" s="229">
        <v>-2937088</v>
      </c>
      <c r="H252" s="229">
        <v>-3169507</v>
      </c>
      <c r="I252" s="229">
        <v>-3809382</v>
      </c>
      <c r="J252" s="229">
        <v>-3705953</v>
      </c>
      <c r="K252" s="229">
        <v>-4266740</v>
      </c>
      <c r="L252" s="229">
        <v>-4451267</v>
      </c>
      <c r="M252" s="229">
        <v>-4469102</v>
      </c>
      <c r="N252" s="229">
        <v>-4266535</v>
      </c>
      <c r="O252" s="229">
        <v>-4860598</v>
      </c>
      <c r="P252" s="229">
        <v>-5619496</v>
      </c>
      <c r="Q252" s="229">
        <v>-5560821</v>
      </c>
      <c r="R252" s="229">
        <v>-5881564</v>
      </c>
      <c r="S252" s="229">
        <v>-5895659</v>
      </c>
      <c r="T252" s="229">
        <f t="shared" si="94"/>
        <v>-4539778</v>
      </c>
      <c r="U252" s="229">
        <f t="shared" si="91"/>
        <v>-4539778</v>
      </c>
      <c r="V252" s="356">
        <f t="shared" si="92"/>
        <v>-4539778</v>
      </c>
      <c r="W252" s="356">
        <v>0</v>
      </c>
      <c r="X252" s="356">
        <f t="shared" si="86"/>
        <v>-4539778</v>
      </c>
      <c r="Y252" s="229">
        <v>0</v>
      </c>
      <c r="Z252" s="229">
        <f t="shared" si="87"/>
        <v>-4539778</v>
      </c>
      <c r="AA252" s="29" t="s">
        <v>15</v>
      </c>
      <c r="AB252" s="270">
        <f>SUMIF('Allocation Factors'!$B$3:$B$89,'Accumulated Deferred Income Tax'!AA252,'Allocation Factors'!$P$3:$P$89)</f>
        <v>0</v>
      </c>
      <c r="AC252" s="271">
        <f t="shared" si="88"/>
        <v>0</v>
      </c>
      <c r="AD252" s="271">
        <f t="shared" si="89"/>
        <v>0</v>
      </c>
      <c r="AE252" s="30">
        <f t="shared" si="90"/>
        <v>0</v>
      </c>
    </row>
    <row r="253" spans="1:31">
      <c r="A253" s="29">
        <v>287597</v>
      </c>
      <c r="B253" s="29">
        <v>283</v>
      </c>
      <c r="C253" s="28" t="s">
        <v>458</v>
      </c>
      <c r="D253" s="273">
        <v>415.70299999999997</v>
      </c>
      <c r="E253" s="29" t="s">
        <v>8</v>
      </c>
      <c r="F253" s="29" t="s">
        <v>9</v>
      </c>
      <c r="G253" s="229">
        <v>-80982</v>
      </c>
      <c r="H253" s="229">
        <v>-80546</v>
      </c>
      <c r="I253" s="229">
        <v>-80111</v>
      </c>
      <c r="J253" s="229">
        <v>-79676</v>
      </c>
      <c r="K253" s="229">
        <v>-79240</v>
      </c>
      <c r="L253" s="229">
        <v>-78805</v>
      </c>
      <c r="M253" s="229">
        <v>-78369</v>
      </c>
      <c r="N253" s="229">
        <v>-77934</v>
      </c>
      <c r="O253" s="229">
        <v>-77499</v>
      </c>
      <c r="P253" s="229">
        <v>-77063</v>
      </c>
      <c r="Q253" s="229">
        <v>-76628</v>
      </c>
      <c r="R253" s="229">
        <v>-76193</v>
      </c>
      <c r="S253" s="229">
        <v>-75757</v>
      </c>
      <c r="T253" s="229">
        <f t="shared" si="94"/>
        <v>-78369</v>
      </c>
      <c r="U253" s="229">
        <f t="shared" si="91"/>
        <v>-78369</v>
      </c>
      <c r="V253" s="356">
        <f t="shared" si="92"/>
        <v>-78369</v>
      </c>
      <c r="W253" s="356">
        <v>0</v>
      </c>
      <c r="X253" s="356">
        <f t="shared" si="86"/>
        <v>-78369</v>
      </c>
      <c r="Y253" s="229">
        <v>0</v>
      </c>
      <c r="Z253" s="229">
        <f t="shared" si="87"/>
        <v>-78369</v>
      </c>
      <c r="AA253" s="29" t="s">
        <v>32</v>
      </c>
      <c r="AB253" s="270">
        <f>SUMIF('Allocation Factors'!$B$3:$B$89,'Accumulated Deferred Income Tax'!AA253,'Allocation Factors'!$P$3:$P$89)</f>
        <v>0</v>
      </c>
      <c r="AC253" s="271">
        <f t="shared" si="88"/>
        <v>0</v>
      </c>
      <c r="AD253" s="271">
        <f t="shared" si="89"/>
        <v>0</v>
      </c>
      <c r="AE253" s="30">
        <f t="shared" si="90"/>
        <v>0</v>
      </c>
    </row>
    <row r="254" spans="1:31">
      <c r="A254" s="29">
        <v>287601</v>
      </c>
      <c r="B254" s="29">
        <v>283</v>
      </c>
      <c r="C254" s="90" t="s">
        <v>371</v>
      </c>
      <c r="D254" s="273">
        <v>415.67700000000002</v>
      </c>
      <c r="E254" s="29" t="s">
        <v>8</v>
      </c>
      <c r="F254" s="29" t="s">
        <v>9</v>
      </c>
      <c r="G254" s="229">
        <v>-18555</v>
      </c>
      <c r="H254" s="229">
        <v>-18282</v>
      </c>
      <c r="I254" s="229">
        <v>-18009</v>
      </c>
      <c r="J254" s="229">
        <v>-17736</v>
      </c>
      <c r="K254" s="229">
        <v>-17463</v>
      </c>
      <c r="L254" s="229">
        <v>-17190</v>
      </c>
      <c r="M254" s="229">
        <v>-16918</v>
      </c>
      <c r="N254" s="229">
        <v>-16645</v>
      </c>
      <c r="O254" s="229">
        <v>-16372</v>
      </c>
      <c r="P254" s="229">
        <v>-16099</v>
      </c>
      <c r="Q254" s="229">
        <v>-15826</v>
      </c>
      <c r="R254" s="229">
        <v>-15553</v>
      </c>
      <c r="S254" s="229">
        <v>-15280</v>
      </c>
      <c r="T254" s="229">
        <f t="shared" si="94"/>
        <v>-16918</v>
      </c>
      <c r="U254" s="229">
        <f t="shared" si="91"/>
        <v>-16918</v>
      </c>
      <c r="V254" s="356">
        <f t="shared" si="92"/>
        <v>-16918</v>
      </c>
      <c r="W254" s="356">
        <v>0</v>
      </c>
      <c r="X254" s="356">
        <f t="shared" si="86"/>
        <v>-16918</v>
      </c>
      <c r="Y254" s="229">
        <v>0</v>
      </c>
      <c r="Z254" s="229">
        <f t="shared" si="87"/>
        <v>-16918</v>
      </c>
      <c r="AA254" s="276" t="s">
        <v>15</v>
      </c>
      <c r="AB254" s="270">
        <f>SUMIF('Allocation Factors'!$B$3:$B$89,'Accumulated Deferred Income Tax'!AA254,'Allocation Factors'!$P$3:$P$89)</f>
        <v>0</v>
      </c>
      <c r="AC254" s="271">
        <f t="shared" si="88"/>
        <v>0</v>
      </c>
      <c r="AD254" s="271">
        <f t="shared" si="89"/>
        <v>0</v>
      </c>
      <c r="AE254" s="30">
        <f t="shared" si="90"/>
        <v>0</v>
      </c>
    </row>
    <row r="255" spans="1:31">
      <c r="A255" s="29">
        <v>287614</v>
      </c>
      <c r="B255" s="29">
        <v>283</v>
      </c>
      <c r="C255" s="90" t="s">
        <v>472</v>
      </c>
      <c r="D255" s="273">
        <v>430.1</v>
      </c>
      <c r="E255" s="29" t="s">
        <v>8</v>
      </c>
      <c r="F255" s="29" t="s">
        <v>9</v>
      </c>
      <c r="G255" s="229">
        <v>-118884</v>
      </c>
      <c r="H255" s="229">
        <v>760527</v>
      </c>
      <c r="I255" s="229">
        <v>1716426</v>
      </c>
      <c r="J255" s="229">
        <v>2921740</v>
      </c>
      <c r="K255" s="229">
        <v>3256417</v>
      </c>
      <c r="L255" s="229">
        <v>3278871</v>
      </c>
      <c r="M255" s="229">
        <v>2996799</v>
      </c>
      <c r="N255" s="229">
        <v>3999654</v>
      </c>
      <c r="O255" s="229">
        <v>1425184</v>
      </c>
      <c r="P255" s="229">
        <v>1472391</v>
      </c>
      <c r="Q255" s="229">
        <v>1709500</v>
      </c>
      <c r="R255" s="229">
        <v>1990799</v>
      </c>
      <c r="S255" s="229">
        <v>2265913</v>
      </c>
      <c r="T255" s="229">
        <f t="shared" si="94"/>
        <v>2216819</v>
      </c>
      <c r="U255" s="229">
        <f t="shared" si="91"/>
        <v>2216819</v>
      </c>
      <c r="V255" s="356">
        <f t="shared" si="92"/>
        <v>2216819</v>
      </c>
      <c r="W255" s="356">
        <v>0</v>
      </c>
      <c r="X255" s="356">
        <f t="shared" si="86"/>
        <v>2216819</v>
      </c>
      <c r="Y255" s="229">
        <v>0</v>
      </c>
      <c r="Z255" s="229">
        <f t="shared" si="87"/>
        <v>2216819</v>
      </c>
      <c r="AA255" s="276" t="s">
        <v>15</v>
      </c>
      <c r="AB255" s="270">
        <f>SUMIF('Allocation Factors'!$B$3:$B$89,'Accumulated Deferred Income Tax'!AA255,'Allocation Factors'!$P$3:$P$89)</f>
        <v>0</v>
      </c>
      <c r="AC255" s="271">
        <f t="shared" si="88"/>
        <v>0</v>
      </c>
      <c r="AD255" s="271">
        <f t="shared" si="89"/>
        <v>0</v>
      </c>
      <c r="AE255" s="30">
        <f t="shared" si="90"/>
        <v>0</v>
      </c>
    </row>
    <row r="256" spans="1:31">
      <c r="A256" s="29">
        <v>287634</v>
      </c>
      <c r="B256" s="29">
        <v>283</v>
      </c>
      <c r="C256" s="28" t="s">
        <v>524</v>
      </c>
      <c r="D256" s="273">
        <v>415.3</v>
      </c>
      <c r="E256" s="29">
        <v>4.1100000000000003</v>
      </c>
      <c r="F256" s="269" t="s">
        <v>9</v>
      </c>
      <c r="G256" s="229">
        <v>-21093783</v>
      </c>
      <c r="H256" s="229">
        <v>-21068157</v>
      </c>
      <c r="I256" s="229">
        <v>-21031554</v>
      </c>
      <c r="J256" s="229">
        <v>-20463860</v>
      </c>
      <c r="K256" s="229">
        <v>-20425688</v>
      </c>
      <c r="L256" s="229">
        <v>-20489892</v>
      </c>
      <c r="M256" s="229">
        <v>-20800311</v>
      </c>
      <c r="N256" s="229">
        <v>-20802263</v>
      </c>
      <c r="O256" s="229">
        <v>-20753637</v>
      </c>
      <c r="P256" s="229">
        <v>-20737794</v>
      </c>
      <c r="Q256" s="229">
        <v>-20670319</v>
      </c>
      <c r="R256" s="229">
        <v>-20650671</v>
      </c>
      <c r="S256" s="229">
        <v>-21554919</v>
      </c>
      <c r="T256" s="229">
        <f t="shared" si="94"/>
        <v>-20768208</v>
      </c>
      <c r="U256" s="229">
        <f t="shared" si="91"/>
        <v>-20768208</v>
      </c>
      <c r="V256" s="356">
        <f t="shared" si="92"/>
        <v>-20768208</v>
      </c>
      <c r="W256" s="356">
        <v>0</v>
      </c>
      <c r="X256" s="356">
        <f t="shared" si="86"/>
        <v>-20768208</v>
      </c>
      <c r="Y256" s="229">
        <f>-X256</f>
        <v>20768208</v>
      </c>
      <c r="Z256" s="229">
        <f t="shared" si="87"/>
        <v>0</v>
      </c>
      <c r="AA256" s="276" t="s">
        <v>10</v>
      </c>
      <c r="AB256" s="270">
        <f>SUMIF('Allocation Factors'!$B$3:$B$89,'Accumulated Deferred Income Tax'!AA256,'Allocation Factors'!$P$3:$P$89)</f>
        <v>6.7017620954721469E-2</v>
      </c>
      <c r="AC256" s="271">
        <f t="shared" si="88"/>
        <v>-1391836</v>
      </c>
      <c r="AD256" s="271">
        <f t="shared" si="89"/>
        <v>1391836</v>
      </c>
      <c r="AE256" s="30">
        <f t="shared" si="90"/>
        <v>0</v>
      </c>
    </row>
    <row r="257" spans="1:31">
      <c r="A257" s="297">
        <v>287639</v>
      </c>
      <c r="B257" s="29">
        <v>283</v>
      </c>
      <c r="C257" s="73" t="s">
        <v>456</v>
      </c>
      <c r="D257" s="273">
        <v>415.51</v>
      </c>
      <c r="E257" s="29">
        <v>5.3</v>
      </c>
      <c r="F257" s="269" t="s">
        <v>9</v>
      </c>
      <c r="G257" s="229">
        <v>-33155</v>
      </c>
      <c r="H257" s="229">
        <v>-32086</v>
      </c>
      <c r="I257" s="229">
        <v>-31016</v>
      </c>
      <c r="J257" s="229">
        <v>-29947</v>
      </c>
      <c r="K257" s="229">
        <v>-28878</v>
      </c>
      <c r="L257" s="229">
        <v>-27809</v>
      </c>
      <c r="M257" s="229">
        <v>-26739</v>
      </c>
      <c r="N257" s="229">
        <v>-25670</v>
      </c>
      <c r="O257" s="229">
        <v>-24601</v>
      </c>
      <c r="P257" s="229">
        <v>-23531</v>
      </c>
      <c r="Q257" s="229">
        <v>-22462</v>
      </c>
      <c r="R257" s="229">
        <v>-21393</v>
      </c>
      <c r="S257" s="229">
        <v>-20324</v>
      </c>
      <c r="T257" s="229">
        <f t="shared" si="94"/>
        <v>-26739</v>
      </c>
      <c r="U257" s="229">
        <f t="shared" si="91"/>
        <v>-26739</v>
      </c>
      <c r="V257" s="356">
        <f t="shared" si="92"/>
        <v>-26739</v>
      </c>
      <c r="W257" s="356">
        <v>0</v>
      </c>
      <c r="X257" s="356">
        <f t="shared" si="86"/>
        <v>-26739</v>
      </c>
      <c r="Y257" s="229">
        <f>-X257</f>
        <v>26739</v>
      </c>
      <c r="Z257" s="229">
        <f t="shared" si="87"/>
        <v>0</v>
      </c>
      <c r="AA257" s="75" t="s">
        <v>26</v>
      </c>
      <c r="AB257" s="270">
        <f>SUMIF('Allocation Factors'!$B$3:$B$89,'Accumulated Deferred Income Tax'!AA257,'Allocation Factors'!$P$3:$P$89)</f>
        <v>1</v>
      </c>
      <c r="AC257" s="271">
        <f t="shared" si="88"/>
        <v>-26739</v>
      </c>
      <c r="AD257" s="271">
        <f t="shared" si="89"/>
        <v>26739</v>
      </c>
      <c r="AE257" s="30">
        <f t="shared" si="90"/>
        <v>0</v>
      </c>
    </row>
    <row r="258" spans="1:31">
      <c r="A258" s="29">
        <v>287640</v>
      </c>
      <c r="B258" s="29">
        <v>283</v>
      </c>
      <c r="C258" s="28" t="s">
        <v>534</v>
      </c>
      <c r="D258" s="273">
        <v>415.68</v>
      </c>
      <c r="E258" s="29" t="s">
        <v>8</v>
      </c>
      <c r="F258" s="29" t="s">
        <v>9</v>
      </c>
      <c r="G258" s="229">
        <v>-177282</v>
      </c>
      <c r="H258" s="229">
        <v>-178572</v>
      </c>
      <c r="I258" s="229">
        <v>-180364</v>
      </c>
      <c r="J258" s="229">
        <v>-181674</v>
      </c>
      <c r="K258" s="229">
        <v>-195942</v>
      </c>
      <c r="L258" s="229">
        <v>-221954</v>
      </c>
      <c r="M258" s="229">
        <v>-227906</v>
      </c>
      <c r="N258" s="229">
        <v>-229519</v>
      </c>
      <c r="O258" s="229">
        <v>-245942</v>
      </c>
      <c r="P258" s="229">
        <v>-272612</v>
      </c>
      <c r="Q258" s="229">
        <v>-277396</v>
      </c>
      <c r="R258" s="229">
        <v>-279324</v>
      </c>
      <c r="S258" s="229">
        <v>-286174</v>
      </c>
      <c r="T258" s="229">
        <f t="shared" si="94"/>
        <v>-226911</v>
      </c>
      <c r="U258" s="229">
        <f t="shared" si="91"/>
        <v>-226911</v>
      </c>
      <c r="V258" s="356">
        <f t="shared" si="92"/>
        <v>-226911</v>
      </c>
      <c r="W258" s="356">
        <v>0</v>
      </c>
      <c r="X258" s="356">
        <f t="shared" si="86"/>
        <v>-226911</v>
      </c>
      <c r="Y258" s="229">
        <v>0</v>
      </c>
      <c r="Z258" s="229">
        <f t="shared" si="87"/>
        <v>-226911</v>
      </c>
      <c r="AA258" s="276" t="s">
        <v>15</v>
      </c>
      <c r="AB258" s="270">
        <f>SUMIF('Allocation Factors'!$B$3:$B$89,'Accumulated Deferred Income Tax'!AA258,'Allocation Factors'!$P$3:$P$89)</f>
        <v>0</v>
      </c>
      <c r="AC258" s="271">
        <f t="shared" si="88"/>
        <v>0</v>
      </c>
      <c r="AD258" s="271">
        <f t="shared" si="89"/>
        <v>0</v>
      </c>
      <c r="AE258" s="30">
        <f t="shared" si="90"/>
        <v>0</v>
      </c>
    </row>
    <row r="259" spans="1:31">
      <c r="A259" s="29">
        <v>287642</v>
      </c>
      <c r="B259" s="29">
        <v>283</v>
      </c>
      <c r="C259" s="28" t="s">
        <v>301</v>
      </c>
      <c r="D259" s="273" t="s">
        <v>54</v>
      </c>
      <c r="E259" s="29" t="s">
        <v>8</v>
      </c>
      <c r="F259" s="29" t="s">
        <v>333</v>
      </c>
      <c r="G259" s="229">
        <v>-26771682</v>
      </c>
      <c r="H259" s="229">
        <v>-27136887</v>
      </c>
      <c r="I259" s="229">
        <v>-27502092</v>
      </c>
      <c r="J259" s="229">
        <v>-28235149</v>
      </c>
      <c r="K259" s="229">
        <v>-28560775</v>
      </c>
      <c r="L259" s="229">
        <v>-28876971</v>
      </c>
      <c r="M259" s="229">
        <v>-29172770</v>
      </c>
      <c r="N259" s="229">
        <v>-29488708</v>
      </c>
      <c r="O259" s="229">
        <v>-29804645</v>
      </c>
      <c r="P259" s="229">
        <v>-30090594</v>
      </c>
      <c r="Q259" s="229">
        <v>-30407732</v>
      </c>
      <c r="R259" s="229">
        <v>-30724869</v>
      </c>
      <c r="S259" s="229">
        <v>-31042007</v>
      </c>
      <c r="T259" s="229">
        <f t="shared" si="94"/>
        <v>-29075670</v>
      </c>
      <c r="U259" s="229">
        <f t="shared" si="91"/>
        <v>-29075670</v>
      </c>
      <c r="V259" s="356">
        <f t="shared" si="92"/>
        <v>-29075670</v>
      </c>
      <c r="W259" s="356">
        <v>0</v>
      </c>
      <c r="X259" s="356">
        <f t="shared" si="86"/>
        <v>0</v>
      </c>
      <c r="Y259" s="229">
        <v>0</v>
      </c>
      <c r="Z259" s="229">
        <f t="shared" si="87"/>
        <v>0</v>
      </c>
      <c r="AA259" s="29" t="s">
        <v>331</v>
      </c>
      <c r="AB259" s="270">
        <f>SUMIF('Allocation Factors'!$B$3:$B$89,'Accumulated Deferred Income Tax'!AA259,'Allocation Factors'!$P$3:$P$89)</f>
        <v>0</v>
      </c>
      <c r="AC259" s="271">
        <f t="shared" si="88"/>
        <v>0</v>
      </c>
      <c r="AD259" s="271">
        <f t="shared" si="89"/>
        <v>0</v>
      </c>
      <c r="AE259" s="30">
        <f t="shared" si="90"/>
        <v>0</v>
      </c>
    </row>
    <row r="260" spans="1:31">
      <c r="A260" s="29">
        <v>287647</v>
      </c>
      <c r="B260" s="29">
        <v>283</v>
      </c>
      <c r="C260" s="28" t="s">
        <v>546</v>
      </c>
      <c r="D260" s="273">
        <v>425.1</v>
      </c>
      <c r="E260" s="29" t="s">
        <v>8</v>
      </c>
      <c r="F260" s="29" t="s">
        <v>9</v>
      </c>
      <c r="G260" s="229">
        <v>-6605</v>
      </c>
      <c r="H260" s="229">
        <v>-6605</v>
      </c>
      <c r="I260" s="229">
        <v>-16440</v>
      </c>
      <c r="J260" s="229">
        <v>-16440</v>
      </c>
      <c r="K260" s="229">
        <v>-16440</v>
      </c>
      <c r="L260" s="229">
        <v>-16440</v>
      </c>
      <c r="M260" s="229">
        <v>-16440</v>
      </c>
      <c r="N260" s="229">
        <v>-16440</v>
      </c>
      <c r="O260" s="229">
        <v>-16440</v>
      </c>
      <c r="P260" s="229">
        <v>-16440</v>
      </c>
      <c r="Q260" s="229">
        <v>-16440</v>
      </c>
      <c r="R260" s="229">
        <v>-16440</v>
      </c>
      <c r="S260" s="229">
        <v>-16440</v>
      </c>
      <c r="T260" s="229">
        <f t="shared" si="94"/>
        <v>-15211</v>
      </c>
      <c r="U260" s="229">
        <f t="shared" si="91"/>
        <v>-15211</v>
      </c>
      <c r="V260" s="356">
        <f t="shared" si="92"/>
        <v>-15211</v>
      </c>
      <c r="W260" s="356">
        <v>0</v>
      </c>
      <c r="X260" s="356">
        <f t="shared" ref="X260:X291" si="95">IF(F260="U",V260,0)</f>
        <v>-15211</v>
      </c>
      <c r="Y260" s="229">
        <v>0</v>
      </c>
      <c r="Z260" s="229">
        <f t="shared" ref="Z260:Z291" si="96">SUM(X260:Y260)</f>
        <v>-15211</v>
      </c>
      <c r="AA260" s="29" t="s">
        <v>29</v>
      </c>
      <c r="AB260" s="270">
        <f>SUMIF('Allocation Factors'!$B$3:$B$89,'Accumulated Deferred Income Tax'!AA260,'Allocation Factors'!$P$3:$P$89)</f>
        <v>0</v>
      </c>
      <c r="AC260" s="271">
        <f t="shared" ref="AC260:AC291" si="97">ROUND(X260*AB260,0)</f>
        <v>0</v>
      </c>
      <c r="AD260" s="271">
        <f t="shared" ref="AD260:AD291" si="98">ROUND(Y260*AB260,0)</f>
        <v>0</v>
      </c>
      <c r="AE260" s="30">
        <f t="shared" ref="AE260:AE291" si="99">SUM(AC260:AD260)</f>
        <v>0</v>
      </c>
    </row>
    <row r="261" spans="1:31">
      <c r="A261" s="29">
        <v>287649</v>
      </c>
      <c r="B261" s="29">
        <v>283</v>
      </c>
      <c r="C261" s="28" t="s">
        <v>560</v>
      </c>
      <c r="D261" s="273">
        <v>730.17</v>
      </c>
      <c r="E261" s="29" t="s">
        <v>8</v>
      </c>
      <c r="F261" s="29" t="s">
        <v>333</v>
      </c>
      <c r="G261" s="229">
        <v>-28521024</v>
      </c>
      <c r="H261" s="229">
        <v>-33383148</v>
      </c>
      <c r="I261" s="229">
        <v>-24781741</v>
      </c>
      <c r="J261" s="229">
        <v>-25148350</v>
      </c>
      <c r="K261" s="229">
        <v>0</v>
      </c>
      <c r="L261" s="229">
        <v>-11631822</v>
      </c>
      <c r="M261" s="229">
        <v>-23548525</v>
      </c>
      <c r="N261" s="229">
        <v>-18329644</v>
      </c>
      <c r="O261" s="229">
        <v>-11469947</v>
      </c>
      <c r="P261" s="229">
        <v>-19077236</v>
      </c>
      <c r="Q261" s="229">
        <v>-21017204</v>
      </c>
      <c r="R261" s="229">
        <v>-23826297</v>
      </c>
      <c r="S261" s="229">
        <v>-24777162</v>
      </c>
      <c r="T261" s="229">
        <f t="shared" si="94"/>
        <v>-19905251</v>
      </c>
      <c r="U261" s="229">
        <f t="shared" si="91"/>
        <v>-19905251</v>
      </c>
      <c r="V261" s="356">
        <f t="shared" si="92"/>
        <v>-19905251</v>
      </c>
      <c r="W261" s="356">
        <v>0</v>
      </c>
      <c r="X261" s="356">
        <f t="shared" si="95"/>
        <v>0</v>
      </c>
      <c r="Y261" s="229">
        <v>0</v>
      </c>
      <c r="Z261" s="229">
        <f t="shared" si="96"/>
        <v>0</v>
      </c>
      <c r="AA261" s="29" t="s">
        <v>331</v>
      </c>
      <c r="AB261" s="270">
        <f>SUMIF('Allocation Factors'!$B$3:$B$89,'Accumulated Deferred Income Tax'!AA261,'Allocation Factors'!$P$3:$P$89)</f>
        <v>0</v>
      </c>
      <c r="AC261" s="271">
        <f t="shared" si="97"/>
        <v>0</v>
      </c>
      <c r="AD261" s="271">
        <f t="shared" si="98"/>
        <v>0</v>
      </c>
      <c r="AE261" s="30">
        <f t="shared" si="99"/>
        <v>0</v>
      </c>
    </row>
    <row r="262" spans="1:31">
      <c r="A262" s="29">
        <v>287650</v>
      </c>
      <c r="B262" s="29">
        <v>283</v>
      </c>
      <c r="C262" s="28" t="s">
        <v>27</v>
      </c>
      <c r="D262" s="273">
        <v>205.1</v>
      </c>
      <c r="E262" s="29" t="s">
        <v>8</v>
      </c>
      <c r="F262" s="29" t="s">
        <v>9</v>
      </c>
      <c r="G262" s="229">
        <v>-61042</v>
      </c>
      <c r="H262" s="229">
        <v>-61042</v>
      </c>
      <c r="I262" s="229">
        <v>-61042</v>
      </c>
      <c r="J262" s="229">
        <v>-36660</v>
      </c>
      <c r="K262" s="229">
        <v>-36660</v>
      </c>
      <c r="L262" s="229">
        <v>-36660</v>
      </c>
      <c r="M262" s="229">
        <v>-27155</v>
      </c>
      <c r="N262" s="229">
        <v>-27155</v>
      </c>
      <c r="O262" s="229">
        <v>-27155</v>
      </c>
      <c r="P262" s="229">
        <v>0</v>
      </c>
      <c r="Q262" s="229">
        <v>0</v>
      </c>
      <c r="R262" s="229">
        <v>0</v>
      </c>
      <c r="S262" s="229">
        <v>0</v>
      </c>
      <c r="T262" s="229">
        <f t="shared" si="94"/>
        <v>-28671</v>
      </c>
      <c r="U262" s="229">
        <f t="shared" ref="U262:U293" si="100">+T262</f>
        <v>-28671</v>
      </c>
      <c r="V262" s="356">
        <f t="shared" si="92"/>
        <v>-28671</v>
      </c>
      <c r="W262" s="356">
        <v>0</v>
      </c>
      <c r="X262" s="356">
        <f t="shared" si="95"/>
        <v>-28671</v>
      </c>
      <c r="Y262" s="229">
        <v>0</v>
      </c>
      <c r="Z262" s="229">
        <f t="shared" si="96"/>
        <v>-28671</v>
      </c>
      <c r="AA262" s="276" t="s">
        <v>119</v>
      </c>
      <c r="AB262" s="270">
        <f>SUMIF('Allocation Factors'!$B$3:$B$89,'Accumulated Deferred Income Tax'!AA262,'Allocation Factors'!$P$3:$P$89)</f>
        <v>0</v>
      </c>
      <c r="AC262" s="271">
        <f t="shared" si="97"/>
        <v>0</v>
      </c>
      <c r="AD262" s="271">
        <f t="shared" si="98"/>
        <v>0</v>
      </c>
      <c r="AE262" s="30">
        <f t="shared" si="99"/>
        <v>0</v>
      </c>
    </row>
    <row r="263" spans="1:31">
      <c r="A263" s="29">
        <v>287653</v>
      </c>
      <c r="B263" s="29">
        <v>283</v>
      </c>
      <c r="C263" s="28" t="s">
        <v>37</v>
      </c>
      <c r="D263" s="273">
        <v>425.25</v>
      </c>
      <c r="E263" s="29" t="s">
        <v>8</v>
      </c>
      <c r="F263" s="29" t="s">
        <v>9</v>
      </c>
      <c r="G263" s="229">
        <v>-6024</v>
      </c>
      <c r="H263" s="229">
        <v>-5707</v>
      </c>
      <c r="I263" s="229">
        <v>-5390</v>
      </c>
      <c r="J263" s="229">
        <v>-5073</v>
      </c>
      <c r="K263" s="229">
        <v>-4756</v>
      </c>
      <c r="L263" s="229">
        <v>-4439</v>
      </c>
      <c r="M263" s="229">
        <v>-4122</v>
      </c>
      <c r="N263" s="229">
        <v>-3805</v>
      </c>
      <c r="O263" s="229">
        <v>-3488</v>
      </c>
      <c r="P263" s="229">
        <v>-3171</v>
      </c>
      <c r="Q263" s="229">
        <v>-2854</v>
      </c>
      <c r="R263" s="229">
        <v>-2537</v>
      </c>
      <c r="S263" s="229">
        <v>-2220</v>
      </c>
      <c r="T263" s="229">
        <f t="shared" si="94"/>
        <v>-4122</v>
      </c>
      <c r="U263" s="229">
        <f t="shared" si="100"/>
        <v>-4122</v>
      </c>
      <c r="V263" s="356">
        <f t="shared" si="92"/>
        <v>-4122</v>
      </c>
      <c r="W263" s="356">
        <v>0</v>
      </c>
      <c r="X263" s="356">
        <f t="shared" si="95"/>
        <v>-4122</v>
      </c>
      <c r="Y263" s="229">
        <v>0</v>
      </c>
      <c r="Z263" s="229">
        <f t="shared" si="96"/>
        <v>-4122</v>
      </c>
      <c r="AA263" s="276" t="s">
        <v>162</v>
      </c>
      <c r="AB263" s="270">
        <f>SUMIF('Allocation Factors'!$B$3:$B$89,'Accumulated Deferred Income Tax'!AA263,'Allocation Factors'!$P$3:$P$89)</f>
        <v>0</v>
      </c>
      <c r="AC263" s="271">
        <f t="shared" si="97"/>
        <v>0</v>
      </c>
      <c r="AD263" s="271">
        <f t="shared" si="98"/>
        <v>0</v>
      </c>
      <c r="AE263" s="30">
        <f t="shared" si="99"/>
        <v>0</v>
      </c>
    </row>
    <row r="264" spans="1:31">
      <c r="A264" s="29">
        <v>287661</v>
      </c>
      <c r="B264" s="29">
        <v>283</v>
      </c>
      <c r="C264" s="28" t="s">
        <v>38</v>
      </c>
      <c r="D264" s="273">
        <v>425.36</v>
      </c>
      <c r="E264" s="29" t="s">
        <v>8</v>
      </c>
      <c r="F264" s="269" t="s">
        <v>9</v>
      </c>
      <c r="G264" s="229">
        <v>-763362</v>
      </c>
      <c r="H264" s="229">
        <v>-759844</v>
      </c>
      <c r="I264" s="229">
        <v>-756326</v>
      </c>
      <c r="J264" s="229">
        <v>-752808</v>
      </c>
      <c r="K264" s="229">
        <v>-749291</v>
      </c>
      <c r="L264" s="229">
        <v>-745773</v>
      </c>
      <c r="M264" s="229">
        <v>-742255</v>
      </c>
      <c r="N264" s="229">
        <v>-738737</v>
      </c>
      <c r="O264" s="229">
        <v>-735219</v>
      </c>
      <c r="P264" s="229">
        <v>-731702</v>
      </c>
      <c r="Q264" s="229">
        <v>-728184</v>
      </c>
      <c r="R264" s="229">
        <v>-724666</v>
      </c>
      <c r="S264" s="229">
        <v>-721148</v>
      </c>
      <c r="T264" s="229">
        <f t="shared" si="94"/>
        <v>-742255</v>
      </c>
      <c r="U264" s="229">
        <f t="shared" si="100"/>
        <v>-742255</v>
      </c>
      <c r="V264" s="356">
        <f t="shared" si="92"/>
        <v>-742255</v>
      </c>
      <c r="W264" s="356">
        <v>0</v>
      </c>
      <c r="X264" s="356">
        <f t="shared" si="95"/>
        <v>-742255</v>
      </c>
      <c r="Y264" s="229">
        <v>0</v>
      </c>
      <c r="Z264" s="229">
        <f t="shared" si="96"/>
        <v>-742255</v>
      </c>
      <c r="AA264" s="276" t="s">
        <v>160</v>
      </c>
      <c r="AB264" s="270">
        <f>SUMIF('Allocation Factors'!$B$3:$B$89,'Accumulated Deferred Income Tax'!AA264,'Allocation Factors'!$P$3:$P$89)</f>
        <v>0.21577192756641544</v>
      </c>
      <c r="AC264" s="271">
        <f t="shared" si="97"/>
        <v>-160158</v>
      </c>
      <c r="AD264" s="271">
        <f t="shared" si="98"/>
        <v>0</v>
      </c>
      <c r="AE264" s="30">
        <f t="shared" si="99"/>
        <v>-160158</v>
      </c>
    </row>
    <row r="265" spans="1:31" s="187" customFormat="1">
      <c r="A265" s="29">
        <v>287662</v>
      </c>
      <c r="B265" s="29">
        <v>283</v>
      </c>
      <c r="C265" s="28" t="s">
        <v>517</v>
      </c>
      <c r="D265" s="273">
        <v>210.1</v>
      </c>
      <c r="E265" s="29" t="s">
        <v>8</v>
      </c>
      <c r="F265" s="29" t="s">
        <v>9</v>
      </c>
      <c r="G265" s="229">
        <v>-783609</v>
      </c>
      <c r="H265" s="229">
        <v>-696541</v>
      </c>
      <c r="I265" s="229">
        <v>-609474</v>
      </c>
      <c r="J265" s="229">
        <v>-522406</v>
      </c>
      <c r="K265" s="229">
        <v>-435338</v>
      </c>
      <c r="L265" s="229">
        <v>-348271</v>
      </c>
      <c r="M265" s="229">
        <v>-261203</v>
      </c>
      <c r="N265" s="229">
        <v>-174136</v>
      </c>
      <c r="O265" s="229">
        <v>-87068</v>
      </c>
      <c r="P265" s="229">
        <v>-999446</v>
      </c>
      <c r="Q265" s="229">
        <v>-916159</v>
      </c>
      <c r="R265" s="229">
        <v>-827985</v>
      </c>
      <c r="S265" s="229">
        <v>-745187</v>
      </c>
      <c r="T265" s="229">
        <f t="shared" si="94"/>
        <v>-553535</v>
      </c>
      <c r="U265" s="229">
        <f t="shared" si="100"/>
        <v>-553535</v>
      </c>
      <c r="V265" s="356">
        <f t="shared" si="92"/>
        <v>-553535</v>
      </c>
      <c r="W265" s="356">
        <v>0</v>
      </c>
      <c r="X265" s="356">
        <f t="shared" si="95"/>
        <v>-553535</v>
      </c>
      <c r="Y265" s="229">
        <v>0</v>
      </c>
      <c r="Z265" s="229">
        <f t="shared" si="96"/>
        <v>-553535</v>
      </c>
      <c r="AA265" s="29" t="s">
        <v>30</v>
      </c>
      <c r="AB265" s="270">
        <f>SUMIF('Allocation Factors'!$B$3:$B$89,'Accumulated Deferred Income Tax'!AA265,'Allocation Factors'!$P$3:$P$89)</f>
        <v>0</v>
      </c>
      <c r="AC265" s="271">
        <f t="shared" si="97"/>
        <v>0</v>
      </c>
      <c r="AD265" s="271">
        <f t="shared" si="98"/>
        <v>0</v>
      </c>
      <c r="AE265" s="30">
        <f t="shared" si="99"/>
        <v>0</v>
      </c>
    </row>
    <row r="266" spans="1:31" s="187" customFormat="1">
      <c r="A266" s="29">
        <v>287664</v>
      </c>
      <c r="B266" s="29">
        <v>283</v>
      </c>
      <c r="C266" s="28" t="s">
        <v>518</v>
      </c>
      <c r="D266" s="273">
        <v>210.12</v>
      </c>
      <c r="E266" s="29" t="s">
        <v>8</v>
      </c>
      <c r="F266" s="29" t="s">
        <v>9</v>
      </c>
      <c r="G266" s="229">
        <v>-1543973</v>
      </c>
      <c r="H266" s="229">
        <v>-1415309</v>
      </c>
      <c r="I266" s="229">
        <v>-1286644</v>
      </c>
      <c r="J266" s="229">
        <v>-1157980</v>
      </c>
      <c r="K266" s="229">
        <v>-1029315</v>
      </c>
      <c r="L266" s="229">
        <v>-900651</v>
      </c>
      <c r="M266" s="229">
        <v>-771986</v>
      </c>
      <c r="N266" s="229">
        <v>-643322</v>
      </c>
      <c r="O266" s="229">
        <v>-514657</v>
      </c>
      <c r="P266" s="229">
        <v>-385993</v>
      </c>
      <c r="Q266" s="229">
        <v>-257329</v>
      </c>
      <c r="R266" s="229">
        <v>-128664</v>
      </c>
      <c r="S266" s="229">
        <v>-1526500</v>
      </c>
      <c r="T266" s="229">
        <f t="shared" si="94"/>
        <v>-835591</v>
      </c>
      <c r="U266" s="229">
        <f t="shared" si="100"/>
        <v>-835591</v>
      </c>
      <c r="V266" s="356">
        <f t="shared" si="92"/>
        <v>-835591</v>
      </c>
      <c r="W266" s="356">
        <v>0</v>
      </c>
      <c r="X266" s="356">
        <f t="shared" si="95"/>
        <v>-835591</v>
      </c>
      <c r="Y266" s="229">
        <v>0</v>
      </c>
      <c r="Z266" s="229">
        <f t="shared" si="96"/>
        <v>-835591</v>
      </c>
      <c r="AA266" s="29" t="s">
        <v>28</v>
      </c>
      <c r="AB266" s="270">
        <f>SUMIF('Allocation Factors'!$B$3:$B$89,'Accumulated Deferred Income Tax'!AA266,'Allocation Factors'!$P$3:$P$89)</f>
        <v>0</v>
      </c>
      <c r="AC266" s="271">
        <f t="shared" si="97"/>
        <v>0</v>
      </c>
      <c r="AD266" s="271">
        <f t="shared" si="98"/>
        <v>0</v>
      </c>
      <c r="AE266" s="30">
        <f t="shared" si="99"/>
        <v>0</v>
      </c>
    </row>
    <row r="267" spans="1:31">
      <c r="A267" s="29">
        <v>287665</v>
      </c>
      <c r="B267" s="29">
        <v>283</v>
      </c>
      <c r="C267" s="28" t="s">
        <v>519</v>
      </c>
      <c r="D267" s="273">
        <v>210.13</v>
      </c>
      <c r="E267" s="29" t="s">
        <v>8</v>
      </c>
      <c r="F267" s="29" t="s">
        <v>9</v>
      </c>
      <c r="G267" s="229">
        <v>-79123</v>
      </c>
      <c r="H267" s="229">
        <v>-65936</v>
      </c>
      <c r="I267" s="229">
        <v>-52749</v>
      </c>
      <c r="J267" s="229">
        <v>-39562</v>
      </c>
      <c r="K267" s="229">
        <v>-26375</v>
      </c>
      <c r="L267" s="229">
        <v>-92311</v>
      </c>
      <c r="M267" s="229">
        <v>-79123</v>
      </c>
      <c r="N267" s="229">
        <v>-65936</v>
      </c>
      <c r="O267" s="229">
        <v>-52749</v>
      </c>
      <c r="P267" s="229">
        <v>-39562</v>
      </c>
      <c r="Q267" s="229">
        <v>-26375</v>
      </c>
      <c r="R267" s="229">
        <v>-102175</v>
      </c>
      <c r="S267" s="229">
        <v>-88988</v>
      </c>
      <c r="T267" s="229">
        <f t="shared" si="94"/>
        <v>-60576</v>
      </c>
      <c r="U267" s="229">
        <f t="shared" si="100"/>
        <v>-60576</v>
      </c>
      <c r="V267" s="356">
        <f t="shared" si="92"/>
        <v>-60576</v>
      </c>
      <c r="W267" s="356">
        <v>0</v>
      </c>
      <c r="X267" s="356">
        <f t="shared" si="95"/>
        <v>-60576</v>
      </c>
      <c r="Y267" s="229">
        <v>0</v>
      </c>
      <c r="Z267" s="229">
        <f t="shared" si="96"/>
        <v>-60576</v>
      </c>
      <c r="AA267" s="29" t="s">
        <v>29</v>
      </c>
      <c r="AB267" s="270">
        <f>SUMIF('Allocation Factors'!$B$3:$B$89,'Accumulated Deferred Income Tax'!AA267,'Allocation Factors'!$P$3:$P$89)</f>
        <v>0</v>
      </c>
      <c r="AC267" s="271">
        <f t="shared" si="97"/>
        <v>0</v>
      </c>
      <c r="AD267" s="271">
        <f t="shared" si="98"/>
        <v>0</v>
      </c>
      <c r="AE267" s="30">
        <f t="shared" si="99"/>
        <v>0</v>
      </c>
    </row>
    <row r="268" spans="1:31">
      <c r="A268" s="29">
        <v>287666</v>
      </c>
      <c r="B268" s="29">
        <v>283</v>
      </c>
      <c r="C268" s="90" t="s">
        <v>621</v>
      </c>
      <c r="D268" s="273">
        <v>210.14</v>
      </c>
      <c r="E268" s="29" t="s">
        <v>8</v>
      </c>
      <c r="F268" s="29" t="s">
        <v>9</v>
      </c>
      <c r="G268" s="229">
        <v>0</v>
      </c>
      <c r="H268" s="229">
        <v>0</v>
      </c>
      <c r="I268" s="229">
        <v>0</v>
      </c>
      <c r="J268" s="229">
        <v>-94630</v>
      </c>
      <c r="K268" s="229">
        <v>-63087</v>
      </c>
      <c r="L268" s="229">
        <v>-31543</v>
      </c>
      <c r="M268" s="229">
        <v>0</v>
      </c>
      <c r="N268" s="229">
        <v>0</v>
      </c>
      <c r="O268" s="229">
        <v>0</v>
      </c>
      <c r="P268" s="229">
        <v>-94630</v>
      </c>
      <c r="Q268" s="229">
        <v>-63087</v>
      </c>
      <c r="R268" s="229">
        <v>-31543</v>
      </c>
      <c r="S268" s="229">
        <v>0</v>
      </c>
      <c r="T268" s="229">
        <f t="shared" si="94"/>
        <v>-31543</v>
      </c>
      <c r="U268" s="229">
        <f t="shared" si="100"/>
        <v>-31543</v>
      </c>
      <c r="V268" s="356">
        <f t="shared" si="92"/>
        <v>-31543</v>
      </c>
      <c r="W268" s="356">
        <v>0</v>
      </c>
      <c r="X268" s="356">
        <f t="shared" si="95"/>
        <v>-31543</v>
      </c>
      <c r="Y268" s="229">
        <v>0</v>
      </c>
      <c r="Z268" s="229">
        <f t="shared" si="96"/>
        <v>-31543</v>
      </c>
      <c r="AA268" s="276" t="s">
        <v>32</v>
      </c>
      <c r="AB268" s="270">
        <f>SUMIF('Allocation Factors'!$B$3:$B$89,'Accumulated Deferred Income Tax'!AA268,'Allocation Factors'!$P$3:$P$89)</f>
        <v>0</v>
      </c>
      <c r="AC268" s="271">
        <f t="shared" si="97"/>
        <v>0</v>
      </c>
      <c r="AD268" s="271">
        <f t="shared" si="98"/>
        <v>0</v>
      </c>
      <c r="AE268" s="30">
        <f t="shared" si="99"/>
        <v>0</v>
      </c>
    </row>
    <row r="269" spans="1:31">
      <c r="A269" s="29">
        <v>287669</v>
      </c>
      <c r="B269" s="29">
        <v>283</v>
      </c>
      <c r="C269" s="28" t="s">
        <v>520</v>
      </c>
      <c r="D269" s="273">
        <v>210.18</v>
      </c>
      <c r="E269" s="29" t="s">
        <v>8</v>
      </c>
      <c r="F269" s="29" t="s">
        <v>9</v>
      </c>
      <c r="G269" s="229">
        <v>-1151423</v>
      </c>
      <c r="H269" s="229">
        <v>-963642</v>
      </c>
      <c r="I269" s="229">
        <v>-775862</v>
      </c>
      <c r="J269" s="229">
        <v>-600038</v>
      </c>
      <c r="K269" s="229">
        <v>-416158</v>
      </c>
      <c r="L269" s="229">
        <v>-232278</v>
      </c>
      <c r="M269" s="229">
        <v>-95975</v>
      </c>
      <c r="N269" s="229">
        <v>-1788753</v>
      </c>
      <c r="O269" s="229">
        <v>-1592106</v>
      </c>
      <c r="P269" s="229">
        <v>-1380416</v>
      </c>
      <c r="Q269" s="229">
        <v>-1317702</v>
      </c>
      <c r="R269" s="229">
        <v>-1102715</v>
      </c>
      <c r="S269" s="229">
        <v>-949649</v>
      </c>
      <c r="T269" s="229">
        <f t="shared" si="94"/>
        <v>-943015</v>
      </c>
      <c r="U269" s="229">
        <f t="shared" si="100"/>
        <v>-943015</v>
      </c>
      <c r="V269" s="356">
        <f t="shared" si="92"/>
        <v>-943015</v>
      </c>
      <c r="W269" s="356">
        <v>0</v>
      </c>
      <c r="X269" s="356">
        <f t="shared" si="95"/>
        <v>-943015</v>
      </c>
      <c r="Y269" s="229">
        <v>0</v>
      </c>
      <c r="Z269" s="229">
        <f t="shared" si="96"/>
        <v>-943015</v>
      </c>
      <c r="AA269" s="29" t="s">
        <v>10</v>
      </c>
      <c r="AB269" s="270">
        <f>SUMIF('Allocation Factors'!$B$3:$B$89,'Accumulated Deferred Income Tax'!AA269,'Allocation Factors'!$P$3:$P$89)</f>
        <v>6.7017620954721469E-2</v>
      </c>
      <c r="AC269" s="271">
        <f t="shared" si="97"/>
        <v>-63199</v>
      </c>
      <c r="AD269" s="271">
        <f t="shared" si="98"/>
        <v>0</v>
      </c>
      <c r="AE269" s="30">
        <f t="shared" si="99"/>
        <v>-63199</v>
      </c>
    </row>
    <row r="270" spans="1:31">
      <c r="A270" s="29">
        <v>287675</v>
      </c>
      <c r="B270" s="29">
        <v>283</v>
      </c>
      <c r="C270" s="28" t="s">
        <v>504</v>
      </c>
      <c r="D270" s="273">
        <v>740.1</v>
      </c>
      <c r="E270" s="29" t="s">
        <v>8</v>
      </c>
      <c r="F270" s="269" t="s">
        <v>9</v>
      </c>
      <c r="G270" s="229">
        <v>-1191794</v>
      </c>
      <c r="H270" s="229">
        <v>-1179810</v>
      </c>
      <c r="I270" s="229">
        <v>-1167826</v>
      </c>
      <c r="J270" s="229">
        <v>-1155841</v>
      </c>
      <c r="K270" s="229">
        <v>-1143857</v>
      </c>
      <c r="L270" s="229">
        <v>-1131872</v>
      </c>
      <c r="M270" s="229">
        <v>-1119888</v>
      </c>
      <c r="N270" s="229">
        <v>-1107904</v>
      </c>
      <c r="O270" s="229">
        <v>-1095919</v>
      </c>
      <c r="P270" s="229">
        <v>-1083935</v>
      </c>
      <c r="Q270" s="229">
        <v>-1071951</v>
      </c>
      <c r="R270" s="229">
        <v>-1059966</v>
      </c>
      <c r="S270" s="229">
        <v>-1047982</v>
      </c>
      <c r="T270" s="229">
        <f t="shared" si="94"/>
        <v>-1119888</v>
      </c>
      <c r="U270" s="229">
        <f t="shared" si="100"/>
        <v>-1119888</v>
      </c>
      <c r="V270" s="356">
        <f t="shared" si="92"/>
        <v>-1119888</v>
      </c>
      <c r="W270" s="356">
        <v>0</v>
      </c>
      <c r="X270" s="356">
        <f t="shared" si="95"/>
        <v>-1119888</v>
      </c>
      <c r="Y270" s="229">
        <v>0</v>
      </c>
      <c r="Z270" s="229">
        <f t="shared" si="96"/>
        <v>-1119888</v>
      </c>
      <c r="AA270" s="29" t="s">
        <v>16</v>
      </c>
      <c r="AB270" s="270">
        <f>SUMIF('Allocation Factors'!$B$3:$B$89,'Accumulated Deferred Income Tax'!AA270,'Allocation Factors'!$P$3:$P$89)</f>
        <v>6.0894111271351227E-2</v>
      </c>
      <c r="AC270" s="271">
        <f t="shared" si="97"/>
        <v>-68195</v>
      </c>
      <c r="AD270" s="271">
        <f t="shared" si="98"/>
        <v>0</v>
      </c>
      <c r="AE270" s="30">
        <f t="shared" si="99"/>
        <v>-68195</v>
      </c>
    </row>
    <row r="271" spans="1:31" s="187" customFormat="1">
      <c r="A271" s="29">
        <v>287708</v>
      </c>
      <c r="B271" s="29">
        <v>283</v>
      </c>
      <c r="C271" s="28" t="s">
        <v>447</v>
      </c>
      <c r="D271" s="273">
        <v>210.2</v>
      </c>
      <c r="E271" s="29" t="s">
        <v>8</v>
      </c>
      <c r="F271" s="29" t="s">
        <v>9</v>
      </c>
      <c r="G271" s="229">
        <v>-3489350</v>
      </c>
      <c r="H271" s="229">
        <v>-3503926</v>
      </c>
      <c r="I271" s="229">
        <v>-3518502</v>
      </c>
      <c r="J271" s="229">
        <v>-3415009</v>
      </c>
      <c r="K271" s="229">
        <v>-3416466</v>
      </c>
      <c r="L271" s="229">
        <v>-3417923</v>
      </c>
      <c r="M271" s="229">
        <v>-3450433</v>
      </c>
      <c r="N271" s="229">
        <v>-3450433</v>
      </c>
      <c r="O271" s="229">
        <v>-3450433</v>
      </c>
      <c r="P271" s="229">
        <v>-3442435</v>
      </c>
      <c r="Q271" s="229">
        <v>-3439769</v>
      </c>
      <c r="R271" s="229">
        <v>-3437104</v>
      </c>
      <c r="S271" s="229">
        <v>-3298151</v>
      </c>
      <c r="T271" s="229">
        <f t="shared" si="94"/>
        <v>-3444682</v>
      </c>
      <c r="U271" s="229">
        <f t="shared" si="100"/>
        <v>-3444682</v>
      </c>
      <c r="V271" s="356">
        <f t="shared" si="92"/>
        <v>-3444682</v>
      </c>
      <c r="W271" s="356">
        <v>0</v>
      </c>
      <c r="X271" s="356">
        <f t="shared" si="95"/>
        <v>-3444682</v>
      </c>
      <c r="Y271" s="229">
        <v>0</v>
      </c>
      <c r="Z271" s="229">
        <f t="shared" si="96"/>
        <v>-3444682</v>
      </c>
      <c r="AA271" s="29" t="s">
        <v>49</v>
      </c>
      <c r="AB271" s="270">
        <f>SUMIF('Allocation Factors'!$B$3:$B$89,'Accumulated Deferred Income Tax'!AA271,'Allocation Factors'!$P$3:$P$89)</f>
        <v>6.7017620954721469E-2</v>
      </c>
      <c r="AC271" s="271">
        <f t="shared" si="97"/>
        <v>-230854</v>
      </c>
      <c r="AD271" s="271">
        <f t="shared" si="98"/>
        <v>0</v>
      </c>
      <c r="AE271" s="30">
        <f t="shared" si="99"/>
        <v>-230854</v>
      </c>
    </row>
    <row r="272" spans="1:31">
      <c r="A272" s="29">
        <v>287738</v>
      </c>
      <c r="B272" s="29">
        <v>283</v>
      </c>
      <c r="C272" s="28" t="s">
        <v>449</v>
      </c>
      <c r="D272" s="273">
        <v>320.27</v>
      </c>
      <c r="E272" s="29" t="s">
        <v>8</v>
      </c>
      <c r="F272" s="276" t="s">
        <v>333</v>
      </c>
      <c r="G272" s="229">
        <v>-101885269</v>
      </c>
      <c r="H272" s="229">
        <v>-101568618</v>
      </c>
      <c r="I272" s="229">
        <v>-101251966</v>
      </c>
      <c r="J272" s="229">
        <v>-100935315</v>
      </c>
      <c r="K272" s="229">
        <v>-100618663</v>
      </c>
      <c r="L272" s="229">
        <v>-100302012</v>
      </c>
      <c r="M272" s="229">
        <v>-109192092</v>
      </c>
      <c r="N272" s="229">
        <v>-108955292</v>
      </c>
      <c r="O272" s="229">
        <v>-108685764</v>
      </c>
      <c r="P272" s="229">
        <v>-108416236</v>
      </c>
      <c r="Q272" s="229">
        <v>-108146707</v>
      </c>
      <c r="R272" s="229">
        <v>-107877179</v>
      </c>
      <c r="S272" s="229">
        <v>-107607650</v>
      </c>
      <c r="T272" s="229">
        <f t="shared" ref="T272:T303" si="101">ROUND(((G272*1)+(SUM(H272:R272)*2)+(S272*1))/24,0)</f>
        <v>-105058025</v>
      </c>
      <c r="U272" s="229">
        <f t="shared" si="100"/>
        <v>-105058025</v>
      </c>
      <c r="V272" s="356">
        <f t="shared" si="92"/>
        <v>-105058025</v>
      </c>
      <c r="W272" s="356">
        <v>0</v>
      </c>
      <c r="X272" s="356">
        <f t="shared" si="95"/>
        <v>0</v>
      </c>
      <c r="Y272" s="229">
        <v>0</v>
      </c>
      <c r="Z272" s="229">
        <f t="shared" si="96"/>
        <v>0</v>
      </c>
      <c r="AA272" s="276" t="s">
        <v>331</v>
      </c>
      <c r="AB272" s="270">
        <f>SUMIF('Allocation Factors'!$B$3:$B$89,'Accumulated Deferred Income Tax'!AA272,'Allocation Factors'!$P$3:$P$89)</f>
        <v>0</v>
      </c>
      <c r="AC272" s="271">
        <f t="shared" si="97"/>
        <v>0</v>
      </c>
      <c r="AD272" s="271">
        <f t="shared" si="98"/>
        <v>0</v>
      </c>
      <c r="AE272" s="30">
        <f t="shared" si="99"/>
        <v>0</v>
      </c>
    </row>
    <row r="273" spans="1:31">
      <c r="A273" s="29">
        <v>287739</v>
      </c>
      <c r="B273" s="29">
        <v>283</v>
      </c>
      <c r="C273" s="28" t="s">
        <v>450</v>
      </c>
      <c r="D273" s="273">
        <v>320.27999999999997</v>
      </c>
      <c r="E273" s="29" t="s">
        <v>8</v>
      </c>
      <c r="F273" s="276" t="s">
        <v>333</v>
      </c>
      <c r="G273" s="229">
        <v>1941968</v>
      </c>
      <c r="H273" s="229">
        <v>1935933</v>
      </c>
      <c r="I273" s="229">
        <v>1929898</v>
      </c>
      <c r="J273" s="229">
        <v>1923863</v>
      </c>
      <c r="K273" s="229">
        <v>1917828</v>
      </c>
      <c r="L273" s="229">
        <v>1911793</v>
      </c>
      <c r="M273" s="229">
        <v>501052</v>
      </c>
      <c r="N273" s="229">
        <v>501052</v>
      </c>
      <c r="O273" s="229">
        <v>501052</v>
      </c>
      <c r="P273" s="229">
        <v>501052</v>
      </c>
      <c r="Q273" s="229">
        <v>501052</v>
      </c>
      <c r="R273" s="229">
        <v>501052</v>
      </c>
      <c r="S273" s="229">
        <v>501052</v>
      </c>
      <c r="T273" s="229">
        <f t="shared" si="101"/>
        <v>1153928</v>
      </c>
      <c r="U273" s="229">
        <f t="shared" si="100"/>
        <v>1153928</v>
      </c>
      <c r="V273" s="356">
        <f t="shared" si="92"/>
        <v>1153928</v>
      </c>
      <c r="W273" s="356">
        <v>0</v>
      </c>
      <c r="X273" s="356">
        <f t="shared" si="95"/>
        <v>0</v>
      </c>
      <c r="Y273" s="229">
        <v>0</v>
      </c>
      <c r="Z273" s="229">
        <f t="shared" si="96"/>
        <v>0</v>
      </c>
      <c r="AA273" s="276" t="s">
        <v>331</v>
      </c>
      <c r="AB273" s="270">
        <f>SUMIF('Allocation Factors'!$B$3:$B$89,'Accumulated Deferred Income Tax'!AA273,'Allocation Factors'!$P$3:$P$89)</f>
        <v>0</v>
      </c>
      <c r="AC273" s="271">
        <f t="shared" si="97"/>
        <v>0</v>
      </c>
      <c r="AD273" s="271">
        <f t="shared" si="98"/>
        <v>0</v>
      </c>
      <c r="AE273" s="30">
        <f t="shared" si="99"/>
        <v>0</v>
      </c>
    </row>
    <row r="274" spans="1:31">
      <c r="A274" s="29">
        <v>287747</v>
      </c>
      <c r="B274" s="29">
        <v>283</v>
      </c>
      <c r="C274" s="28" t="s">
        <v>481</v>
      </c>
      <c r="D274" s="273">
        <v>705.24</v>
      </c>
      <c r="E274" s="29" t="s">
        <v>8</v>
      </c>
      <c r="F274" s="29" t="s">
        <v>9</v>
      </c>
      <c r="G274" s="229">
        <v>-159715</v>
      </c>
      <c r="H274" s="229">
        <v>-123924</v>
      </c>
      <c r="I274" s="229">
        <v>-85405</v>
      </c>
      <c r="J274" s="229">
        <v>-58127</v>
      </c>
      <c r="K274" s="229">
        <v>-53290</v>
      </c>
      <c r="L274" s="229">
        <v>-58229</v>
      </c>
      <c r="M274" s="229">
        <v>-69242</v>
      </c>
      <c r="N274" s="229">
        <v>-91915</v>
      </c>
      <c r="O274" s="229">
        <v>-105729</v>
      </c>
      <c r="P274" s="229">
        <v>-119581</v>
      </c>
      <c r="Q274" s="229">
        <v>-122529</v>
      </c>
      <c r="R274" s="229">
        <v>-118016</v>
      </c>
      <c r="S274" s="229">
        <v>-97338</v>
      </c>
      <c r="T274" s="229">
        <f t="shared" si="101"/>
        <v>-94543</v>
      </c>
      <c r="U274" s="229">
        <f t="shared" si="100"/>
        <v>-94543</v>
      </c>
      <c r="V274" s="356">
        <f t="shared" si="92"/>
        <v>-94543</v>
      </c>
      <c r="W274" s="356">
        <v>0</v>
      </c>
      <c r="X274" s="356">
        <f t="shared" si="95"/>
        <v>-94543</v>
      </c>
      <c r="Y274" s="229">
        <v>0</v>
      </c>
      <c r="Z274" s="229">
        <f t="shared" si="96"/>
        <v>-94543</v>
      </c>
      <c r="AA274" s="276" t="s">
        <v>15</v>
      </c>
      <c r="AB274" s="270">
        <f>SUMIF('Allocation Factors'!$B$3:$B$89,'Accumulated Deferred Income Tax'!AA274,'Allocation Factors'!$P$3:$P$89)</f>
        <v>0</v>
      </c>
      <c r="AC274" s="271">
        <f t="shared" si="97"/>
        <v>0</v>
      </c>
      <c r="AD274" s="271">
        <f t="shared" si="98"/>
        <v>0</v>
      </c>
      <c r="AE274" s="30">
        <f t="shared" si="99"/>
        <v>0</v>
      </c>
    </row>
    <row r="275" spans="1:31">
      <c r="A275" s="29">
        <v>287770</v>
      </c>
      <c r="B275" s="29">
        <v>283</v>
      </c>
      <c r="C275" s="28" t="s">
        <v>515</v>
      </c>
      <c r="D275" s="273">
        <v>120.205</v>
      </c>
      <c r="E275" s="29" t="s">
        <v>8</v>
      </c>
      <c r="F275" s="29" t="s">
        <v>9</v>
      </c>
      <c r="G275" s="229">
        <v>-1361680</v>
      </c>
      <c r="H275" s="229">
        <v>-1361680</v>
      </c>
      <c r="I275" s="229">
        <v>-1361680</v>
      </c>
      <c r="J275" s="229">
        <v>-1182449</v>
      </c>
      <c r="K275" s="229">
        <v>-1182449</v>
      </c>
      <c r="L275" s="229">
        <v>-1182449</v>
      </c>
      <c r="M275" s="229">
        <v>-1103468</v>
      </c>
      <c r="N275" s="229">
        <v>-1103468</v>
      </c>
      <c r="O275" s="229">
        <v>-1103468</v>
      </c>
      <c r="P275" s="229">
        <v>-1087908</v>
      </c>
      <c r="Q275" s="229">
        <v>-1087908</v>
      </c>
      <c r="R275" s="229">
        <v>-1087908</v>
      </c>
      <c r="S275" s="229">
        <v>-1142899</v>
      </c>
      <c r="T275" s="229">
        <f t="shared" si="101"/>
        <v>-1174760</v>
      </c>
      <c r="U275" s="229">
        <f t="shared" si="100"/>
        <v>-1174760</v>
      </c>
      <c r="V275" s="356">
        <f t="shared" si="92"/>
        <v>-1174760</v>
      </c>
      <c r="W275" s="356">
        <v>0</v>
      </c>
      <c r="X275" s="356">
        <f t="shared" si="95"/>
        <v>-1174760</v>
      </c>
      <c r="Y275" s="229">
        <v>0</v>
      </c>
      <c r="Z275" s="229">
        <f t="shared" si="96"/>
        <v>-1174760</v>
      </c>
      <c r="AA275" s="276" t="s">
        <v>15</v>
      </c>
      <c r="AB275" s="270">
        <f>SUMIF('Allocation Factors'!$B$3:$B$89,'Accumulated Deferred Income Tax'!AA275,'Allocation Factors'!$P$3:$P$89)</f>
        <v>0</v>
      </c>
      <c r="AC275" s="271">
        <f t="shared" si="97"/>
        <v>0</v>
      </c>
      <c r="AD275" s="271">
        <f t="shared" si="98"/>
        <v>0</v>
      </c>
      <c r="AE275" s="30">
        <f t="shared" si="99"/>
        <v>0</v>
      </c>
    </row>
    <row r="276" spans="1:31">
      <c r="A276" s="29">
        <v>287781</v>
      </c>
      <c r="B276" s="29">
        <v>283</v>
      </c>
      <c r="C276" s="90" t="s">
        <v>744</v>
      </c>
      <c r="D276" s="273">
        <v>415.87</v>
      </c>
      <c r="E276" s="29" t="s">
        <v>8</v>
      </c>
      <c r="F276" s="269" t="s">
        <v>9</v>
      </c>
      <c r="G276" s="229">
        <v>-870714</v>
      </c>
      <c r="H276" s="229">
        <v>-1145427</v>
      </c>
      <c r="I276" s="229">
        <v>-1348524</v>
      </c>
      <c r="J276" s="229">
        <v>-1305751</v>
      </c>
      <c r="K276" s="229">
        <v>-1358459</v>
      </c>
      <c r="L276" s="229">
        <v>-1399746</v>
      </c>
      <c r="M276" s="229">
        <v>-1477559</v>
      </c>
      <c r="N276" s="229">
        <v>-1558704</v>
      </c>
      <c r="O276" s="229">
        <v>-1432430</v>
      </c>
      <c r="P276" s="229">
        <v>-1410694</v>
      </c>
      <c r="Q276" s="229">
        <v>-1369210</v>
      </c>
      <c r="R276" s="229">
        <v>-1353965</v>
      </c>
      <c r="S276" s="229">
        <v>-1353827</v>
      </c>
      <c r="T276" s="229">
        <f t="shared" si="101"/>
        <v>-1356062</v>
      </c>
      <c r="U276" s="229">
        <f t="shared" si="100"/>
        <v>-1356062</v>
      </c>
      <c r="V276" s="356">
        <f t="shared" si="92"/>
        <v>-1356062</v>
      </c>
      <c r="W276" s="356">
        <v>0</v>
      </c>
      <c r="X276" s="356">
        <f t="shared" si="95"/>
        <v>-1356062</v>
      </c>
      <c r="Y276" s="229">
        <v>0</v>
      </c>
      <c r="Z276" s="229">
        <f t="shared" si="96"/>
        <v>-1356062</v>
      </c>
      <c r="AA276" s="29" t="s">
        <v>15</v>
      </c>
      <c r="AB276" s="270">
        <f>SUMIF('Allocation Factors'!$B$3:$B$89,'Accumulated Deferred Income Tax'!AA276,'Allocation Factors'!$P$3:$P$89)</f>
        <v>0</v>
      </c>
      <c r="AC276" s="271">
        <f t="shared" si="97"/>
        <v>0</v>
      </c>
      <c r="AD276" s="271">
        <f t="shared" si="98"/>
        <v>0</v>
      </c>
      <c r="AE276" s="30">
        <f t="shared" si="99"/>
        <v>0</v>
      </c>
    </row>
    <row r="277" spans="1:31">
      <c r="A277" s="29">
        <v>287783</v>
      </c>
      <c r="B277" s="29">
        <v>283</v>
      </c>
      <c r="C277" s="28" t="s">
        <v>543</v>
      </c>
      <c r="D277" s="273">
        <v>415.88</v>
      </c>
      <c r="E277" s="29" t="s">
        <v>8</v>
      </c>
      <c r="F277" s="276" t="s">
        <v>333</v>
      </c>
      <c r="G277" s="229">
        <v>30206</v>
      </c>
      <c r="H277" s="229">
        <v>26525</v>
      </c>
      <c r="I277" s="229">
        <v>26525</v>
      </c>
      <c r="J277" s="229">
        <v>26525</v>
      </c>
      <c r="K277" s="229">
        <v>26525</v>
      </c>
      <c r="L277" s="229">
        <v>26525</v>
      </c>
      <c r="M277" s="229">
        <v>26525</v>
      </c>
      <c r="N277" s="229">
        <v>26525</v>
      </c>
      <c r="O277" s="229">
        <v>26525</v>
      </c>
      <c r="P277" s="229">
        <v>26525</v>
      </c>
      <c r="Q277" s="229">
        <v>26525</v>
      </c>
      <c r="R277" s="229">
        <v>26525</v>
      </c>
      <c r="S277" s="229">
        <v>26525</v>
      </c>
      <c r="T277" s="229">
        <f t="shared" si="101"/>
        <v>26678</v>
      </c>
      <c r="U277" s="229">
        <f t="shared" si="100"/>
        <v>26678</v>
      </c>
      <c r="V277" s="356">
        <f t="shared" si="92"/>
        <v>26678</v>
      </c>
      <c r="W277" s="356">
        <v>0</v>
      </c>
      <c r="X277" s="356">
        <f t="shared" si="95"/>
        <v>0</v>
      </c>
      <c r="Y277" s="229">
        <v>0</v>
      </c>
      <c r="Z277" s="229">
        <f t="shared" si="96"/>
        <v>0</v>
      </c>
      <c r="AA277" s="269" t="s">
        <v>331</v>
      </c>
      <c r="AB277" s="270">
        <f>SUMIF('Allocation Factors'!$B$3:$B$89,'Accumulated Deferred Income Tax'!AA277,'Allocation Factors'!$P$3:$P$89)</f>
        <v>0</v>
      </c>
      <c r="AC277" s="271">
        <f t="shared" si="97"/>
        <v>0</v>
      </c>
      <c r="AD277" s="271">
        <f t="shared" si="98"/>
        <v>0</v>
      </c>
      <c r="AE277" s="30">
        <f t="shared" si="99"/>
        <v>0</v>
      </c>
    </row>
    <row r="278" spans="1:31">
      <c r="A278" s="29">
        <v>287840</v>
      </c>
      <c r="B278" s="29">
        <v>283</v>
      </c>
      <c r="C278" s="90" t="s">
        <v>364</v>
      </c>
      <c r="D278" s="273">
        <v>415.41</v>
      </c>
      <c r="E278" s="29" t="s">
        <v>8</v>
      </c>
      <c r="F278" s="29" t="s">
        <v>9</v>
      </c>
      <c r="G278" s="229">
        <v>-67158296</v>
      </c>
      <c r="H278" s="229">
        <v>-67169679</v>
      </c>
      <c r="I278" s="229">
        <v>-67233937</v>
      </c>
      <c r="J278" s="229">
        <v>-67289893</v>
      </c>
      <c r="K278" s="229">
        <v>-67350442</v>
      </c>
      <c r="L278" s="229">
        <v>-67421817</v>
      </c>
      <c r="M278" s="229">
        <v>-67294167</v>
      </c>
      <c r="N278" s="229">
        <v>-67325707</v>
      </c>
      <c r="O278" s="229">
        <v>-67352462</v>
      </c>
      <c r="P278" s="229">
        <v>-66859272</v>
      </c>
      <c r="Q278" s="229">
        <v>-66880742</v>
      </c>
      <c r="R278" s="229">
        <v>-66850103</v>
      </c>
      <c r="S278" s="229">
        <v>-66911453</v>
      </c>
      <c r="T278" s="229">
        <f t="shared" si="101"/>
        <v>-67171925</v>
      </c>
      <c r="U278" s="229">
        <f t="shared" si="100"/>
        <v>-67171925</v>
      </c>
      <c r="V278" s="356">
        <f t="shared" si="92"/>
        <v>-67171925</v>
      </c>
      <c r="W278" s="356">
        <v>0</v>
      </c>
      <c r="X278" s="356">
        <f t="shared" si="95"/>
        <v>-67171925</v>
      </c>
      <c r="Y278" s="229">
        <v>0</v>
      </c>
      <c r="Z278" s="229">
        <f t="shared" si="96"/>
        <v>-67171925</v>
      </c>
      <c r="AA278" s="276" t="s">
        <v>119</v>
      </c>
      <c r="AB278" s="270">
        <f>SUMIF('Allocation Factors'!$B$3:$B$89,'Accumulated Deferred Income Tax'!AA278,'Allocation Factors'!$P$3:$P$89)</f>
        <v>0</v>
      </c>
      <c r="AC278" s="271">
        <f t="shared" si="97"/>
        <v>0</v>
      </c>
      <c r="AD278" s="271">
        <f t="shared" si="98"/>
        <v>0</v>
      </c>
      <c r="AE278" s="30">
        <f t="shared" si="99"/>
        <v>0</v>
      </c>
    </row>
    <row r="279" spans="1:31">
      <c r="A279" s="29">
        <v>287841</v>
      </c>
      <c r="B279" s="29">
        <v>283</v>
      </c>
      <c r="C279" s="90" t="s">
        <v>525</v>
      </c>
      <c r="D279" s="273">
        <v>415.411</v>
      </c>
      <c r="E279" s="29" t="s">
        <v>8</v>
      </c>
      <c r="F279" s="276" t="s">
        <v>9</v>
      </c>
      <c r="G279" s="229">
        <v>605541</v>
      </c>
      <c r="H279" s="229">
        <v>605720</v>
      </c>
      <c r="I279" s="229">
        <v>606732</v>
      </c>
      <c r="J279" s="229">
        <v>605351</v>
      </c>
      <c r="K279" s="229">
        <v>607685</v>
      </c>
      <c r="L279" s="229">
        <v>609298</v>
      </c>
      <c r="M279" s="229">
        <v>607297</v>
      </c>
      <c r="N279" s="229">
        <v>607791</v>
      </c>
      <c r="O279" s="229">
        <v>608211</v>
      </c>
      <c r="P279" s="229">
        <v>600477</v>
      </c>
      <c r="Q279" s="229">
        <v>600814</v>
      </c>
      <c r="R279" s="229">
        <v>601173</v>
      </c>
      <c r="S279" s="229">
        <v>601296</v>
      </c>
      <c r="T279" s="229">
        <f t="shared" si="101"/>
        <v>605331</v>
      </c>
      <c r="U279" s="229">
        <f t="shared" si="100"/>
        <v>605331</v>
      </c>
      <c r="V279" s="356">
        <f t="shared" si="92"/>
        <v>605331</v>
      </c>
      <c r="W279" s="356">
        <v>0</v>
      </c>
      <c r="X279" s="356">
        <f t="shared" si="95"/>
        <v>605331</v>
      </c>
      <c r="Y279" s="229">
        <v>0</v>
      </c>
      <c r="Z279" s="229">
        <f t="shared" si="96"/>
        <v>605331</v>
      </c>
      <c r="AA279" s="276" t="s">
        <v>17</v>
      </c>
      <c r="AB279" s="270">
        <f>SUMIF('Allocation Factors'!$B$3:$B$89,'Accumulated Deferred Income Tax'!AA279,'Allocation Factors'!$P$3:$P$89)</f>
        <v>0</v>
      </c>
      <c r="AC279" s="271">
        <f t="shared" si="97"/>
        <v>0</v>
      </c>
      <c r="AD279" s="271">
        <f t="shared" si="98"/>
        <v>0</v>
      </c>
      <c r="AE279" s="30">
        <f t="shared" si="99"/>
        <v>0</v>
      </c>
    </row>
    <row r="280" spans="1:31">
      <c r="A280" s="29">
        <v>287842</v>
      </c>
      <c r="B280" s="29">
        <v>283</v>
      </c>
      <c r="C280" s="90" t="s">
        <v>526</v>
      </c>
      <c r="D280" s="273">
        <v>415.41199999999998</v>
      </c>
      <c r="E280" s="29" t="s">
        <v>8</v>
      </c>
      <c r="F280" s="276" t="s">
        <v>9</v>
      </c>
      <c r="G280" s="229">
        <v>364582</v>
      </c>
      <c r="H280" s="229">
        <v>373218</v>
      </c>
      <c r="I280" s="229">
        <v>381854</v>
      </c>
      <c r="J280" s="229">
        <v>390489</v>
      </c>
      <c r="K280" s="229">
        <v>399039</v>
      </c>
      <c r="L280" s="229">
        <v>407589</v>
      </c>
      <c r="M280" s="229">
        <v>416140</v>
      </c>
      <c r="N280" s="229">
        <v>424604</v>
      </c>
      <c r="O280" s="229">
        <v>433069</v>
      </c>
      <c r="P280" s="229">
        <v>441534</v>
      </c>
      <c r="Q280" s="229">
        <v>449913</v>
      </c>
      <c r="R280" s="229">
        <v>458292</v>
      </c>
      <c r="S280" s="229">
        <v>466671</v>
      </c>
      <c r="T280" s="229">
        <f t="shared" si="101"/>
        <v>415947</v>
      </c>
      <c r="U280" s="229">
        <f t="shared" si="100"/>
        <v>415947</v>
      </c>
      <c r="V280" s="356">
        <f t="shared" si="92"/>
        <v>415947</v>
      </c>
      <c r="W280" s="356">
        <v>0</v>
      </c>
      <c r="X280" s="356">
        <f t="shared" si="95"/>
        <v>415947</v>
      </c>
      <c r="Y280" s="229">
        <v>0</v>
      </c>
      <c r="Z280" s="229">
        <f t="shared" si="96"/>
        <v>415947</v>
      </c>
      <c r="AA280" s="276" t="s">
        <v>29</v>
      </c>
      <c r="AB280" s="270">
        <f>SUMIF('Allocation Factors'!$B$3:$B$89,'Accumulated Deferred Income Tax'!AA280,'Allocation Factors'!$P$3:$P$89)</f>
        <v>0</v>
      </c>
      <c r="AC280" s="271">
        <f t="shared" si="97"/>
        <v>0</v>
      </c>
      <c r="AD280" s="271">
        <f t="shared" si="98"/>
        <v>0</v>
      </c>
      <c r="AE280" s="30">
        <f t="shared" si="99"/>
        <v>0</v>
      </c>
    </row>
    <row r="281" spans="1:31">
      <c r="A281" s="29">
        <v>287843</v>
      </c>
      <c r="B281" s="29">
        <v>283</v>
      </c>
      <c r="C281" s="90" t="s">
        <v>527</v>
      </c>
      <c r="D281" s="273">
        <v>415.41300000000001</v>
      </c>
      <c r="E281" s="29" t="s">
        <v>8</v>
      </c>
      <c r="F281" s="276" t="s">
        <v>9</v>
      </c>
      <c r="G281" s="229">
        <v>1540501</v>
      </c>
      <c r="H281" s="229">
        <v>1577646</v>
      </c>
      <c r="I281" s="229">
        <v>1615362</v>
      </c>
      <c r="J281" s="229">
        <v>1635015</v>
      </c>
      <c r="K281" s="229">
        <v>1672732</v>
      </c>
      <c r="L281" s="229">
        <v>1710448</v>
      </c>
      <c r="M281" s="229">
        <v>1748164</v>
      </c>
      <c r="N281" s="229">
        <v>1785881</v>
      </c>
      <c r="O281" s="229">
        <v>1823597</v>
      </c>
      <c r="P281" s="229">
        <v>1861313</v>
      </c>
      <c r="Q281" s="229">
        <v>1876028</v>
      </c>
      <c r="R281" s="229">
        <v>1900969</v>
      </c>
      <c r="S281" s="229">
        <v>1938680</v>
      </c>
      <c r="T281" s="229">
        <f t="shared" si="101"/>
        <v>1745562</v>
      </c>
      <c r="U281" s="229">
        <f t="shared" si="100"/>
        <v>1745562</v>
      </c>
      <c r="V281" s="356">
        <f t="shared" si="92"/>
        <v>1745562</v>
      </c>
      <c r="W281" s="356">
        <v>0</v>
      </c>
      <c r="X281" s="356">
        <f t="shared" si="95"/>
        <v>1745562</v>
      </c>
      <c r="Y281" s="229">
        <v>0</v>
      </c>
      <c r="Z281" s="229">
        <f t="shared" si="96"/>
        <v>1745562</v>
      </c>
      <c r="AA281" s="276" t="s">
        <v>30</v>
      </c>
      <c r="AB281" s="270">
        <f>SUMIF('Allocation Factors'!$B$3:$B$89,'Accumulated Deferred Income Tax'!AA281,'Allocation Factors'!$P$3:$P$89)</f>
        <v>0</v>
      </c>
      <c r="AC281" s="271">
        <f t="shared" si="97"/>
        <v>0</v>
      </c>
      <c r="AD281" s="271">
        <f t="shared" si="98"/>
        <v>0</v>
      </c>
      <c r="AE281" s="30">
        <f t="shared" si="99"/>
        <v>0</v>
      </c>
    </row>
    <row r="282" spans="1:31">
      <c r="A282" s="29">
        <v>287844</v>
      </c>
      <c r="B282" s="29">
        <v>283</v>
      </c>
      <c r="C282" s="90" t="s">
        <v>528</v>
      </c>
      <c r="D282" s="273">
        <v>415.41399999999999</v>
      </c>
      <c r="E282" s="29" t="s">
        <v>8</v>
      </c>
      <c r="F282" s="276" t="s">
        <v>9</v>
      </c>
      <c r="G282" s="229">
        <v>589801</v>
      </c>
      <c r="H282" s="229">
        <v>651315</v>
      </c>
      <c r="I282" s="229">
        <v>713138</v>
      </c>
      <c r="J282" s="229">
        <v>775269</v>
      </c>
      <c r="K282" s="229">
        <v>837711</v>
      </c>
      <c r="L282" s="229">
        <v>900465</v>
      </c>
      <c r="M282" s="229">
        <v>963534</v>
      </c>
      <c r="N282" s="229">
        <v>1026917</v>
      </c>
      <c r="O282" s="229">
        <v>1090617</v>
      </c>
      <c r="P282" s="229">
        <v>1154636</v>
      </c>
      <c r="Q282" s="229">
        <v>1224102</v>
      </c>
      <c r="R282" s="229">
        <v>530150</v>
      </c>
      <c r="S282" s="229">
        <v>591675</v>
      </c>
      <c r="T282" s="229">
        <f t="shared" si="101"/>
        <v>871549</v>
      </c>
      <c r="U282" s="229">
        <f t="shared" si="100"/>
        <v>871549</v>
      </c>
      <c r="V282" s="356">
        <f t="shared" si="92"/>
        <v>871549</v>
      </c>
      <c r="W282" s="356">
        <v>0</v>
      </c>
      <c r="X282" s="356">
        <f t="shared" si="95"/>
        <v>871549</v>
      </c>
      <c r="Y282" s="229">
        <v>0</v>
      </c>
      <c r="Z282" s="229">
        <f t="shared" si="96"/>
        <v>871549</v>
      </c>
      <c r="AA282" s="276" t="s">
        <v>28</v>
      </c>
      <c r="AB282" s="270">
        <f>SUMIF('Allocation Factors'!$B$3:$B$89,'Accumulated Deferred Income Tax'!AA282,'Allocation Factors'!$P$3:$P$89)</f>
        <v>0</v>
      </c>
      <c r="AC282" s="271">
        <f t="shared" si="97"/>
        <v>0</v>
      </c>
      <c r="AD282" s="271">
        <f t="shared" si="98"/>
        <v>0</v>
      </c>
      <c r="AE282" s="30">
        <f t="shared" si="99"/>
        <v>0</v>
      </c>
    </row>
    <row r="283" spans="1:31">
      <c r="A283" s="29">
        <v>287845</v>
      </c>
      <c r="B283" s="29">
        <v>283</v>
      </c>
      <c r="C283" s="90" t="s">
        <v>529</v>
      </c>
      <c r="D283" s="273">
        <v>415.41500000000002</v>
      </c>
      <c r="E283" s="29" t="s">
        <v>8</v>
      </c>
      <c r="F283" s="276" t="s">
        <v>333</v>
      </c>
      <c r="G283" s="229">
        <v>2716048</v>
      </c>
      <c r="H283" s="229">
        <v>2716852</v>
      </c>
      <c r="I283" s="229">
        <v>2721390</v>
      </c>
      <c r="J283" s="229">
        <v>2715196</v>
      </c>
      <c r="K283" s="229">
        <v>2725665</v>
      </c>
      <c r="L283" s="229">
        <v>2732903</v>
      </c>
      <c r="M283" s="229">
        <v>2723925</v>
      </c>
      <c r="N283" s="229">
        <v>2726143</v>
      </c>
      <c r="O283" s="229">
        <v>2728025</v>
      </c>
      <c r="P283" s="229">
        <v>2693337</v>
      </c>
      <c r="Q283" s="229">
        <v>2694847</v>
      </c>
      <c r="R283" s="229">
        <v>2696458</v>
      </c>
      <c r="S283" s="229">
        <v>2697007</v>
      </c>
      <c r="T283" s="229">
        <f t="shared" si="101"/>
        <v>2715106</v>
      </c>
      <c r="U283" s="229">
        <f t="shared" si="100"/>
        <v>2715106</v>
      </c>
      <c r="V283" s="356">
        <f t="shared" si="92"/>
        <v>2715106</v>
      </c>
      <c r="W283" s="356">
        <v>0</v>
      </c>
      <c r="X283" s="356">
        <f t="shared" si="95"/>
        <v>0</v>
      </c>
      <c r="Y283" s="229">
        <v>0</v>
      </c>
      <c r="Z283" s="229">
        <f t="shared" si="96"/>
        <v>0</v>
      </c>
      <c r="AA283" s="276" t="s">
        <v>331</v>
      </c>
      <c r="AB283" s="270">
        <f>SUMIF('Allocation Factors'!$B$3:$B$89,'Accumulated Deferred Income Tax'!AA283,'Allocation Factors'!$P$3:$P$89)</f>
        <v>0</v>
      </c>
      <c r="AC283" s="271">
        <f t="shared" si="97"/>
        <v>0</v>
      </c>
      <c r="AD283" s="271">
        <f t="shared" si="98"/>
        <v>0</v>
      </c>
      <c r="AE283" s="30">
        <f t="shared" si="99"/>
        <v>0</v>
      </c>
    </row>
    <row r="284" spans="1:31">
      <c r="A284" s="29">
        <v>287846</v>
      </c>
      <c r="B284" s="29">
        <v>283</v>
      </c>
      <c r="C284" s="90" t="s">
        <v>622</v>
      </c>
      <c r="D284" s="273">
        <v>415.416</v>
      </c>
      <c r="E284" s="29" t="s">
        <v>8</v>
      </c>
      <c r="F284" s="276" t="s">
        <v>9</v>
      </c>
      <c r="G284" s="229">
        <v>92367</v>
      </c>
      <c r="H284" s="229">
        <v>92367</v>
      </c>
      <c r="I284" s="229">
        <v>92367</v>
      </c>
      <c r="J284" s="229">
        <v>92367</v>
      </c>
      <c r="K284" s="229">
        <v>92367</v>
      </c>
      <c r="L284" s="229">
        <v>92367</v>
      </c>
      <c r="M284" s="229">
        <v>92367</v>
      </c>
      <c r="N284" s="229">
        <v>92367</v>
      </c>
      <c r="O284" s="229">
        <v>92367</v>
      </c>
      <c r="P284" s="229">
        <v>92367</v>
      </c>
      <c r="Q284" s="229">
        <v>92367</v>
      </c>
      <c r="R284" s="229">
        <v>92367</v>
      </c>
      <c r="S284" s="229">
        <v>92367</v>
      </c>
      <c r="T284" s="229">
        <f t="shared" si="101"/>
        <v>92367</v>
      </c>
      <c r="U284" s="229">
        <f t="shared" si="100"/>
        <v>92367</v>
      </c>
      <c r="V284" s="356">
        <f t="shared" si="92"/>
        <v>92367</v>
      </c>
      <c r="W284" s="356">
        <v>0</v>
      </c>
      <c r="X284" s="356">
        <f t="shared" si="95"/>
        <v>92367</v>
      </c>
      <c r="Y284" s="229">
        <v>0</v>
      </c>
      <c r="Z284" s="229">
        <f t="shared" si="96"/>
        <v>92367</v>
      </c>
      <c r="AA284" s="276" t="s">
        <v>80</v>
      </c>
      <c r="AB284" s="270">
        <f>SUMIF('Allocation Factors'!$B$3:$B$89,'Accumulated Deferred Income Tax'!AA284,'Allocation Factors'!$P$3:$P$89)</f>
        <v>0</v>
      </c>
      <c r="AC284" s="271">
        <f t="shared" si="97"/>
        <v>0</v>
      </c>
      <c r="AD284" s="271">
        <f t="shared" si="98"/>
        <v>0</v>
      </c>
      <c r="AE284" s="30">
        <f t="shared" si="99"/>
        <v>0</v>
      </c>
    </row>
    <row r="285" spans="1:31">
      <c r="A285" s="29">
        <v>287848</v>
      </c>
      <c r="B285" s="29">
        <v>283</v>
      </c>
      <c r="C285" s="90" t="s">
        <v>451</v>
      </c>
      <c r="D285" s="273">
        <v>320.28100000000001</v>
      </c>
      <c r="E285" s="29" t="s">
        <v>8</v>
      </c>
      <c r="F285" s="276" t="s">
        <v>333</v>
      </c>
      <c r="G285" s="229">
        <v>-1635789</v>
      </c>
      <c r="H285" s="229">
        <v>-1628554</v>
      </c>
      <c r="I285" s="229">
        <v>-1621320</v>
      </c>
      <c r="J285" s="229">
        <v>-1614086</v>
      </c>
      <c r="K285" s="229">
        <v>-1606852</v>
      </c>
      <c r="L285" s="229">
        <v>-1599618</v>
      </c>
      <c r="M285" s="229">
        <v>-1592384</v>
      </c>
      <c r="N285" s="229">
        <v>-1585150</v>
      </c>
      <c r="O285" s="229">
        <v>-1577916</v>
      </c>
      <c r="P285" s="229">
        <v>-1570681</v>
      </c>
      <c r="Q285" s="229">
        <v>-1563447</v>
      </c>
      <c r="R285" s="229">
        <v>-1556213</v>
      </c>
      <c r="S285" s="229">
        <v>-1548979</v>
      </c>
      <c r="T285" s="229">
        <f t="shared" si="101"/>
        <v>-1592384</v>
      </c>
      <c r="U285" s="229">
        <f t="shared" si="100"/>
        <v>-1592384</v>
      </c>
      <c r="V285" s="356">
        <f t="shared" si="92"/>
        <v>-1592384</v>
      </c>
      <c r="W285" s="356">
        <v>0</v>
      </c>
      <c r="X285" s="356">
        <f t="shared" si="95"/>
        <v>0</v>
      </c>
      <c r="Y285" s="229">
        <v>0</v>
      </c>
      <c r="Z285" s="229">
        <f t="shared" si="96"/>
        <v>0</v>
      </c>
      <c r="AA285" s="276" t="s">
        <v>331</v>
      </c>
      <c r="AB285" s="270">
        <f>SUMIF('Allocation Factors'!$B$3:$B$89,'Accumulated Deferred Income Tax'!AA285,'Allocation Factors'!$P$3:$P$89)</f>
        <v>0</v>
      </c>
      <c r="AC285" s="271">
        <f t="shared" si="97"/>
        <v>0</v>
      </c>
      <c r="AD285" s="271">
        <f t="shared" si="98"/>
        <v>0</v>
      </c>
      <c r="AE285" s="30">
        <f t="shared" si="99"/>
        <v>0</v>
      </c>
    </row>
    <row r="286" spans="1:31">
      <c r="A286" s="29">
        <v>287849</v>
      </c>
      <c r="B286" s="29">
        <v>283</v>
      </c>
      <c r="C286" s="90" t="s">
        <v>363</v>
      </c>
      <c r="D286" s="273">
        <v>415.42399999999998</v>
      </c>
      <c r="E286" s="29" t="s">
        <v>8</v>
      </c>
      <c r="F286" s="29" t="s">
        <v>9</v>
      </c>
      <c r="G286" s="229">
        <v>20762152</v>
      </c>
      <c r="H286" s="229">
        <v>21232436</v>
      </c>
      <c r="I286" s="229">
        <v>21713799</v>
      </c>
      <c r="J286" s="229">
        <v>22284387</v>
      </c>
      <c r="K286" s="229">
        <v>22729786</v>
      </c>
      <c r="L286" s="229">
        <v>22973768</v>
      </c>
      <c r="M286" s="229">
        <v>23241132</v>
      </c>
      <c r="N286" s="229">
        <v>23545999</v>
      </c>
      <c r="O286" s="229">
        <v>23844398</v>
      </c>
      <c r="P286" s="229">
        <v>24096083</v>
      </c>
      <c r="Q286" s="229">
        <v>24290023</v>
      </c>
      <c r="R286" s="229">
        <v>24418796</v>
      </c>
      <c r="S286" s="229">
        <v>24640362</v>
      </c>
      <c r="T286" s="229">
        <f t="shared" si="101"/>
        <v>23089322</v>
      </c>
      <c r="U286" s="229">
        <f t="shared" si="100"/>
        <v>23089322</v>
      </c>
      <c r="V286" s="356">
        <f t="shared" si="92"/>
        <v>23089322</v>
      </c>
      <c r="W286" s="356">
        <v>0</v>
      </c>
      <c r="X286" s="356">
        <f t="shared" si="95"/>
        <v>23089322</v>
      </c>
      <c r="Y286" s="229">
        <v>0</v>
      </c>
      <c r="Z286" s="229">
        <f t="shared" si="96"/>
        <v>23089322</v>
      </c>
      <c r="AA286" s="276" t="s">
        <v>119</v>
      </c>
      <c r="AB286" s="270">
        <f>SUMIF('Allocation Factors'!$B$3:$B$89,'Accumulated Deferred Income Tax'!AA286,'Allocation Factors'!$P$3:$P$89)</f>
        <v>0</v>
      </c>
      <c r="AC286" s="271">
        <f t="shared" si="97"/>
        <v>0</v>
      </c>
      <c r="AD286" s="271">
        <f t="shared" si="98"/>
        <v>0</v>
      </c>
      <c r="AE286" s="30">
        <f t="shared" si="99"/>
        <v>0</v>
      </c>
    </row>
    <row r="287" spans="1:31">
      <c r="A287" s="29">
        <v>287850</v>
      </c>
      <c r="B287" s="29">
        <v>283</v>
      </c>
      <c r="C287" s="90" t="s">
        <v>406</v>
      </c>
      <c r="D287" s="273">
        <v>415.42500000000001</v>
      </c>
      <c r="E287" s="29" t="s">
        <v>8</v>
      </c>
      <c r="F287" s="29" t="s">
        <v>9</v>
      </c>
      <c r="G287" s="229">
        <v>1056972</v>
      </c>
      <c r="H287" s="229">
        <v>1056972</v>
      </c>
      <c r="I287" s="229">
        <v>1056972</v>
      </c>
      <c r="J287" s="229">
        <v>1168493</v>
      </c>
      <c r="K287" s="229">
        <v>1168493</v>
      </c>
      <c r="L287" s="229">
        <v>1168493</v>
      </c>
      <c r="M287" s="229">
        <v>1168493</v>
      </c>
      <c r="N287" s="229">
        <v>1168493</v>
      </c>
      <c r="O287" s="229">
        <v>1168493</v>
      </c>
      <c r="P287" s="229">
        <v>1168493</v>
      </c>
      <c r="Q287" s="229">
        <v>1168493</v>
      </c>
      <c r="R287" s="229">
        <v>1168493</v>
      </c>
      <c r="S287" s="229">
        <v>1168493</v>
      </c>
      <c r="T287" s="229">
        <f t="shared" si="101"/>
        <v>1145259</v>
      </c>
      <c r="U287" s="229">
        <f t="shared" si="100"/>
        <v>1145259</v>
      </c>
      <c r="V287" s="356">
        <f t="shared" si="92"/>
        <v>1145259</v>
      </c>
      <c r="W287" s="356">
        <v>0</v>
      </c>
      <c r="X287" s="356">
        <f t="shared" si="95"/>
        <v>1145259</v>
      </c>
      <c r="Y287" s="229">
        <v>0</v>
      </c>
      <c r="Z287" s="229">
        <f t="shared" si="96"/>
        <v>1145259</v>
      </c>
      <c r="AA287" s="276" t="s">
        <v>15</v>
      </c>
      <c r="AB287" s="270">
        <f>SUMIF('Allocation Factors'!$B$3:$B$89,'Accumulated Deferred Income Tax'!AA287,'Allocation Factors'!$P$3:$P$89)</f>
        <v>0</v>
      </c>
      <c r="AC287" s="271">
        <f t="shared" si="97"/>
        <v>0</v>
      </c>
      <c r="AD287" s="271">
        <f t="shared" si="98"/>
        <v>0</v>
      </c>
      <c r="AE287" s="30">
        <f t="shared" si="99"/>
        <v>0</v>
      </c>
    </row>
    <row r="288" spans="1:31">
      <c r="A288" s="29">
        <v>287851</v>
      </c>
      <c r="B288" s="29">
        <v>283</v>
      </c>
      <c r="C288" s="90" t="s">
        <v>530</v>
      </c>
      <c r="D288" s="273">
        <v>415.41699999999997</v>
      </c>
      <c r="E288" s="29" t="s">
        <v>8</v>
      </c>
      <c r="F288" s="29" t="s">
        <v>9</v>
      </c>
      <c r="G288" s="229">
        <v>445650</v>
      </c>
      <c r="H288" s="229">
        <v>445650</v>
      </c>
      <c r="I288" s="229">
        <v>445650</v>
      </c>
      <c r="J288" s="229">
        <v>443826</v>
      </c>
      <c r="K288" s="229">
        <v>443826</v>
      </c>
      <c r="L288" s="229">
        <v>443826</v>
      </c>
      <c r="M288" s="229">
        <v>443826</v>
      </c>
      <c r="N288" s="229">
        <v>443826</v>
      </c>
      <c r="O288" s="229">
        <v>443826</v>
      </c>
      <c r="P288" s="229">
        <v>443826</v>
      </c>
      <c r="Q288" s="229">
        <v>443826</v>
      </c>
      <c r="R288" s="229">
        <v>443826</v>
      </c>
      <c r="S288" s="229">
        <v>443826</v>
      </c>
      <c r="T288" s="229">
        <f t="shared" si="101"/>
        <v>444206</v>
      </c>
      <c r="U288" s="229">
        <f t="shared" si="100"/>
        <v>444206</v>
      </c>
      <c r="V288" s="356">
        <f t="shared" si="92"/>
        <v>444206</v>
      </c>
      <c r="W288" s="356">
        <v>0</v>
      </c>
      <c r="X288" s="356">
        <f t="shared" si="95"/>
        <v>444206</v>
      </c>
      <c r="Y288" s="229">
        <v>0</v>
      </c>
      <c r="Z288" s="229">
        <f t="shared" si="96"/>
        <v>444206</v>
      </c>
      <c r="AA288" s="276" t="s">
        <v>15</v>
      </c>
      <c r="AB288" s="270">
        <f>SUMIF('Allocation Factors'!$B$3:$B$89,'Accumulated Deferred Income Tax'!AA288,'Allocation Factors'!$P$3:$P$89)</f>
        <v>0</v>
      </c>
      <c r="AC288" s="271">
        <f t="shared" si="97"/>
        <v>0</v>
      </c>
      <c r="AD288" s="271">
        <f t="shared" si="98"/>
        <v>0</v>
      </c>
      <c r="AE288" s="30">
        <f t="shared" si="99"/>
        <v>0</v>
      </c>
    </row>
    <row r="289" spans="1:31">
      <c r="A289" s="29">
        <v>287855</v>
      </c>
      <c r="B289" s="29">
        <v>283</v>
      </c>
      <c r="C289" s="90" t="s">
        <v>531</v>
      </c>
      <c r="D289" s="273">
        <v>415.42099999999999</v>
      </c>
      <c r="E289" s="29" t="s">
        <v>8</v>
      </c>
      <c r="F289" s="276" t="s">
        <v>9</v>
      </c>
      <c r="G289" s="229">
        <v>1998887</v>
      </c>
      <c r="H289" s="229">
        <v>1998887</v>
      </c>
      <c r="I289" s="229">
        <v>1998887</v>
      </c>
      <c r="J289" s="229">
        <v>1990706</v>
      </c>
      <c r="K289" s="229">
        <v>1990706</v>
      </c>
      <c r="L289" s="229">
        <v>1990706</v>
      </c>
      <c r="M289" s="229">
        <v>1990706</v>
      </c>
      <c r="N289" s="229">
        <v>1990706</v>
      </c>
      <c r="O289" s="229">
        <v>1990706</v>
      </c>
      <c r="P289" s="229">
        <v>1990706</v>
      </c>
      <c r="Q289" s="229">
        <v>1990706</v>
      </c>
      <c r="R289" s="229">
        <v>1990706</v>
      </c>
      <c r="S289" s="229">
        <v>1990706</v>
      </c>
      <c r="T289" s="229">
        <f t="shared" si="101"/>
        <v>1992410</v>
      </c>
      <c r="U289" s="229">
        <f t="shared" si="100"/>
        <v>1992410</v>
      </c>
      <c r="V289" s="356">
        <f t="shared" si="92"/>
        <v>1992410</v>
      </c>
      <c r="W289" s="356">
        <v>0</v>
      </c>
      <c r="X289" s="356">
        <f t="shared" si="95"/>
        <v>1992410</v>
      </c>
      <c r="Y289" s="229">
        <v>0</v>
      </c>
      <c r="Z289" s="229">
        <f t="shared" si="96"/>
        <v>1992410</v>
      </c>
      <c r="AA289" s="276" t="s">
        <v>15</v>
      </c>
      <c r="AB289" s="270">
        <f>SUMIF('Allocation Factors'!$B$3:$B$89,'Accumulated Deferred Income Tax'!AA289,'Allocation Factors'!$P$3:$P$89)</f>
        <v>0</v>
      </c>
      <c r="AC289" s="271">
        <f t="shared" si="97"/>
        <v>0</v>
      </c>
      <c r="AD289" s="271">
        <f t="shared" si="98"/>
        <v>0</v>
      </c>
      <c r="AE289" s="30">
        <f t="shared" si="99"/>
        <v>0</v>
      </c>
    </row>
    <row r="290" spans="1:31">
      <c r="A290" s="29">
        <v>287857</v>
      </c>
      <c r="B290" s="29">
        <v>283</v>
      </c>
      <c r="C290" s="90" t="s">
        <v>370</v>
      </c>
      <c r="D290" s="273">
        <v>415.54500000000002</v>
      </c>
      <c r="E290" s="29" t="s">
        <v>8</v>
      </c>
      <c r="F290" s="29" t="s">
        <v>9</v>
      </c>
      <c r="G290" s="229">
        <v>844</v>
      </c>
      <c r="H290" s="229">
        <v>844</v>
      </c>
      <c r="I290" s="229">
        <v>844</v>
      </c>
      <c r="J290" s="229">
        <v>844</v>
      </c>
      <c r="K290" s="229">
        <v>844</v>
      </c>
      <c r="L290" s="229">
        <v>844</v>
      </c>
      <c r="M290" s="229">
        <v>844</v>
      </c>
      <c r="N290" s="229">
        <v>844</v>
      </c>
      <c r="O290" s="229">
        <v>844</v>
      </c>
      <c r="P290" s="229">
        <v>844</v>
      </c>
      <c r="Q290" s="229">
        <v>844</v>
      </c>
      <c r="R290" s="229">
        <v>844</v>
      </c>
      <c r="S290" s="229">
        <v>844</v>
      </c>
      <c r="T290" s="229">
        <f t="shared" si="101"/>
        <v>844</v>
      </c>
      <c r="U290" s="229">
        <f t="shared" si="100"/>
        <v>844</v>
      </c>
      <c r="V290" s="356">
        <f t="shared" si="92"/>
        <v>844</v>
      </c>
      <c r="W290" s="356">
        <v>0</v>
      </c>
      <c r="X290" s="356">
        <f t="shared" si="95"/>
        <v>844</v>
      </c>
      <c r="Y290" s="229">
        <v>0</v>
      </c>
      <c r="Z290" s="229">
        <f t="shared" si="96"/>
        <v>844</v>
      </c>
      <c r="AA290" s="276" t="s">
        <v>15</v>
      </c>
      <c r="AB290" s="270">
        <f>SUMIF('Allocation Factors'!$B$3:$B$89,'Accumulated Deferred Income Tax'!AA290,'Allocation Factors'!$P$3:$P$89)</f>
        <v>0</v>
      </c>
      <c r="AC290" s="271">
        <f t="shared" si="97"/>
        <v>0</v>
      </c>
      <c r="AD290" s="271">
        <f t="shared" si="98"/>
        <v>0</v>
      </c>
      <c r="AE290" s="30">
        <f t="shared" si="99"/>
        <v>0</v>
      </c>
    </row>
    <row r="291" spans="1:31">
      <c r="A291" s="29">
        <v>287858</v>
      </c>
      <c r="B291" s="29">
        <v>283</v>
      </c>
      <c r="C291" s="90" t="s">
        <v>533</v>
      </c>
      <c r="D291" s="273">
        <v>415.67599999999999</v>
      </c>
      <c r="E291" s="29" t="s">
        <v>8</v>
      </c>
      <c r="F291" s="29" t="s">
        <v>9</v>
      </c>
      <c r="G291" s="229">
        <v>-39918</v>
      </c>
      <c r="H291" s="229">
        <v>-39335</v>
      </c>
      <c r="I291" s="229">
        <v>-38752</v>
      </c>
      <c r="J291" s="229">
        <v>-38169</v>
      </c>
      <c r="K291" s="229">
        <v>-37587</v>
      </c>
      <c r="L291" s="229">
        <v>-37004</v>
      </c>
      <c r="M291" s="229">
        <v>-36421</v>
      </c>
      <c r="N291" s="229">
        <v>-35838</v>
      </c>
      <c r="O291" s="229">
        <v>-35256</v>
      </c>
      <c r="P291" s="229">
        <v>-34673</v>
      </c>
      <c r="Q291" s="229">
        <v>-34090</v>
      </c>
      <c r="R291" s="229">
        <v>-33507</v>
      </c>
      <c r="S291" s="229">
        <v>-32925</v>
      </c>
      <c r="T291" s="229">
        <f t="shared" si="101"/>
        <v>-36421</v>
      </c>
      <c r="U291" s="229">
        <f t="shared" si="100"/>
        <v>-36421</v>
      </c>
      <c r="V291" s="356">
        <f t="shared" si="92"/>
        <v>-36421</v>
      </c>
      <c r="W291" s="356">
        <v>0</v>
      </c>
      <c r="X291" s="356">
        <f t="shared" si="95"/>
        <v>-36421</v>
      </c>
      <c r="Y291" s="229">
        <v>0</v>
      </c>
      <c r="Z291" s="229">
        <f t="shared" si="96"/>
        <v>-36421</v>
      </c>
      <c r="AA291" s="276" t="s">
        <v>15</v>
      </c>
      <c r="AB291" s="270">
        <f>SUMIF('Allocation Factors'!$B$3:$B$89,'Accumulated Deferred Income Tax'!AA291,'Allocation Factors'!$P$3:$P$89)</f>
        <v>0</v>
      </c>
      <c r="AC291" s="271">
        <f t="shared" si="97"/>
        <v>0</v>
      </c>
      <c r="AD291" s="271">
        <f t="shared" si="98"/>
        <v>0</v>
      </c>
      <c r="AE291" s="30">
        <f t="shared" si="99"/>
        <v>0</v>
      </c>
    </row>
    <row r="292" spans="1:31">
      <c r="A292" s="29">
        <v>287859</v>
      </c>
      <c r="B292" s="29">
        <v>283</v>
      </c>
      <c r="C292" s="28" t="s">
        <v>505</v>
      </c>
      <c r="D292" s="273">
        <v>910.93499999999995</v>
      </c>
      <c r="E292" s="29" t="s">
        <v>8</v>
      </c>
      <c r="F292" s="269" t="s">
        <v>333</v>
      </c>
      <c r="G292" s="229">
        <v>-380074</v>
      </c>
      <c r="H292" s="229">
        <v>-425948</v>
      </c>
      <c r="I292" s="229">
        <v>-465978</v>
      </c>
      <c r="J292" s="229">
        <v>-448159</v>
      </c>
      <c r="K292" s="229">
        <v>-317473</v>
      </c>
      <c r="L292" s="229">
        <v>-346954</v>
      </c>
      <c r="M292" s="229">
        <v>-209674</v>
      </c>
      <c r="N292" s="229">
        <v>-268864</v>
      </c>
      <c r="O292" s="229">
        <v>-311702</v>
      </c>
      <c r="P292" s="229">
        <v>-324096</v>
      </c>
      <c r="Q292" s="229">
        <v>-378261</v>
      </c>
      <c r="R292" s="229">
        <v>-283160</v>
      </c>
      <c r="S292" s="229">
        <v>-374095</v>
      </c>
      <c r="T292" s="229">
        <f t="shared" si="101"/>
        <v>-346446</v>
      </c>
      <c r="U292" s="229">
        <f t="shared" si="100"/>
        <v>-346446</v>
      </c>
      <c r="V292" s="356">
        <f t="shared" si="92"/>
        <v>-346446</v>
      </c>
      <c r="W292" s="356">
        <v>0</v>
      </c>
      <c r="X292" s="356">
        <f t="shared" ref="X292:X323" si="102">IF(F292="U",V292,0)</f>
        <v>0</v>
      </c>
      <c r="Y292" s="229">
        <v>0</v>
      </c>
      <c r="Z292" s="229">
        <f t="shared" ref="Z292:Z323" si="103">SUM(X292:Y292)</f>
        <v>0</v>
      </c>
      <c r="AA292" s="269" t="s">
        <v>331</v>
      </c>
      <c r="AB292" s="270">
        <f>SUMIF('Allocation Factors'!$B$3:$B$89,'Accumulated Deferred Income Tax'!AA292,'Allocation Factors'!$P$3:$P$89)</f>
        <v>0</v>
      </c>
      <c r="AC292" s="271">
        <f t="shared" ref="AC292:AC323" si="104">ROUND(X292*AB292,0)</f>
        <v>0</v>
      </c>
      <c r="AD292" s="271">
        <f t="shared" ref="AD292:AD323" si="105">ROUND(Y292*AB292,0)</f>
        <v>0</v>
      </c>
      <c r="AE292" s="30">
        <f t="shared" ref="AE292:AE323" si="106">SUM(AC292:AD292)</f>
        <v>0</v>
      </c>
    </row>
    <row r="293" spans="1:31">
      <c r="A293" s="29">
        <v>287860</v>
      </c>
      <c r="B293" s="29">
        <v>283</v>
      </c>
      <c r="C293" s="28" t="s">
        <v>462</v>
      </c>
      <c r="D293" s="273">
        <v>415.85500000000002</v>
      </c>
      <c r="E293" s="29" t="s">
        <v>8</v>
      </c>
      <c r="F293" s="269" t="s">
        <v>9</v>
      </c>
      <c r="G293" s="229">
        <v>-716416</v>
      </c>
      <c r="H293" s="229">
        <v>-684780</v>
      </c>
      <c r="I293" s="229">
        <v>-650658</v>
      </c>
      <c r="J293" s="229">
        <v>-621101</v>
      </c>
      <c r="K293" s="229">
        <v>-596253</v>
      </c>
      <c r="L293" s="229">
        <v>-569739</v>
      </c>
      <c r="M293" s="229">
        <v>-535843</v>
      </c>
      <c r="N293" s="229">
        <v>-501096</v>
      </c>
      <c r="O293" s="229">
        <v>-469002</v>
      </c>
      <c r="P293" s="229">
        <v>-436158</v>
      </c>
      <c r="Q293" s="229">
        <v>-408493</v>
      </c>
      <c r="R293" s="229">
        <v>-383478</v>
      </c>
      <c r="S293" s="229">
        <v>-355398</v>
      </c>
      <c r="T293" s="229">
        <f t="shared" si="101"/>
        <v>-532709</v>
      </c>
      <c r="U293" s="229">
        <f t="shared" si="100"/>
        <v>-532709</v>
      </c>
      <c r="V293" s="356">
        <f t="shared" si="92"/>
        <v>-532709</v>
      </c>
      <c r="W293" s="356">
        <v>0</v>
      </c>
      <c r="X293" s="356">
        <f t="shared" si="102"/>
        <v>-532709</v>
      </c>
      <c r="Y293" s="229">
        <v>0</v>
      </c>
      <c r="Z293" s="229">
        <f t="shared" si="103"/>
        <v>-532709</v>
      </c>
      <c r="AA293" s="29" t="s">
        <v>15</v>
      </c>
      <c r="AB293" s="270">
        <f>SUMIF('Allocation Factors'!$B$3:$B$89,'Accumulated Deferred Income Tax'!AA293,'Allocation Factors'!$P$3:$P$89)</f>
        <v>0</v>
      </c>
      <c r="AC293" s="271">
        <f t="shared" si="104"/>
        <v>0</v>
      </c>
      <c r="AD293" s="271">
        <f t="shared" si="105"/>
        <v>0</v>
      </c>
      <c r="AE293" s="30">
        <f t="shared" si="106"/>
        <v>0</v>
      </c>
    </row>
    <row r="294" spans="1:31">
      <c r="A294" s="29">
        <v>287861</v>
      </c>
      <c r="B294" s="29">
        <v>283</v>
      </c>
      <c r="C294" s="28" t="s">
        <v>463</v>
      </c>
      <c r="D294" s="273">
        <v>415.85700000000003</v>
      </c>
      <c r="E294" s="29" t="s">
        <v>8</v>
      </c>
      <c r="F294" s="269" t="s">
        <v>9</v>
      </c>
      <c r="G294" s="229">
        <v>-138352</v>
      </c>
      <c r="H294" s="229">
        <v>-125472</v>
      </c>
      <c r="I294" s="229">
        <v>-124009</v>
      </c>
      <c r="J294" s="229">
        <v>-120724</v>
      </c>
      <c r="K294" s="229">
        <v>-113370</v>
      </c>
      <c r="L294" s="229">
        <v>-116542</v>
      </c>
      <c r="M294" s="229">
        <v>-121333</v>
      </c>
      <c r="N294" s="229">
        <v>-119978</v>
      </c>
      <c r="O294" s="229">
        <v>-105702</v>
      </c>
      <c r="P294" s="229">
        <v>-92653</v>
      </c>
      <c r="Q294" s="229">
        <v>-98670</v>
      </c>
      <c r="R294" s="229">
        <v>-112428</v>
      </c>
      <c r="S294" s="229">
        <v>-112687</v>
      </c>
      <c r="T294" s="229">
        <f t="shared" si="101"/>
        <v>-114700</v>
      </c>
      <c r="U294" s="229">
        <f t="shared" ref="U294:U325" si="107">+T294</f>
        <v>-114700</v>
      </c>
      <c r="V294" s="356">
        <f t="shared" ref="V294:V341" si="108">+U294</f>
        <v>-114700</v>
      </c>
      <c r="W294" s="356">
        <v>0</v>
      </c>
      <c r="X294" s="356">
        <f t="shared" si="102"/>
        <v>-114700</v>
      </c>
      <c r="Y294" s="229">
        <v>0</v>
      </c>
      <c r="Z294" s="229">
        <f t="shared" si="103"/>
        <v>-114700</v>
      </c>
      <c r="AA294" s="29" t="s">
        <v>15</v>
      </c>
      <c r="AB294" s="270">
        <f>SUMIF('Allocation Factors'!$B$3:$B$89,'Accumulated Deferred Income Tax'!AA294,'Allocation Factors'!$P$3:$P$89)</f>
        <v>0</v>
      </c>
      <c r="AC294" s="271">
        <f t="shared" si="104"/>
        <v>0</v>
      </c>
      <c r="AD294" s="271">
        <f t="shared" si="105"/>
        <v>0</v>
      </c>
      <c r="AE294" s="30">
        <f t="shared" si="106"/>
        <v>0</v>
      </c>
    </row>
    <row r="295" spans="1:31" s="201" customFormat="1">
      <c r="A295" s="29">
        <v>287864</v>
      </c>
      <c r="B295" s="29">
        <v>283</v>
      </c>
      <c r="C295" s="28" t="s">
        <v>461</v>
      </c>
      <c r="D295" s="273">
        <v>415.85199999999998</v>
      </c>
      <c r="E295" s="29" t="s">
        <v>8</v>
      </c>
      <c r="F295" s="269" t="s">
        <v>9</v>
      </c>
      <c r="G295" s="229">
        <v>-15913</v>
      </c>
      <c r="H295" s="229">
        <v>-15381</v>
      </c>
      <c r="I295" s="229">
        <v>-14848</v>
      </c>
      <c r="J295" s="229">
        <v>-14316</v>
      </c>
      <c r="K295" s="229">
        <v>-13784</v>
      </c>
      <c r="L295" s="229">
        <v>-13251</v>
      </c>
      <c r="M295" s="229">
        <v>-12719</v>
      </c>
      <c r="N295" s="229">
        <v>-12231</v>
      </c>
      <c r="O295" s="229">
        <v>-11743</v>
      </c>
      <c r="P295" s="229">
        <v>-11256</v>
      </c>
      <c r="Q295" s="229">
        <v>-10768</v>
      </c>
      <c r="R295" s="229">
        <v>-10280</v>
      </c>
      <c r="S295" s="229">
        <v>-9793</v>
      </c>
      <c r="T295" s="229">
        <f t="shared" si="101"/>
        <v>-12786</v>
      </c>
      <c r="U295" s="229">
        <f t="shared" si="107"/>
        <v>-12786</v>
      </c>
      <c r="V295" s="356">
        <f t="shared" si="108"/>
        <v>-12786</v>
      </c>
      <c r="W295" s="356">
        <v>0</v>
      </c>
      <c r="X295" s="356">
        <f t="shared" si="102"/>
        <v>-12786</v>
      </c>
      <c r="Y295" s="229">
        <v>0</v>
      </c>
      <c r="Z295" s="229">
        <f t="shared" si="103"/>
        <v>-12786</v>
      </c>
      <c r="AA295" s="29" t="s">
        <v>29</v>
      </c>
      <c r="AB295" s="270">
        <f>SUMIF('Allocation Factors'!$B$3:$B$89,'Accumulated Deferred Income Tax'!AA295,'Allocation Factors'!$P$3:$P$89)</f>
        <v>0</v>
      </c>
      <c r="AC295" s="271">
        <f t="shared" si="104"/>
        <v>0</v>
      </c>
      <c r="AD295" s="271">
        <f t="shared" si="105"/>
        <v>0</v>
      </c>
      <c r="AE295" s="30">
        <f t="shared" si="106"/>
        <v>0</v>
      </c>
    </row>
    <row r="296" spans="1:31" s="201" customFormat="1">
      <c r="A296" s="29">
        <v>287868</v>
      </c>
      <c r="B296" s="29">
        <v>283</v>
      </c>
      <c r="C296" s="90" t="s">
        <v>464</v>
      </c>
      <c r="D296" s="273">
        <v>415.858</v>
      </c>
      <c r="E296" s="29" t="s">
        <v>8</v>
      </c>
      <c r="F296" s="29" t="s">
        <v>9</v>
      </c>
      <c r="G296" s="229">
        <v>-389288</v>
      </c>
      <c r="H296" s="229">
        <v>-353047</v>
      </c>
      <c r="I296" s="229">
        <v>-348931</v>
      </c>
      <c r="J296" s="229">
        <v>-339688</v>
      </c>
      <c r="K296" s="229">
        <v>-318996</v>
      </c>
      <c r="L296" s="229">
        <v>-327919</v>
      </c>
      <c r="M296" s="229">
        <v>-341401</v>
      </c>
      <c r="N296" s="229">
        <v>-337589</v>
      </c>
      <c r="O296" s="229">
        <v>-297420</v>
      </c>
      <c r="P296" s="229">
        <v>-260704</v>
      </c>
      <c r="Q296" s="229">
        <v>-277633</v>
      </c>
      <c r="R296" s="229">
        <v>-316345</v>
      </c>
      <c r="S296" s="229">
        <v>-317073</v>
      </c>
      <c r="T296" s="229">
        <f t="shared" si="101"/>
        <v>-322738</v>
      </c>
      <c r="U296" s="229">
        <f t="shared" si="107"/>
        <v>-322738</v>
      </c>
      <c r="V296" s="356">
        <f t="shared" si="108"/>
        <v>-322738</v>
      </c>
      <c r="W296" s="356">
        <v>0</v>
      </c>
      <c r="X296" s="356">
        <f t="shared" si="102"/>
        <v>-322738</v>
      </c>
      <c r="Y296" s="229">
        <v>0</v>
      </c>
      <c r="Z296" s="229">
        <f t="shared" si="103"/>
        <v>-322738</v>
      </c>
      <c r="AA296" s="29" t="s">
        <v>32</v>
      </c>
      <c r="AB296" s="270">
        <f>SUMIF('Allocation Factors'!$B$3:$B$89,'Accumulated Deferred Income Tax'!AA296,'Allocation Factors'!$P$3:$P$89)</f>
        <v>0</v>
      </c>
      <c r="AC296" s="271">
        <f t="shared" si="104"/>
        <v>0</v>
      </c>
      <c r="AD296" s="271">
        <f t="shared" si="105"/>
        <v>0</v>
      </c>
      <c r="AE296" s="30">
        <f t="shared" si="106"/>
        <v>0</v>
      </c>
    </row>
    <row r="297" spans="1:31" s="201" customFormat="1">
      <c r="A297" s="29">
        <v>287871</v>
      </c>
      <c r="B297" s="29">
        <v>283</v>
      </c>
      <c r="C297" s="28" t="s">
        <v>539</v>
      </c>
      <c r="D297" s="273">
        <v>415.86599999999999</v>
      </c>
      <c r="E297" s="29" t="s">
        <v>8</v>
      </c>
      <c r="F297" s="29" t="s">
        <v>9</v>
      </c>
      <c r="G297" s="229">
        <v>-1230408</v>
      </c>
      <c r="H297" s="229">
        <v>-1303196</v>
      </c>
      <c r="I297" s="229">
        <v>-1333352</v>
      </c>
      <c r="J297" s="229">
        <v>-1270242</v>
      </c>
      <c r="K297" s="229">
        <v>-1300398</v>
      </c>
      <c r="L297" s="229">
        <v>-1301125</v>
      </c>
      <c r="M297" s="229">
        <v>-1260259</v>
      </c>
      <c r="N297" s="229">
        <v>-1188129</v>
      </c>
      <c r="O297" s="229">
        <v>-1132209</v>
      </c>
      <c r="P297" s="229">
        <v>-1085807</v>
      </c>
      <c r="Q297" s="229">
        <v>-1071392</v>
      </c>
      <c r="R297" s="229">
        <v>-1141646</v>
      </c>
      <c r="S297" s="229">
        <v>-1213239</v>
      </c>
      <c r="T297" s="229">
        <f t="shared" si="101"/>
        <v>-1217465</v>
      </c>
      <c r="U297" s="229">
        <f t="shared" si="107"/>
        <v>-1217465</v>
      </c>
      <c r="V297" s="356">
        <f t="shared" si="108"/>
        <v>-1217465</v>
      </c>
      <c r="W297" s="356">
        <v>0</v>
      </c>
      <c r="X297" s="356">
        <f t="shared" si="102"/>
        <v>-1217465</v>
      </c>
      <c r="Y297" s="229">
        <v>0</v>
      </c>
      <c r="Z297" s="229">
        <f t="shared" si="103"/>
        <v>-1217465</v>
      </c>
      <c r="AA297" s="29" t="s">
        <v>15</v>
      </c>
      <c r="AB297" s="270">
        <f>SUMIF('Allocation Factors'!$B$3:$B$89,'Accumulated Deferred Income Tax'!AA297,'Allocation Factors'!$P$3:$P$89)</f>
        <v>0</v>
      </c>
      <c r="AC297" s="271">
        <f t="shared" si="104"/>
        <v>0</v>
      </c>
      <c r="AD297" s="271">
        <f t="shared" si="105"/>
        <v>0</v>
      </c>
      <c r="AE297" s="30">
        <f t="shared" si="106"/>
        <v>0</v>
      </c>
    </row>
    <row r="298" spans="1:31" s="201" customFormat="1">
      <c r="A298" s="29">
        <v>287882</v>
      </c>
      <c r="B298" s="29">
        <v>283</v>
      </c>
      <c r="C298" s="90" t="s">
        <v>466</v>
      </c>
      <c r="D298" s="273">
        <v>415.87599999999998</v>
      </c>
      <c r="E298" s="29" t="s">
        <v>8</v>
      </c>
      <c r="F298" s="29" t="s">
        <v>9</v>
      </c>
      <c r="G298" s="229">
        <v>0</v>
      </c>
      <c r="H298" s="229">
        <v>0</v>
      </c>
      <c r="I298" s="229">
        <v>0</v>
      </c>
      <c r="J298" s="229">
        <v>0</v>
      </c>
      <c r="K298" s="229">
        <v>0</v>
      </c>
      <c r="L298" s="229">
        <v>0</v>
      </c>
      <c r="M298" s="229">
        <v>0</v>
      </c>
      <c r="N298" s="229">
        <v>0</v>
      </c>
      <c r="O298" s="229">
        <v>0</v>
      </c>
      <c r="P298" s="229">
        <v>-494819</v>
      </c>
      <c r="Q298" s="229">
        <v>-621688</v>
      </c>
      <c r="R298" s="229">
        <v>-621688</v>
      </c>
      <c r="S298" s="229">
        <v>-714792</v>
      </c>
      <c r="T298" s="229">
        <f t="shared" si="101"/>
        <v>-174633</v>
      </c>
      <c r="U298" s="229">
        <f t="shared" si="107"/>
        <v>-174633</v>
      </c>
      <c r="V298" s="356">
        <f t="shared" si="108"/>
        <v>-174633</v>
      </c>
      <c r="W298" s="356">
        <v>0</v>
      </c>
      <c r="X298" s="356">
        <f t="shared" si="102"/>
        <v>-174633</v>
      </c>
      <c r="Y298" s="229">
        <v>0</v>
      </c>
      <c r="Z298" s="229">
        <f t="shared" si="103"/>
        <v>-174633</v>
      </c>
      <c r="AA298" s="29" t="s">
        <v>15</v>
      </c>
      <c r="AB298" s="270">
        <f>SUMIF('Allocation Factors'!$B$3:$B$89,'Accumulated Deferred Income Tax'!AA298,'Allocation Factors'!$P$3:$P$89)</f>
        <v>0</v>
      </c>
      <c r="AC298" s="271">
        <f t="shared" si="104"/>
        <v>0</v>
      </c>
      <c r="AD298" s="271">
        <f t="shared" si="105"/>
        <v>0</v>
      </c>
      <c r="AE298" s="30">
        <f t="shared" si="106"/>
        <v>0</v>
      </c>
    </row>
    <row r="299" spans="1:31">
      <c r="A299" s="29">
        <v>287886</v>
      </c>
      <c r="B299" s="29">
        <v>283</v>
      </c>
      <c r="C299" s="73" t="s">
        <v>314</v>
      </c>
      <c r="D299" s="273">
        <v>415.83699999999999</v>
      </c>
      <c r="E299" s="29" t="s">
        <v>8</v>
      </c>
      <c r="F299" s="276" t="s">
        <v>333</v>
      </c>
      <c r="G299" s="229">
        <v>-21533523</v>
      </c>
      <c r="H299" s="229">
        <v>-18726718</v>
      </c>
      <c r="I299" s="229">
        <v>-16117691</v>
      </c>
      <c r="J299" s="229">
        <v>-15031251</v>
      </c>
      <c r="K299" s="229">
        <v>-15965305</v>
      </c>
      <c r="L299" s="229">
        <v>-17652688</v>
      </c>
      <c r="M299" s="229">
        <v>-19362370</v>
      </c>
      <c r="N299" s="229">
        <v>-20945588</v>
      </c>
      <c r="O299" s="229">
        <v>-21613830</v>
      </c>
      <c r="P299" s="229">
        <v>-21460060</v>
      </c>
      <c r="Q299" s="229">
        <v>-21292361</v>
      </c>
      <c r="R299" s="229">
        <v>-20206400</v>
      </c>
      <c r="S299" s="229">
        <v>-18069266</v>
      </c>
      <c r="T299" s="229">
        <f t="shared" si="101"/>
        <v>-19014638</v>
      </c>
      <c r="U299" s="229">
        <f t="shared" si="107"/>
        <v>-19014638</v>
      </c>
      <c r="V299" s="356">
        <f t="shared" si="108"/>
        <v>-19014638</v>
      </c>
      <c r="W299" s="356">
        <v>0</v>
      </c>
      <c r="X299" s="356">
        <f t="shared" si="102"/>
        <v>0</v>
      </c>
      <c r="Y299" s="229">
        <v>0</v>
      </c>
      <c r="Z299" s="229">
        <f t="shared" si="103"/>
        <v>0</v>
      </c>
      <c r="AA299" s="269" t="s">
        <v>331</v>
      </c>
      <c r="AB299" s="270">
        <f>SUMIF('Allocation Factors'!$B$3:$B$89,'Accumulated Deferred Income Tax'!AA299,'Allocation Factors'!$P$3:$P$89)</f>
        <v>0</v>
      </c>
      <c r="AC299" s="271">
        <f t="shared" si="104"/>
        <v>0</v>
      </c>
      <c r="AD299" s="271">
        <f t="shared" si="105"/>
        <v>0</v>
      </c>
      <c r="AE299" s="30">
        <f t="shared" si="106"/>
        <v>0</v>
      </c>
    </row>
    <row r="300" spans="1:31">
      <c r="A300" s="29">
        <v>287887</v>
      </c>
      <c r="B300" s="29">
        <v>283</v>
      </c>
      <c r="C300" s="73" t="s">
        <v>467</v>
      </c>
      <c r="D300" s="273">
        <v>415.88099999999997</v>
      </c>
      <c r="E300" s="29" t="s">
        <v>8</v>
      </c>
      <c r="F300" s="75" t="s">
        <v>9</v>
      </c>
      <c r="G300" s="229">
        <v>-246671</v>
      </c>
      <c r="H300" s="229">
        <v>-248140</v>
      </c>
      <c r="I300" s="229">
        <v>-286816</v>
      </c>
      <c r="J300" s="229">
        <v>-315239</v>
      </c>
      <c r="K300" s="229">
        <v>-258119</v>
      </c>
      <c r="L300" s="229">
        <v>-226127</v>
      </c>
      <c r="M300" s="229">
        <v>-255342</v>
      </c>
      <c r="N300" s="229">
        <v>-266118</v>
      </c>
      <c r="O300" s="229">
        <v>-170775</v>
      </c>
      <c r="P300" s="229">
        <v>-195291</v>
      </c>
      <c r="Q300" s="229">
        <v>-195291</v>
      </c>
      <c r="R300" s="229">
        <v>-144051</v>
      </c>
      <c r="S300" s="229">
        <v>-196659</v>
      </c>
      <c r="T300" s="229">
        <f t="shared" si="101"/>
        <v>-231915</v>
      </c>
      <c r="U300" s="229">
        <f t="shared" si="107"/>
        <v>-231915</v>
      </c>
      <c r="V300" s="356">
        <f t="shared" si="108"/>
        <v>-231915</v>
      </c>
      <c r="W300" s="356">
        <v>0</v>
      </c>
      <c r="X300" s="356">
        <f t="shared" si="102"/>
        <v>-231915</v>
      </c>
      <c r="Y300" s="229">
        <v>0</v>
      </c>
      <c r="Z300" s="229">
        <f t="shared" si="103"/>
        <v>-231915</v>
      </c>
      <c r="AA300" s="269" t="s">
        <v>15</v>
      </c>
      <c r="AB300" s="270">
        <f>SUMIF('Allocation Factors'!$B$3:$B$89,'Accumulated Deferred Income Tax'!AA300,'Allocation Factors'!$P$3:$P$89)</f>
        <v>0</v>
      </c>
      <c r="AC300" s="271">
        <f t="shared" si="104"/>
        <v>0</v>
      </c>
      <c r="AD300" s="271">
        <f t="shared" si="105"/>
        <v>0</v>
      </c>
      <c r="AE300" s="30">
        <f t="shared" si="106"/>
        <v>0</v>
      </c>
    </row>
    <row r="301" spans="1:31">
      <c r="A301" s="29">
        <v>287888</v>
      </c>
      <c r="B301" s="29">
        <v>283</v>
      </c>
      <c r="C301" s="73" t="s">
        <v>544</v>
      </c>
      <c r="D301" s="273">
        <v>415.88200000000001</v>
      </c>
      <c r="E301" s="29" t="s">
        <v>8</v>
      </c>
      <c r="F301" s="75" t="s">
        <v>9</v>
      </c>
      <c r="G301" s="229">
        <v>-15214</v>
      </c>
      <c r="H301" s="229">
        <v>-16423</v>
      </c>
      <c r="I301" s="229">
        <v>-14236</v>
      </c>
      <c r="J301" s="229">
        <v>-11976</v>
      </c>
      <c r="K301" s="229">
        <v>-17557</v>
      </c>
      <c r="L301" s="229">
        <v>-15103</v>
      </c>
      <c r="M301" s="229">
        <v>-11759</v>
      </c>
      <c r="N301" s="229">
        <v>-16855</v>
      </c>
      <c r="O301" s="229">
        <v>-13668</v>
      </c>
      <c r="P301" s="229">
        <v>-10696</v>
      </c>
      <c r="Q301" s="229">
        <v>-13505</v>
      </c>
      <c r="R301" s="229">
        <v>-11715</v>
      </c>
      <c r="S301" s="229">
        <v>-10015</v>
      </c>
      <c r="T301" s="229">
        <f t="shared" si="101"/>
        <v>-13842</v>
      </c>
      <c r="U301" s="229">
        <f t="shared" si="107"/>
        <v>-13842</v>
      </c>
      <c r="V301" s="356">
        <f t="shared" si="108"/>
        <v>-13842</v>
      </c>
      <c r="W301" s="356">
        <v>0</v>
      </c>
      <c r="X301" s="356">
        <f t="shared" si="102"/>
        <v>-13842</v>
      </c>
      <c r="Y301" s="229">
        <v>0</v>
      </c>
      <c r="Z301" s="229">
        <f t="shared" si="103"/>
        <v>-13842</v>
      </c>
      <c r="AA301" s="269" t="s">
        <v>15</v>
      </c>
      <c r="AB301" s="270">
        <f>SUMIF('Allocation Factors'!$B$3:$B$89,'Accumulated Deferred Income Tax'!AA301,'Allocation Factors'!$P$3:$P$89)</f>
        <v>0</v>
      </c>
      <c r="AC301" s="271">
        <f t="shared" si="104"/>
        <v>0</v>
      </c>
      <c r="AD301" s="271">
        <f t="shared" si="105"/>
        <v>0</v>
      </c>
      <c r="AE301" s="30">
        <f t="shared" si="106"/>
        <v>0</v>
      </c>
    </row>
    <row r="302" spans="1:31">
      <c r="A302" s="29">
        <v>287889</v>
      </c>
      <c r="B302" s="29">
        <v>283</v>
      </c>
      <c r="C302" s="73" t="s">
        <v>468</v>
      </c>
      <c r="D302" s="273">
        <v>415.88299999999998</v>
      </c>
      <c r="E302" s="29" t="s">
        <v>8</v>
      </c>
      <c r="F302" s="75" t="s">
        <v>9</v>
      </c>
      <c r="G302" s="229">
        <v>-211220</v>
      </c>
      <c r="H302" s="229">
        <v>-210187</v>
      </c>
      <c r="I302" s="229">
        <v>-217693</v>
      </c>
      <c r="J302" s="229">
        <v>-225374</v>
      </c>
      <c r="K302" s="229">
        <v>-199276</v>
      </c>
      <c r="L302" s="229">
        <v>-183540</v>
      </c>
      <c r="M302" s="229">
        <v>-187897</v>
      </c>
      <c r="N302" s="229">
        <v>-186497</v>
      </c>
      <c r="O302" s="229">
        <v>-140499</v>
      </c>
      <c r="P302" s="229">
        <v>-124793</v>
      </c>
      <c r="Q302" s="229">
        <v>-121942</v>
      </c>
      <c r="R302" s="229">
        <v>-116561</v>
      </c>
      <c r="S302" s="229">
        <v>-127726</v>
      </c>
      <c r="T302" s="229">
        <f t="shared" si="101"/>
        <v>-173644</v>
      </c>
      <c r="U302" s="229">
        <f t="shared" si="107"/>
        <v>-173644</v>
      </c>
      <c r="V302" s="356">
        <f t="shared" si="108"/>
        <v>-173644</v>
      </c>
      <c r="W302" s="356">
        <v>0</v>
      </c>
      <c r="X302" s="356">
        <f t="shared" si="102"/>
        <v>-173644</v>
      </c>
      <c r="Y302" s="229">
        <v>0</v>
      </c>
      <c r="Z302" s="229">
        <f t="shared" si="103"/>
        <v>-173644</v>
      </c>
      <c r="AA302" s="269" t="s">
        <v>15</v>
      </c>
      <c r="AB302" s="270">
        <f>SUMIF('Allocation Factors'!$B$3:$B$89,'Accumulated Deferred Income Tax'!AA302,'Allocation Factors'!$P$3:$P$89)</f>
        <v>0</v>
      </c>
      <c r="AC302" s="271">
        <f t="shared" si="104"/>
        <v>0</v>
      </c>
      <c r="AD302" s="271">
        <f t="shared" si="105"/>
        <v>0</v>
      </c>
      <c r="AE302" s="30">
        <f t="shared" si="106"/>
        <v>0</v>
      </c>
    </row>
    <row r="303" spans="1:31">
      <c r="A303" s="29">
        <v>287892</v>
      </c>
      <c r="B303" s="29">
        <v>283</v>
      </c>
      <c r="C303" s="90" t="s">
        <v>601</v>
      </c>
      <c r="D303" s="363">
        <v>287892</v>
      </c>
      <c r="E303" s="29" t="s">
        <v>8</v>
      </c>
      <c r="F303" s="276" t="s">
        <v>333</v>
      </c>
      <c r="G303" s="229">
        <v>-163932</v>
      </c>
      <c r="H303" s="229">
        <v>-163932</v>
      </c>
      <c r="I303" s="229">
        <v>-163932</v>
      </c>
      <c r="J303" s="229">
        <v>-163932</v>
      </c>
      <c r="K303" s="229">
        <v>-163932</v>
      </c>
      <c r="L303" s="229">
        <v>-163932</v>
      </c>
      <c r="M303" s="229">
        <v>-74524</v>
      </c>
      <c r="N303" s="229">
        <v>-74524</v>
      </c>
      <c r="O303" s="229">
        <v>-74524</v>
      </c>
      <c r="P303" s="229">
        <v>-74524</v>
      </c>
      <c r="Q303" s="229">
        <v>-74524</v>
      </c>
      <c r="R303" s="229">
        <v>-74524</v>
      </c>
      <c r="S303" s="229">
        <v>-74524</v>
      </c>
      <c r="T303" s="229">
        <f t="shared" si="101"/>
        <v>-115503</v>
      </c>
      <c r="U303" s="229">
        <f t="shared" si="107"/>
        <v>-115503</v>
      </c>
      <c r="V303" s="356">
        <f t="shared" si="108"/>
        <v>-115503</v>
      </c>
      <c r="W303" s="356">
        <v>0</v>
      </c>
      <c r="X303" s="356">
        <f t="shared" si="102"/>
        <v>0</v>
      </c>
      <c r="Y303" s="229">
        <v>0</v>
      </c>
      <c r="Z303" s="229">
        <f t="shared" si="103"/>
        <v>0</v>
      </c>
      <c r="AA303" s="269" t="s">
        <v>331</v>
      </c>
      <c r="AB303" s="270">
        <f>SUMIF('Allocation Factors'!$B$3:$B$89,'Accumulated Deferred Income Tax'!AA303,'Allocation Factors'!$P$3:$P$89)</f>
        <v>0</v>
      </c>
      <c r="AC303" s="271">
        <f t="shared" si="104"/>
        <v>0</v>
      </c>
      <c r="AD303" s="271">
        <f t="shared" si="105"/>
        <v>0</v>
      </c>
      <c r="AE303" s="30">
        <f t="shared" si="106"/>
        <v>0</v>
      </c>
    </row>
    <row r="304" spans="1:31">
      <c r="A304" s="29">
        <v>287896</v>
      </c>
      <c r="B304" s="29">
        <v>283</v>
      </c>
      <c r="C304" s="90" t="s">
        <v>541</v>
      </c>
      <c r="D304" s="273">
        <v>415.875</v>
      </c>
      <c r="E304" s="29" t="s">
        <v>8</v>
      </c>
      <c r="F304" s="75" t="s">
        <v>9</v>
      </c>
      <c r="G304" s="229">
        <v>-803067</v>
      </c>
      <c r="H304" s="229">
        <v>-4252992</v>
      </c>
      <c r="I304" s="229">
        <v>-7515131</v>
      </c>
      <c r="J304" s="229">
        <v>-7049386</v>
      </c>
      <c r="K304" s="229">
        <v>-6715108</v>
      </c>
      <c r="L304" s="229">
        <v>-7063058</v>
      </c>
      <c r="M304" s="229">
        <v>-7467384</v>
      </c>
      <c r="N304" s="229">
        <v>-7217759</v>
      </c>
      <c r="O304" s="229">
        <v>-10707344</v>
      </c>
      <c r="P304" s="229">
        <v>-12102483</v>
      </c>
      <c r="Q304" s="229">
        <v>-11456277</v>
      </c>
      <c r="R304" s="229">
        <v>-9834935</v>
      </c>
      <c r="S304" s="229">
        <v>-8893544</v>
      </c>
      <c r="T304" s="229">
        <f t="shared" ref="T304:T335" si="109">ROUND(((G304*1)+(SUM(H304:R304)*2)+(S304*1))/24,0)</f>
        <v>-8019180</v>
      </c>
      <c r="U304" s="229">
        <f t="shared" si="107"/>
        <v>-8019180</v>
      </c>
      <c r="V304" s="356">
        <f t="shared" si="108"/>
        <v>-8019180</v>
      </c>
      <c r="W304" s="356">
        <v>0</v>
      </c>
      <c r="X304" s="356">
        <f t="shared" si="102"/>
        <v>-8019180</v>
      </c>
      <c r="Y304" s="229">
        <v>0</v>
      </c>
      <c r="Z304" s="229">
        <f t="shared" si="103"/>
        <v>-8019180</v>
      </c>
      <c r="AA304" s="269" t="s">
        <v>15</v>
      </c>
      <c r="AB304" s="270">
        <f>SUMIF('Allocation Factors'!$B$3:$B$89,'Accumulated Deferred Income Tax'!AA304,'Allocation Factors'!$P$3:$P$89)</f>
        <v>0</v>
      </c>
      <c r="AC304" s="271">
        <f t="shared" si="104"/>
        <v>0</v>
      </c>
      <c r="AD304" s="271">
        <f t="shared" si="105"/>
        <v>0</v>
      </c>
      <c r="AE304" s="30">
        <f t="shared" si="106"/>
        <v>0</v>
      </c>
    </row>
    <row r="305" spans="1:31">
      <c r="A305" s="29">
        <v>287897</v>
      </c>
      <c r="B305" s="29">
        <v>283</v>
      </c>
      <c r="C305" s="90" t="s">
        <v>548</v>
      </c>
      <c r="D305" s="273">
        <v>425.4</v>
      </c>
      <c r="E305" s="29" t="s">
        <v>8</v>
      </c>
      <c r="F305" s="75" t="s">
        <v>9</v>
      </c>
      <c r="G305" s="229">
        <v>-4292199</v>
      </c>
      <c r="H305" s="229">
        <v>-4219670</v>
      </c>
      <c r="I305" s="229">
        <v>-4146893</v>
      </c>
      <c r="J305" s="229">
        <v>-4073868</v>
      </c>
      <c r="K305" s="229">
        <v>-4000594</v>
      </c>
      <c r="L305" s="229">
        <v>-3927070</v>
      </c>
      <c r="M305" s="229">
        <v>-3853296</v>
      </c>
      <c r="N305" s="229">
        <v>-3779270</v>
      </c>
      <c r="O305" s="229">
        <v>-3704992</v>
      </c>
      <c r="P305" s="229">
        <v>-3630461</v>
      </c>
      <c r="Q305" s="229">
        <v>-3556067</v>
      </c>
      <c r="R305" s="229">
        <v>-3481403</v>
      </c>
      <c r="S305" s="229">
        <v>-3406467</v>
      </c>
      <c r="T305" s="229">
        <f t="shared" si="109"/>
        <v>-3851910</v>
      </c>
      <c r="U305" s="229">
        <f t="shared" si="107"/>
        <v>-3851910</v>
      </c>
      <c r="V305" s="356">
        <f t="shared" si="108"/>
        <v>-3851910</v>
      </c>
      <c r="W305" s="356">
        <v>0</v>
      </c>
      <c r="X305" s="356">
        <f t="shared" si="102"/>
        <v>-3851910</v>
      </c>
      <c r="Y305" s="229">
        <v>0</v>
      </c>
      <c r="Z305" s="229">
        <f t="shared" si="103"/>
        <v>-3851910</v>
      </c>
      <c r="AA305" s="269" t="s">
        <v>15</v>
      </c>
      <c r="AB305" s="270">
        <f>SUMIF('Allocation Factors'!$B$3:$B$89,'Accumulated Deferred Income Tax'!AA305,'Allocation Factors'!$P$3:$P$89)</f>
        <v>0</v>
      </c>
      <c r="AC305" s="271">
        <f t="shared" si="104"/>
        <v>0</v>
      </c>
      <c r="AD305" s="271">
        <f t="shared" si="105"/>
        <v>0</v>
      </c>
      <c r="AE305" s="30">
        <f t="shared" si="106"/>
        <v>0</v>
      </c>
    </row>
    <row r="306" spans="1:31">
      <c r="A306" s="29">
        <v>287899</v>
      </c>
      <c r="B306" s="29">
        <v>283</v>
      </c>
      <c r="C306" s="90" t="s">
        <v>542</v>
      </c>
      <c r="D306" s="273">
        <v>415.87799999999999</v>
      </c>
      <c r="E306" s="29" t="s">
        <v>8</v>
      </c>
      <c r="F306" s="75" t="s">
        <v>9</v>
      </c>
      <c r="G306" s="229">
        <v>-133382</v>
      </c>
      <c r="H306" s="229">
        <v>-132665</v>
      </c>
      <c r="I306" s="229">
        <v>-131948</v>
      </c>
      <c r="J306" s="229">
        <v>-131231</v>
      </c>
      <c r="K306" s="229">
        <v>-130514</v>
      </c>
      <c r="L306" s="229">
        <v>-129797</v>
      </c>
      <c r="M306" s="229">
        <v>-129080</v>
      </c>
      <c r="N306" s="229">
        <v>-128362</v>
      </c>
      <c r="O306" s="229">
        <v>-127645</v>
      </c>
      <c r="P306" s="229">
        <v>-126928</v>
      </c>
      <c r="Q306" s="229">
        <v>-126211</v>
      </c>
      <c r="R306" s="229">
        <v>-125494</v>
      </c>
      <c r="S306" s="229">
        <v>-124777</v>
      </c>
      <c r="T306" s="229">
        <f t="shared" si="109"/>
        <v>-129080</v>
      </c>
      <c r="U306" s="229">
        <f t="shared" si="107"/>
        <v>-129080</v>
      </c>
      <c r="V306" s="356">
        <f t="shared" si="108"/>
        <v>-129080</v>
      </c>
      <c r="W306" s="356">
        <v>0</v>
      </c>
      <c r="X306" s="356">
        <f t="shared" si="102"/>
        <v>-129080</v>
      </c>
      <c r="Y306" s="229">
        <v>0</v>
      </c>
      <c r="Z306" s="229">
        <f t="shared" si="103"/>
        <v>-129080</v>
      </c>
      <c r="AA306" s="269" t="s">
        <v>28</v>
      </c>
      <c r="AB306" s="270">
        <f>SUMIF('Allocation Factors'!$B$3:$B$89,'Accumulated Deferred Income Tax'!AA306,'Allocation Factors'!$P$3:$P$89)</f>
        <v>0</v>
      </c>
      <c r="AC306" s="271">
        <f t="shared" si="104"/>
        <v>0</v>
      </c>
      <c r="AD306" s="271">
        <f t="shared" si="105"/>
        <v>0</v>
      </c>
      <c r="AE306" s="30">
        <f t="shared" si="106"/>
        <v>0</v>
      </c>
    </row>
    <row r="307" spans="1:31">
      <c r="A307" s="29">
        <v>287903</v>
      </c>
      <c r="B307" s="29">
        <v>283</v>
      </c>
      <c r="C307" s="90" t="s">
        <v>346</v>
      </c>
      <c r="D307" s="273">
        <v>415.87900000000002</v>
      </c>
      <c r="E307" s="29" t="s">
        <v>8</v>
      </c>
      <c r="F307" s="75" t="s">
        <v>9</v>
      </c>
      <c r="G307" s="229">
        <v>-21751</v>
      </c>
      <c r="H307" s="229">
        <v>-21634</v>
      </c>
      <c r="I307" s="229">
        <v>-21517</v>
      </c>
      <c r="J307" s="229">
        <v>-21400</v>
      </c>
      <c r="K307" s="229">
        <v>-21283</v>
      </c>
      <c r="L307" s="229">
        <v>-21166</v>
      </c>
      <c r="M307" s="229">
        <v>-21050</v>
      </c>
      <c r="N307" s="229">
        <v>-20933</v>
      </c>
      <c r="O307" s="229">
        <v>-20816</v>
      </c>
      <c r="P307" s="229">
        <v>-20699</v>
      </c>
      <c r="Q307" s="229">
        <v>-20582</v>
      </c>
      <c r="R307" s="229">
        <v>-20465</v>
      </c>
      <c r="S307" s="229">
        <v>-20348</v>
      </c>
      <c r="T307" s="229">
        <f t="shared" si="109"/>
        <v>-21050</v>
      </c>
      <c r="U307" s="229">
        <f t="shared" si="107"/>
        <v>-21050</v>
      </c>
      <c r="V307" s="356">
        <f t="shared" si="108"/>
        <v>-21050</v>
      </c>
      <c r="W307" s="356">
        <v>0</v>
      </c>
      <c r="X307" s="356">
        <f t="shared" si="102"/>
        <v>-21050</v>
      </c>
      <c r="Y307" s="229">
        <v>0</v>
      </c>
      <c r="Z307" s="229">
        <f t="shared" si="103"/>
        <v>-21050</v>
      </c>
      <c r="AA307" s="269" t="s">
        <v>32</v>
      </c>
      <c r="AB307" s="270">
        <f>SUMIF('Allocation Factors'!$B$3:$B$89,'Accumulated Deferred Income Tax'!AA307,'Allocation Factors'!$P$3:$P$89)</f>
        <v>0</v>
      </c>
      <c r="AC307" s="271">
        <f t="shared" si="104"/>
        <v>0</v>
      </c>
      <c r="AD307" s="271">
        <f t="shared" si="105"/>
        <v>0</v>
      </c>
      <c r="AE307" s="30">
        <f t="shared" si="106"/>
        <v>0</v>
      </c>
    </row>
    <row r="308" spans="1:31">
      <c r="A308" s="29">
        <v>287906</v>
      </c>
      <c r="B308" s="29">
        <v>283</v>
      </c>
      <c r="C308" s="90" t="s">
        <v>375</v>
      </c>
      <c r="D308" s="273">
        <v>415.863</v>
      </c>
      <c r="E308" s="29" t="s">
        <v>8</v>
      </c>
      <c r="F308" s="75" t="s">
        <v>9</v>
      </c>
      <c r="G308" s="229">
        <v>-394434</v>
      </c>
      <c r="H308" s="229">
        <v>-397554</v>
      </c>
      <c r="I308" s="229">
        <v>-400703</v>
      </c>
      <c r="J308" s="229">
        <v>-402235</v>
      </c>
      <c r="K308" s="229">
        <v>-406031</v>
      </c>
      <c r="L308" s="229">
        <v>-406208</v>
      </c>
      <c r="M308" s="229">
        <v>-408955</v>
      </c>
      <c r="N308" s="229">
        <v>-408642</v>
      </c>
      <c r="O308" s="229">
        <v>-408534</v>
      </c>
      <c r="P308" s="229">
        <v>-410555</v>
      </c>
      <c r="Q308" s="229">
        <v>-410455</v>
      </c>
      <c r="R308" s="229">
        <v>-412116</v>
      </c>
      <c r="S308" s="229">
        <v>-420795</v>
      </c>
      <c r="T308" s="229">
        <f t="shared" si="109"/>
        <v>-406634</v>
      </c>
      <c r="U308" s="229">
        <f t="shared" si="107"/>
        <v>-406634</v>
      </c>
      <c r="V308" s="356">
        <f t="shared" si="108"/>
        <v>-406634</v>
      </c>
      <c r="W308" s="356">
        <v>0</v>
      </c>
      <c r="X308" s="356">
        <f t="shared" si="102"/>
        <v>-406634</v>
      </c>
      <c r="Y308" s="229">
        <v>0</v>
      </c>
      <c r="Z308" s="229">
        <f t="shared" si="103"/>
        <v>-406634</v>
      </c>
      <c r="AA308" s="269" t="s">
        <v>28</v>
      </c>
      <c r="AB308" s="270">
        <f>SUMIF('Allocation Factors'!$B$3:$B$89,'Accumulated Deferred Income Tax'!AA308,'Allocation Factors'!$P$3:$P$89)</f>
        <v>0</v>
      </c>
      <c r="AC308" s="271">
        <f t="shared" si="104"/>
        <v>0</v>
      </c>
      <c r="AD308" s="271">
        <f t="shared" si="105"/>
        <v>0</v>
      </c>
      <c r="AE308" s="30">
        <f t="shared" si="106"/>
        <v>0</v>
      </c>
    </row>
    <row r="309" spans="1:31">
      <c r="A309" s="29">
        <v>287907</v>
      </c>
      <c r="B309" s="29">
        <v>283</v>
      </c>
      <c r="C309" s="90" t="s">
        <v>345</v>
      </c>
      <c r="D309" s="273">
        <v>210.185</v>
      </c>
      <c r="E309" s="29" t="s">
        <v>8</v>
      </c>
      <c r="F309" s="75" t="s">
        <v>9</v>
      </c>
      <c r="G309" s="229">
        <v>-5551</v>
      </c>
      <c r="H309" s="229">
        <v>-4626</v>
      </c>
      <c r="I309" s="229">
        <v>-3701</v>
      </c>
      <c r="J309" s="229">
        <v>-2775</v>
      </c>
      <c r="K309" s="229">
        <v>-1850</v>
      </c>
      <c r="L309" s="229">
        <v>-925</v>
      </c>
      <c r="M309" s="229">
        <v>0</v>
      </c>
      <c r="N309" s="229">
        <v>0</v>
      </c>
      <c r="O309" s="229">
        <v>0</v>
      </c>
      <c r="P309" s="229">
        <v>-13859</v>
      </c>
      <c r="Q309" s="229">
        <v>-12127</v>
      </c>
      <c r="R309" s="229">
        <v>-10395</v>
      </c>
      <c r="S309" s="229">
        <v>-8662</v>
      </c>
      <c r="T309" s="229">
        <f t="shared" si="109"/>
        <v>-4780</v>
      </c>
      <c r="U309" s="229">
        <f t="shared" si="107"/>
        <v>-4780</v>
      </c>
      <c r="V309" s="356">
        <f t="shared" si="108"/>
        <v>-4780</v>
      </c>
      <c r="W309" s="356">
        <v>0</v>
      </c>
      <c r="X309" s="356">
        <f t="shared" si="102"/>
        <v>-4780</v>
      </c>
      <c r="Y309" s="229">
        <v>0</v>
      </c>
      <c r="Z309" s="229">
        <f t="shared" si="103"/>
        <v>-4780</v>
      </c>
      <c r="AA309" s="269" t="s">
        <v>19</v>
      </c>
      <c r="AB309" s="270">
        <f>SUMIF('Allocation Factors'!$B$3:$B$89,'Accumulated Deferred Income Tax'!AA309,'Allocation Factors'!$P$3:$P$89)</f>
        <v>7.8111041399714837E-2</v>
      </c>
      <c r="AC309" s="271">
        <f t="shared" si="104"/>
        <v>-373</v>
      </c>
      <c r="AD309" s="271">
        <f t="shared" si="105"/>
        <v>0</v>
      </c>
      <c r="AE309" s="30">
        <f t="shared" si="106"/>
        <v>-373</v>
      </c>
    </row>
    <row r="310" spans="1:31">
      <c r="A310" s="29">
        <v>287908</v>
      </c>
      <c r="B310" s="29">
        <v>283</v>
      </c>
      <c r="C310" s="90" t="s">
        <v>521</v>
      </c>
      <c r="D310" s="273">
        <v>210.19</v>
      </c>
      <c r="E310" s="29" t="s">
        <v>8</v>
      </c>
      <c r="F310" s="75" t="s">
        <v>9</v>
      </c>
      <c r="G310" s="229">
        <v>-119784</v>
      </c>
      <c r="H310" s="229">
        <v>-95250</v>
      </c>
      <c r="I310" s="229">
        <v>-136793</v>
      </c>
      <c r="J310" s="229">
        <v>-105651</v>
      </c>
      <c r="K310" s="229">
        <v>-74510</v>
      </c>
      <c r="L310" s="229">
        <v>-207881</v>
      </c>
      <c r="M310" s="229">
        <v>-176739</v>
      </c>
      <c r="N310" s="229">
        <v>-275491</v>
      </c>
      <c r="O310" s="229">
        <v>-244350</v>
      </c>
      <c r="P310" s="229">
        <v>-213208</v>
      </c>
      <c r="Q310" s="229">
        <v>-182067</v>
      </c>
      <c r="R310" s="229">
        <v>-150925</v>
      </c>
      <c r="S310" s="229">
        <v>-119784</v>
      </c>
      <c r="T310" s="229">
        <f t="shared" si="109"/>
        <v>-165221</v>
      </c>
      <c r="U310" s="229">
        <f t="shared" si="107"/>
        <v>-165221</v>
      </c>
      <c r="V310" s="356">
        <f t="shared" si="108"/>
        <v>-165221</v>
      </c>
      <c r="W310" s="356">
        <v>0</v>
      </c>
      <c r="X310" s="356">
        <f t="shared" si="102"/>
        <v>-165221</v>
      </c>
      <c r="Y310" s="229">
        <v>0</v>
      </c>
      <c r="Z310" s="229">
        <f t="shared" si="103"/>
        <v>-165221</v>
      </c>
      <c r="AA310" s="269" t="s">
        <v>162</v>
      </c>
      <c r="AB310" s="270">
        <f>SUMIF('Allocation Factors'!$B$3:$B$89,'Accumulated Deferred Income Tax'!AA310,'Allocation Factors'!$P$3:$P$89)</f>
        <v>0</v>
      </c>
      <c r="AC310" s="271">
        <f t="shared" si="104"/>
        <v>0</v>
      </c>
      <c r="AD310" s="271">
        <f t="shared" si="105"/>
        <v>0</v>
      </c>
      <c r="AE310" s="30">
        <f t="shared" si="106"/>
        <v>0</v>
      </c>
    </row>
    <row r="311" spans="1:31">
      <c r="A311" s="29">
        <v>287911</v>
      </c>
      <c r="B311" s="29">
        <v>283</v>
      </c>
      <c r="C311" s="90" t="s">
        <v>365</v>
      </c>
      <c r="D311" s="273">
        <v>415.69900000000001</v>
      </c>
      <c r="E311" s="29" t="s">
        <v>8</v>
      </c>
      <c r="F311" s="276" t="s">
        <v>333</v>
      </c>
      <c r="G311" s="229">
        <v>-1577332</v>
      </c>
      <c r="H311" s="229">
        <v>-1596958</v>
      </c>
      <c r="I311" s="229">
        <v>-1689528</v>
      </c>
      <c r="J311" s="229">
        <v>-1751929</v>
      </c>
      <c r="K311" s="229">
        <v>-1833291</v>
      </c>
      <c r="L311" s="229">
        <v>-1881605</v>
      </c>
      <c r="M311" s="229">
        <v>-1752861</v>
      </c>
      <c r="N311" s="229">
        <v>-1568804</v>
      </c>
      <c r="O311" s="229">
        <v>-1572509</v>
      </c>
      <c r="P311" s="229">
        <v>-1662391</v>
      </c>
      <c r="Q311" s="229">
        <v>-1732970</v>
      </c>
      <c r="R311" s="229">
        <v>-1810288</v>
      </c>
      <c r="S311" s="229">
        <v>-1873930</v>
      </c>
      <c r="T311" s="229">
        <f t="shared" si="109"/>
        <v>-1714897</v>
      </c>
      <c r="U311" s="229">
        <f t="shared" si="107"/>
        <v>-1714897</v>
      </c>
      <c r="V311" s="356">
        <f t="shared" si="108"/>
        <v>-1714897</v>
      </c>
      <c r="W311" s="356">
        <v>0</v>
      </c>
      <c r="X311" s="356">
        <f t="shared" si="102"/>
        <v>0</v>
      </c>
      <c r="Y311" s="229">
        <v>0</v>
      </c>
      <c r="Z311" s="229">
        <f t="shared" si="103"/>
        <v>0</v>
      </c>
      <c r="AA311" s="269" t="s">
        <v>331</v>
      </c>
      <c r="AB311" s="270">
        <f>SUMIF('Allocation Factors'!$B$3:$B$89,'Accumulated Deferred Income Tax'!AA311,'Allocation Factors'!$P$3:$P$89)</f>
        <v>0</v>
      </c>
      <c r="AC311" s="271">
        <f t="shared" si="104"/>
        <v>0</v>
      </c>
      <c r="AD311" s="271">
        <f t="shared" si="105"/>
        <v>0</v>
      </c>
      <c r="AE311" s="30">
        <f t="shared" si="106"/>
        <v>0</v>
      </c>
    </row>
    <row r="312" spans="1:31">
      <c r="A312" s="29">
        <v>287914</v>
      </c>
      <c r="B312" s="29">
        <v>283</v>
      </c>
      <c r="C312" s="90" t="s">
        <v>434</v>
      </c>
      <c r="D312" s="273">
        <v>715.721</v>
      </c>
      <c r="E312" s="29" t="s">
        <v>8</v>
      </c>
      <c r="F312" s="276" t="s">
        <v>333</v>
      </c>
      <c r="G312" s="229">
        <v>0</v>
      </c>
      <c r="H312" s="229">
        <v>0</v>
      </c>
      <c r="I312" s="229">
        <v>0</v>
      </c>
      <c r="J312" s="229">
        <v>0</v>
      </c>
      <c r="K312" s="229">
        <v>0</v>
      </c>
      <c r="L312" s="229">
        <v>0</v>
      </c>
      <c r="M312" s="229">
        <v>0</v>
      </c>
      <c r="N312" s="229">
        <v>0</v>
      </c>
      <c r="O312" s="229">
        <v>0</v>
      </c>
      <c r="P312" s="229">
        <v>-63388</v>
      </c>
      <c r="Q312" s="229">
        <v>-81371</v>
      </c>
      <c r="R312" s="229">
        <v>-64385</v>
      </c>
      <c r="S312" s="229">
        <v>-46852</v>
      </c>
      <c r="T312" s="229">
        <f t="shared" si="109"/>
        <v>-19381</v>
      </c>
      <c r="U312" s="229">
        <f t="shared" si="107"/>
        <v>-19381</v>
      </c>
      <c r="V312" s="356">
        <f t="shared" si="108"/>
        <v>-19381</v>
      </c>
      <c r="W312" s="356">
        <v>0</v>
      </c>
      <c r="X312" s="356">
        <f t="shared" si="102"/>
        <v>0</v>
      </c>
      <c r="Y312" s="229">
        <v>0</v>
      </c>
      <c r="Z312" s="229">
        <f t="shared" si="103"/>
        <v>0</v>
      </c>
      <c r="AA312" s="269" t="s">
        <v>331</v>
      </c>
      <c r="AB312" s="270">
        <f>SUMIF('Allocation Factors'!$B$3:$B$89,'Accumulated Deferred Income Tax'!AA312,'Allocation Factors'!$P$3:$P$89)</f>
        <v>0</v>
      </c>
      <c r="AC312" s="271">
        <f t="shared" si="104"/>
        <v>0</v>
      </c>
      <c r="AD312" s="271">
        <f t="shared" si="105"/>
        <v>0</v>
      </c>
      <c r="AE312" s="30">
        <f t="shared" si="106"/>
        <v>0</v>
      </c>
    </row>
    <row r="313" spans="1:31">
      <c r="A313" s="29">
        <v>287915</v>
      </c>
      <c r="B313" s="29">
        <v>283</v>
      </c>
      <c r="C313" s="90" t="s">
        <v>506</v>
      </c>
      <c r="D313" s="273">
        <v>910.93700000000001</v>
      </c>
      <c r="E313" s="29" t="s">
        <v>8</v>
      </c>
      <c r="F313" s="276" t="s">
        <v>333</v>
      </c>
      <c r="G313" s="229">
        <v>-395197</v>
      </c>
      <c r="H313" s="229">
        <v>-486078</v>
      </c>
      <c r="I313" s="229">
        <v>-566775</v>
      </c>
      <c r="J313" s="229">
        <v>-546032</v>
      </c>
      <c r="K313" s="229">
        <v>-304146</v>
      </c>
      <c r="L313" s="229">
        <v>-366598</v>
      </c>
      <c r="M313" s="229">
        <v>-107930</v>
      </c>
      <c r="N313" s="229">
        <v>-319901</v>
      </c>
      <c r="O313" s="229">
        <v>-356621</v>
      </c>
      <c r="P313" s="229">
        <v>-306260</v>
      </c>
      <c r="Q313" s="229">
        <v>-425261</v>
      </c>
      <c r="R313" s="229">
        <v>-331161</v>
      </c>
      <c r="S313" s="229">
        <v>-434493</v>
      </c>
      <c r="T313" s="229">
        <f t="shared" si="109"/>
        <v>-377634</v>
      </c>
      <c r="U313" s="229">
        <f t="shared" si="107"/>
        <v>-377634</v>
      </c>
      <c r="V313" s="356">
        <f t="shared" si="108"/>
        <v>-377634</v>
      </c>
      <c r="W313" s="356">
        <v>0</v>
      </c>
      <c r="X313" s="356">
        <f t="shared" si="102"/>
        <v>0</v>
      </c>
      <c r="Y313" s="229">
        <v>0</v>
      </c>
      <c r="Z313" s="229">
        <f t="shared" si="103"/>
        <v>0</v>
      </c>
      <c r="AA313" s="269" t="s">
        <v>331</v>
      </c>
      <c r="AB313" s="270">
        <f>SUMIF('Allocation Factors'!$B$3:$B$89,'Accumulated Deferred Income Tax'!AA313,'Allocation Factors'!$P$3:$P$89)</f>
        <v>0</v>
      </c>
      <c r="AC313" s="271">
        <f t="shared" si="104"/>
        <v>0</v>
      </c>
      <c r="AD313" s="271">
        <f t="shared" si="105"/>
        <v>0</v>
      </c>
      <c r="AE313" s="30">
        <f t="shared" si="106"/>
        <v>0</v>
      </c>
    </row>
    <row r="314" spans="1:31">
      <c r="A314" s="29">
        <v>287917</v>
      </c>
      <c r="B314" s="298">
        <v>283</v>
      </c>
      <c r="C314" s="90" t="s">
        <v>492</v>
      </c>
      <c r="D314" s="273">
        <v>705.45100000000002</v>
      </c>
      <c r="E314" s="29" t="s">
        <v>8</v>
      </c>
      <c r="F314" s="276" t="s">
        <v>9</v>
      </c>
      <c r="G314" s="229">
        <v>-1138951</v>
      </c>
      <c r="H314" s="229">
        <v>-1031496</v>
      </c>
      <c r="I314" s="229">
        <v>-921748</v>
      </c>
      <c r="J314" s="229">
        <v>-795273</v>
      </c>
      <c r="K314" s="229">
        <v>-663916</v>
      </c>
      <c r="L314" s="229">
        <v>-561734</v>
      </c>
      <c r="M314" s="229">
        <v>-750685</v>
      </c>
      <c r="N314" s="229">
        <v>-817269</v>
      </c>
      <c r="O314" s="229">
        <v>-2078370</v>
      </c>
      <c r="P314" s="229">
        <v>-3206451</v>
      </c>
      <c r="Q314" s="229">
        <v>-2988259</v>
      </c>
      <c r="R314" s="229">
        <v>-2883369</v>
      </c>
      <c r="S314" s="229">
        <v>-2853548</v>
      </c>
      <c r="T314" s="229">
        <f t="shared" si="109"/>
        <v>-1557902</v>
      </c>
      <c r="U314" s="229">
        <f t="shared" si="107"/>
        <v>-1557902</v>
      </c>
      <c r="V314" s="356">
        <f t="shared" si="108"/>
        <v>-1557902</v>
      </c>
      <c r="W314" s="356">
        <v>0</v>
      </c>
      <c r="X314" s="356">
        <f t="shared" si="102"/>
        <v>-1557902</v>
      </c>
      <c r="Y314" s="229">
        <v>0</v>
      </c>
      <c r="Z314" s="229">
        <f t="shared" si="103"/>
        <v>-1557902</v>
      </c>
      <c r="AA314" s="276" t="s">
        <v>30</v>
      </c>
      <c r="AB314" s="270">
        <f>SUMIF('Allocation Factors'!$B$3:$B$89,'Accumulated Deferred Income Tax'!AA314,'Allocation Factors'!$P$3:$P$89)</f>
        <v>0</v>
      </c>
      <c r="AC314" s="271">
        <f t="shared" si="104"/>
        <v>0</v>
      </c>
      <c r="AD314" s="271">
        <f t="shared" si="105"/>
        <v>0</v>
      </c>
      <c r="AE314" s="30">
        <f t="shared" si="106"/>
        <v>0</v>
      </c>
    </row>
    <row r="315" spans="1:31">
      <c r="A315" s="29">
        <v>287919</v>
      </c>
      <c r="B315" s="298">
        <v>283</v>
      </c>
      <c r="C315" s="90" t="s">
        <v>343</v>
      </c>
      <c r="D315" s="273">
        <v>425.10500000000002</v>
      </c>
      <c r="E315" s="29" t="s">
        <v>8</v>
      </c>
      <c r="F315" s="276" t="s">
        <v>9</v>
      </c>
      <c r="G315" s="229">
        <v>-207689</v>
      </c>
      <c r="H315" s="229">
        <v>-222040</v>
      </c>
      <c r="I315" s="229">
        <v>-235667</v>
      </c>
      <c r="J315" s="229">
        <v>-231824</v>
      </c>
      <c r="K315" s="229">
        <v>-238852</v>
      </c>
      <c r="L315" s="229">
        <v>-252334</v>
      </c>
      <c r="M315" s="229">
        <v>-266633</v>
      </c>
      <c r="N315" s="229">
        <v>-279956</v>
      </c>
      <c r="O315" s="229">
        <v>-294617</v>
      </c>
      <c r="P315" s="229">
        <v>-315773</v>
      </c>
      <c r="Q315" s="229">
        <v>-302197</v>
      </c>
      <c r="R315" s="229">
        <v>-303272</v>
      </c>
      <c r="S315" s="229">
        <v>-172835</v>
      </c>
      <c r="T315" s="229">
        <f t="shared" si="109"/>
        <v>-261119</v>
      </c>
      <c r="U315" s="229">
        <f t="shared" si="107"/>
        <v>-261119</v>
      </c>
      <c r="V315" s="356">
        <f t="shared" si="108"/>
        <v>-261119</v>
      </c>
      <c r="W315" s="356">
        <v>0</v>
      </c>
      <c r="X315" s="356">
        <f t="shared" si="102"/>
        <v>-261119</v>
      </c>
      <c r="Y315" s="229">
        <v>0</v>
      </c>
      <c r="Z315" s="229">
        <f t="shared" si="103"/>
        <v>-261119</v>
      </c>
      <c r="AA315" s="276" t="s">
        <v>15</v>
      </c>
      <c r="AB315" s="270">
        <f>SUMIF('Allocation Factors'!$B$3:$B$89,'Accumulated Deferred Income Tax'!AA315,'Allocation Factors'!$P$3:$P$89)</f>
        <v>0</v>
      </c>
      <c r="AC315" s="271">
        <f t="shared" si="104"/>
        <v>0</v>
      </c>
      <c r="AD315" s="271">
        <f t="shared" si="105"/>
        <v>0</v>
      </c>
      <c r="AE315" s="30">
        <f t="shared" si="106"/>
        <v>0</v>
      </c>
    </row>
    <row r="316" spans="1:31">
      <c r="A316" s="29">
        <v>287927</v>
      </c>
      <c r="B316" s="298">
        <v>283</v>
      </c>
      <c r="C316" s="90" t="s">
        <v>623</v>
      </c>
      <c r="D316" s="29" t="s">
        <v>8</v>
      </c>
      <c r="E316" s="29" t="s">
        <v>8</v>
      </c>
      <c r="F316" s="276" t="s">
        <v>333</v>
      </c>
      <c r="G316" s="229">
        <v>-9175</v>
      </c>
      <c r="H316" s="229">
        <v>-9105</v>
      </c>
      <c r="I316" s="229">
        <v>-9045</v>
      </c>
      <c r="J316" s="229">
        <v>-9011</v>
      </c>
      <c r="K316" s="229">
        <v>-8989</v>
      </c>
      <c r="L316" s="229">
        <v>-8955</v>
      </c>
      <c r="M316" s="229">
        <v>-8913</v>
      </c>
      <c r="N316" s="229">
        <v>-8870</v>
      </c>
      <c r="O316" s="229">
        <v>-8842</v>
      </c>
      <c r="P316" s="229">
        <v>-8813</v>
      </c>
      <c r="Q316" s="229">
        <v>-8792</v>
      </c>
      <c r="R316" s="229">
        <v>-8761</v>
      </c>
      <c r="S316" s="229">
        <v>-8712</v>
      </c>
      <c r="T316" s="229">
        <f t="shared" si="109"/>
        <v>-8920</v>
      </c>
      <c r="U316" s="229">
        <f t="shared" si="107"/>
        <v>-8920</v>
      </c>
      <c r="V316" s="356">
        <f t="shared" si="108"/>
        <v>-8920</v>
      </c>
      <c r="W316" s="356">
        <v>0</v>
      </c>
      <c r="X316" s="356">
        <f t="shared" si="102"/>
        <v>0</v>
      </c>
      <c r="Y316" s="229">
        <v>0</v>
      </c>
      <c r="Z316" s="229">
        <f t="shared" si="103"/>
        <v>0</v>
      </c>
      <c r="AA316" s="276" t="s">
        <v>331</v>
      </c>
      <c r="AB316" s="270">
        <f>SUMIF('Allocation Factors'!$B$3:$B$89,'Accumulated Deferred Income Tax'!AA316,'Allocation Factors'!$P$3:$P$89)</f>
        <v>0</v>
      </c>
      <c r="AC316" s="271">
        <f t="shared" si="104"/>
        <v>0</v>
      </c>
      <c r="AD316" s="271">
        <f t="shared" si="105"/>
        <v>0</v>
      </c>
      <c r="AE316" s="30">
        <f t="shared" si="106"/>
        <v>0</v>
      </c>
    </row>
    <row r="317" spans="1:31">
      <c r="A317" s="29">
        <v>287933</v>
      </c>
      <c r="B317" s="298">
        <v>283</v>
      </c>
      <c r="C317" s="90" t="s">
        <v>452</v>
      </c>
      <c r="D317" s="29">
        <v>320.28199999999998</v>
      </c>
      <c r="E317" s="29" t="s">
        <v>8</v>
      </c>
      <c r="F317" s="29" t="s">
        <v>9</v>
      </c>
      <c r="G317" s="229">
        <v>-272095</v>
      </c>
      <c r="H317" s="229">
        <v>-278064</v>
      </c>
      <c r="I317" s="229">
        <v>-284032</v>
      </c>
      <c r="J317" s="229">
        <v>-290000</v>
      </c>
      <c r="K317" s="229">
        <v>-295969</v>
      </c>
      <c r="L317" s="229">
        <v>-301937</v>
      </c>
      <c r="M317" s="229">
        <v>-307906</v>
      </c>
      <c r="N317" s="229">
        <v>-313874</v>
      </c>
      <c r="O317" s="229">
        <v>-319842</v>
      </c>
      <c r="P317" s="229">
        <v>-325811</v>
      </c>
      <c r="Q317" s="229">
        <v>-331779</v>
      </c>
      <c r="R317" s="229">
        <v>-337748</v>
      </c>
      <c r="S317" s="229">
        <v>-343716</v>
      </c>
      <c r="T317" s="229">
        <f t="shared" si="109"/>
        <v>-307906</v>
      </c>
      <c r="U317" s="229">
        <f t="shared" si="107"/>
        <v>-307906</v>
      </c>
      <c r="V317" s="356">
        <f t="shared" si="108"/>
        <v>-307906</v>
      </c>
      <c r="W317" s="356">
        <v>0</v>
      </c>
      <c r="X317" s="356">
        <f t="shared" si="102"/>
        <v>-307906</v>
      </c>
      <c r="Y317" s="229">
        <v>0</v>
      </c>
      <c r="Z317" s="229">
        <f t="shared" si="103"/>
        <v>-307906</v>
      </c>
      <c r="AA317" s="276" t="s">
        <v>28</v>
      </c>
      <c r="AB317" s="270">
        <f>SUMIF('Allocation Factors'!$B$3:$B$89,'Accumulated Deferred Income Tax'!AA317,'Allocation Factors'!$P$3:$P$89)</f>
        <v>0</v>
      </c>
      <c r="AC317" s="271">
        <f t="shared" si="104"/>
        <v>0</v>
      </c>
      <c r="AD317" s="271">
        <f t="shared" si="105"/>
        <v>0</v>
      </c>
      <c r="AE317" s="30">
        <f t="shared" si="106"/>
        <v>0</v>
      </c>
    </row>
    <row r="318" spans="1:31">
      <c r="A318" s="29">
        <v>287934</v>
      </c>
      <c r="B318" s="298">
        <v>283</v>
      </c>
      <c r="C318" s="90" t="s">
        <v>453</v>
      </c>
      <c r="D318" s="29">
        <v>320.28300000000002</v>
      </c>
      <c r="E318" s="29" t="s">
        <v>8</v>
      </c>
      <c r="F318" s="29" t="s">
        <v>9</v>
      </c>
      <c r="G318" s="229">
        <v>-8204</v>
      </c>
      <c r="H318" s="229">
        <v>-7748</v>
      </c>
      <c r="I318" s="229">
        <v>-7292</v>
      </c>
      <c r="J318" s="229">
        <v>-6836</v>
      </c>
      <c r="K318" s="229">
        <v>-6381</v>
      </c>
      <c r="L318" s="229">
        <v>-5925</v>
      </c>
      <c r="M318" s="229">
        <v>-5469</v>
      </c>
      <c r="N318" s="229">
        <v>-5013</v>
      </c>
      <c r="O318" s="229">
        <v>-4558</v>
      </c>
      <c r="P318" s="229">
        <v>-4102</v>
      </c>
      <c r="Q318" s="229">
        <v>-3646</v>
      </c>
      <c r="R318" s="229">
        <v>-3190</v>
      </c>
      <c r="S318" s="229">
        <v>-2735</v>
      </c>
      <c r="T318" s="229">
        <f t="shared" si="109"/>
        <v>-5469</v>
      </c>
      <c r="U318" s="229">
        <f t="shared" si="107"/>
        <v>-5469</v>
      </c>
      <c r="V318" s="356">
        <f t="shared" si="108"/>
        <v>-5469</v>
      </c>
      <c r="W318" s="356">
        <v>0</v>
      </c>
      <c r="X318" s="356">
        <f t="shared" si="102"/>
        <v>-5469</v>
      </c>
      <c r="Y318" s="229">
        <v>0</v>
      </c>
      <c r="Z318" s="229">
        <f t="shared" si="103"/>
        <v>-5469</v>
      </c>
      <c r="AA318" s="276" t="s">
        <v>32</v>
      </c>
      <c r="AB318" s="270">
        <f>SUMIF('Allocation Factors'!$B$3:$B$89,'Accumulated Deferred Income Tax'!AA318,'Allocation Factors'!$P$3:$P$89)</f>
        <v>0</v>
      </c>
      <c r="AC318" s="271">
        <f t="shared" si="104"/>
        <v>0</v>
      </c>
      <c r="AD318" s="271">
        <f t="shared" si="105"/>
        <v>0</v>
      </c>
      <c r="AE318" s="30">
        <f t="shared" si="106"/>
        <v>0</v>
      </c>
    </row>
    <row r="319" spans="1:31">
      <c r="A319" s="29">
        <v>287935</v>
      </c>
      <c r="B319" s="298">
        <v>283</v>
      </c>
      <c r="C319" s="90" t="s">
        <v>624</v>
      </c>
      <c r="D319" s="29">
        <v>415.93599999999998</v>
      </c>
      <c r="E319" s="29" t="s">
        <v>8</v>
      </c>
      <c r="F319" s="29" t="s">
        <v>9</v>
      </c>
      <c r="G319" s="229">
        <v>-847911</v>
      </c>
      <c r="H319" s="229">
        <v>-847911</v>
      </c>
      <c r="I319" s="229">
        <v>-847911</v>
      </c>
      <c r="J319" s="229">
        <v>-847911</v>
      </c>
      <c r="K319" s="229">
        <v>-847911</v>
      </c>
      <c r="L319" s="229">
        <v>-847911</v>
      </c>
      <c r="M319" s="229">
        <v>-847911</v>
      </c>
      <c r="N319" s="229">
        <v>-847911</v>
      </c>
      <c r="O319" s="229">
        <v>-847911</v>
      </c>
      <c r="P319" s="229">
        <v>-847911</v>
      </c>
      <c r="Q319" s="229">
        <v>-847911</v>
      </c>
      <c r="R319" s="229">
        <v>-847911</v>
      </c>
      <c r="S319" s="229">
        <v>-847911</v>
      </c>
      <c r="T319" s="229">
        <f t="shared" si="109"/>
        <v>-847911</v>
      </c>
      <c r="U319" s="229">
        <f t="shared" si="107"/>
        <v>-847911</v>
      </c>
      <c r="V319" s="356">
        <f t="shared" si="108"/>
        <v>-847911</v>
      </c>
      <c r="W319" s="356">
        <v>0</v>
      </c>
      <c r="X319" s="356">
        <f t="shared" si="102"/>
        <v>-847911</v>
      </c>
      <c r="Y319" s="229">
        <v>0</v>
      </c>
      <c r="Z319" s="229">
        <f t="shared" si="103"/>
        <v>-847911</v>
      </c>
      <c r="AA319" s="276" t="s">
        <v>162</v>
      </c>
      <c r="AB319" s="270">
        <f>SUMIF('Allocation Factors'!$B$3:$B$89,'Accumulated Deferred Income Tax'!AA319,'Allocation Factors'!$P$3:$P$89)</f>
        <v>0</v>
      </c>
      <c r="AC319" s="271">
        <f t="shared" si="104"/>
        <v>0</v>
      </c>
      <c r="AD319" s="271">
        <f t="shared" si="105"/>
        <v>0</v>
      </c>
      <c r="AE319" s="30">
        <f t="shared" si="106"/>
        <v>0</v>
      </c>
    </row>
    <row r="320" spans="1:31">
      <c r="A320" s="29">
        <v>287936</v>
      </c>
      <c r="B320" s="298">
        <v>283</v>
      </c>
      <c r="C320" s="90" t="s">
        <v>56</v>
      </c>
      <c r="D320" s="29">
        <v>205.02500000000001</v>
      </c>
      <c r="E320" s="29" t="s">
        <v>8</v>
      </c>
      <c r="F320" s="29" t="s">
        <v>9</v>
      </c>
      <c r="G320" s="229">
        <v>0</v>
      </c>
      <c r="H320" s="229">
        <v>0</v>
      </c>
      <c r="I320" s="229">
        <v>0</v>
      </c>
      <c r="J320" s="229">
        <v>0</v>
      </c>
      <c r="K320" s="229">
        <v>0</v>
      </c>
      <c r="L320" s="229">
        <v>0</v>
      </c>
      <c r="M320" s="229">
        <v>-89756</v>
      </c>
      <c r="N320" s="229">
        <v>-89756</v>
      </c>
      <c r="O320" s="229">
        <v>-89756</v>
      </c>
      <c r="P320" s="229">
        <v>0</v>
      </c>
      <c r="Q320" s="229">
        <v>0</v>
      </c>
      <c r="R320" s="229">
        <v>0</v>
      </c>
      <c r="S320" s="229">
        <v>0</v>
      </c>
      <c r="T320" s="229">
        <f t="shared" si="109"/>
        <v>-22439</v>
      </c>
      <c r="U320" s="229">
        <f t="shared" si="107"/>
        <v>-22439</v>
      </c>
      <c r="V320" s="356">
        <f t="shared" si="108"/>
        <v>-22439</v>
      </c>
      <c r="W320" s="356">
        <v>0</v>
      </c>
      <c r="X320" s="356">
        <f t="shared" si="102"/>
        <v>-22439</v>
      </c>
      <c r="Y320" s="229">
        <v>0</v>
      </c>
      <c r="Z320" s="229">
        <f t="shared" si="103"/>
        <v>-22439</v>
      </c>
      <c r="AA320" s="276" t="s">
        <v>170</v>
      </c>
      <c r="AB320" s="270">
        <f>SUMIF('Allocation Factors'!$B$3:$B$89,'Accumulated Deferred Income Tax'!AA320,'Allocation Factors'!$P$3:$P$89)</f>
        <v>0.22591574269314921</v>
      </c>
      <c r="AC320" s="271">
        <f t="shared" si="104"/>
        <v>-5069</v>
      </c>
      <c r="AD320" s="271">
        <f t="shared" si="105"/>
        <v>0</v>
      </c>
      <c r="AE320" s="30">
        <f t="shared" si="106"/>
        <v>-5069</v>
      </c>
    </row>
    <row r="321" spans="1:31">
      <c r="A321" s="29">
        <v>287939</v>
      </c>
      <c r="B321" s="298">
        <v>283</v>
      </c>
      <c r="C321" s="90" t="s">
        <v>454</v>
      </c>
      <c r="D321" s="29">
        <v>415.11500000000001</v>
      </c>
      <c r="E321" s="29" t="s">
        <v>8</v>
      </c>
      <c r="F321" s="29" t="s">
        <v>9</v>
      </c>
      <c r="G321" s="229">
        <v>1754302</v>
      </c>
      <c r="H321" s="229">
        <v>1848306</v>
      </c>
      <c r="I321" s="229">
        <v>1977152</v>
      </c>
      <c r="J321" s="229">
        <v>2097858</v>
      </c>
      <c r="K321" s="229">
        <v>2207455</v>
      </c>
      <c r="L321" s="229">
        <v>2286128</v>
      </c>
      <c r="M321" s="229">
        <v>2393394</v>
      </c>
      <c r="N321" s="229">
        <v>2525219</v>
      </c>
      <c r="O321" s="229">
        <v>2635091</v>
      </c>
      <c r="P321" s="229">
        <v>2498617</v>
      </c>
      <c r="Q321" s="229">
        <v>2437143</v>
      </c>
      <c r="R321" s="229">
        <v>2307589</v>
      </c>
      <c r="S321" s="229">
        <v>3935257</v>
      </c>
      <c r="T321" s="229">
        <f t="shared" si="109"/>
        <v>2338228</v>
      </c>
      <c r="U321" s="229">
        <f t="shared" si="107"/>
        <v>2338228</v>
      </c>
      <c r="V321" s="356">
        <f t="shared" si="108"/>
        <v>2338228</v>
      </c>
      <c r="W321" s="356">
        <v>0</v>
      </c>
      <c r="X321" s="356">
        <f t="shared" si="102"/>
        <v>2338228</v>
      </c>
      <c r="Y321" s="229">
        <v>0</v>
      </c>
      <c r="Z321" s="229">
        <f t="shared" si="103"/>
        <v>2338228</v>
      </c>
      <c r="AA321" s="276" t="s">
        <v>15</v>
      </c>
      <c r="AB321" s="270">
        <f>SUMIF('Allocation Factors'!$B$3:$B$89,'Accumulated Deferred Income Tax'!AA321,'Allocation Factors'!$P$3:$P$89)</f>
        <v>0</v>
      </c>
      <c r="AC321" s="271">
        <f t="shared" si="104"/>
        <v>0</v>
      </c>
      <c r="AD321" s="271">
        <f t="shared" si="105"/>
        <v>0</v>
      </c>
      <c r="AE321" s="30">
        <f t="shared" si="106"/>
        <v>0</v>
      </c>
    </row>
    <row r="322" spans="1:31">
      <c r="A322" s="297">
        <v>287942</v>
      </c>
      <c r="B322" s="29">
        <v>283</v>
      </c>
      <c r="C322" s="73" t="s">
        <v>62</v>
      </c>
      <c r="D322" s="273">
        <v>430.11200000000002</v>
      </c>
      <c r="E322" s="29" t="s">
        <v>8</v>
      </c>
      <c r="F322" s="29" t="s">
        <v>9</v>
      </c>
      <c r="G322" s="229">
        <v>-77268</v>
      </c>
      <c r="H322" s="229">
        <v>-94126</v>
      </c>
      <c r="I322" s="229">
        <v>-102656</v>
      </c>
      <c r="J322" s="229">
        <v>-104760</v>
      </c>
      <c r="K322" s="229">
        <v>-99649</v>
      </c>
      <c r="L322" s="229">
        <v>-92572</v>
      </c>
      <c r="M322" s="229">
        <v>-201696</v>
      </c>
      <c r="N322" s="229">
        <v>-197176</v>
      </c>
      <c r="O322" s="229">
        <v>-242778</v>
      </c>
      <c r="P322" s="229">
        <v>-323129</v>
      </c>
      <c r="Q322" s="229">
        <v>-343825</v>
      </c>
      <c r="R322" s="229">
        <v>-339302</v>
      </c>
      <c r="S322" s="229">
        <v>-321724</v>
      </c>
      <c r="T322" s="229">
        <f t="shared" si="109"/>
        <v>-195097</v>
      </c>
      <c r="U322" s="229">
        <f t="shared" si="107"/>
        <v>-195097</v>
      </c>
      <c r="V322" s="356">
        <f t="shared" si="108"/>
        <v>-195097</v>
      </c>
      <c r="W322" s="356">
        <v>0</v>
      </c>
      <c r="X322" s="356">
        <f t="shared" si="102"/>
        <v>-195097</v>
      </c>
      <c r="Y322" s="229">
        <v>0</v>
      </c>
      <c r="Z322" s="229">
        <f t="shared" si="103"/>
        <v>-195097</v>
      </c>
      <c r="AA322" s="75" t="s">
        <v>15</v>
      </c>
      <c r="AB322" s="270">
        <f>SUMIF('Allocation Factors'!$B$3:$B$89,'Accumulated Deferred Income Tax'!AA322,'Allocation Factors'!$P$3:$P$89)</f>
        <v>0</v>
      </c>
      <c r="AC322" s="271">
        <f t="shared" si="104"/>
        <v>0</v>
      </c>
      <c r="AD322" s="271">
        <f t="shared" si="105"/>
        <v>0</v>
      </c>
      <c r="AE322" s="30">
        <f t="shared" si="106"/>
        <v>0</v>
      </c>
    </row>
    <row r="323" spans="1:31" s="201" customFormat="1">
      <c r="A323" s="29">
        <v>287966</v>
      </c>
      <c r="B323" s="29">
        <v>283</v>
      </c>
      <c r="C323" s="28" t="s">
        <v>538</v>
      </c>
      <c r="D323" s="273">
        <v>415.834</v>
      </c>
      <c r="E323" s="29" t="s">
        <v>8</v>
      </c>
      <c r="F323" s="276" t="s">
        <v>333</v>
      </c>
      <c r="G323" s="229">
        <v>-485143</v>
      </c>
      <c r="H323" s="229">
        <v>-3186197</v>
      </c>
      <c r="I323" s="229">
        <v>-5575053</v>
      </c>
      <c r="J323" s="229">
        <v>-6449871</v>
      </c>
      <c r="K323" s="229">
        <v>-5350346</v>
      </c>
      <c r="L323" s="229">
        <v>-3642752</v>
      </c>
      <c r="M323" s="229">
        <v>-1792457</v>
      </c>
      <c r="N323" s="229">
        <v>-11434</v>
      </c>
      <c r="O323" s="229">
        <v>-11434</v>
      </c>
      <c r="P323" s="229">
        <v>0</v>
      </c>
      <c r="Q323" s="229">
        <v>0</v>
      </c>
      <c r="R323" s="229">
        <v>0</v>
      </c>
      <c r="S323" s="229">
        <v>-1293381</v>
      </c>
      <c r="T323" s="229">
        <f t="shared" si="109"/>
        <v>-2242401</v>
      </c>
      <c r="U323" s="229">
        <f t="shared" si="107"/>
        <v>-2242401</v>
      </c>
      <c r="V323" s="356">
        <f t="shared" si="108"/>
        <v>-2242401</v>
      </c>
      <c r="W323" s="356">
        <v>0</v>
      </c>
      <c r="X323" s="356">
        <f t="shared" si="102"/>
        <v>0</v>
      </c>
      <c r="Y323" s="229">
        <v>0</v>
      </c>
      <c r="Z323" s="229">
        <f t="shared" si="103"/>
        <v>0</v>
      </c>
      <c r="AA323" s="276" t="s">
        <v>331</v>
      </c>
      <c r="AB323" s="270">
        <f>SUMIF('Allocation Factors'!$B$3:$B$89,'Accumulated Deferred Income Tax'!AA323,'Allocation Factors'!$P$3:$P$89)</f>
        <v>0</v>
      </c>
      <c r="AC323" s="271">
        <f t="shared" si="104"/>
        <v>0</v>
      </c>
      <c r="AD323" s="271">
        <f t="shared" si="105"/>
        <v>0</v>
      </c>
      <c r="AE323" s="30">
        <f t="shared" si="106"/>
        <v>0</v>
      </c>
    </row>
    <row r="324" spans="1:31" s="201" customFormat="1">
      <c r="A324" s="29">
        <v>287971</v>
      </c>
      <c r="B324" s="29">
        <v>283</v>
      </c>
      <c r="C324" s="90" t="s">
        <v>465</v>
      </c>
      <c r="D324" s="273">
        <v>415.86799999999999</v>
      </c>
      <c r="E324" s="29" t="s">
        <v>8</v>
      </c>
      <c r="F324" s="276" t="s">
        <v>9</v>
      </c>
      <c r="G324" s="229">
        <v>-1754302</v>
      </c>
      <c r="H324" s="229">
        <v>-1848306</v>
      </c>
      <c r="I324" s="229">
        <v>-1977152</v>
      </c>
      <c r="J324" s="229">
        <v>-2097858</v>
      </c>
      <c r="K324" s="229">
        <v>-2207455</v>
      </c>
      <c r="L324" s="229">
        <v>-2286128</v>
      </c>
      <c r="M324" s="229">
        <v>-2393394</v>
      </c>
      <c r="N324" s="229">
        <v>-2525219</v>
      </c>
      <c r="O324" s="229">
        <v>-2635091</v>
      </c>
      <c r="P324" s="229">
        <v>-2498617</v>
      </c>
      <c r="Q324" s="229">
        <v>-2437143</v>
      </c>
      <c r="R324" s="229">
        <v>-2307589</v>
      </c>
      <c r="S324" s="229">
        <v>-3935257</v>
      </c>
      <c r="T324" s="229">
        <f t="shared" si="109"/>
        <v>-2338228</v>
      </c>
      <c r="U324" s="229">
        <f t="shared" si="107"/>
        <v>-2338228</v>
      </c>
      <c r="V324" s="356">
        <f t="shared" si="108"/>
        <v>-2338228</v>
      </c>
      <c r="W324" s="356">
        <v>0</v>
      </c>
      <c r="X324" s="356">
        <f t="shared" ref="X324:X341" si="110">IF(F324="U",V324,0)</f>
        <v>-2338228</v>
      </c>
      <c r="Y324" s="229">
        <v>0</v>
      </c>
      <c r="Z324" s="229">
        <f t="shared" ref="Z324:Z341" si="111">SUM(X324:Y324)</f>
        <v>-2338228</v>
      </c>
      <c r="AA324" s="276" t="s">
        <v>15</v>
      </c>
      <c r="AB324" s="270">
        <f>SUMIF('Allocation Factors'!$B$3:$B$89,'Accumulated Deferred Income Tax'!AA324,'Allocation Factors'!$P$3:$P$89)</f>
        <v>0</v>
      </c>
      <c r="AC324" s="271">
        <f t="shared" ref="AC324:AC341" si="112">ROUND(X324*AB324,0)</f>
        <v>0</v>
      </c>
      <c r="AD324" s="271">
        <f t="shared" ref="AD324:AD341" si="113">ROUND(Y324*AB324,0)</f>
        <v>0</v>
      </c>
      <c r="AE324" s="30">
        <f t="shared" ref="AE324:AE341" si="114">SUM(AC324:AD324)</f>
        <v>0</v>
      </c>
    </row>
    <row r="325" spans="1:31" s="201" customFormat="1">
      <c r="A325" s="29">
        <v>287972</v>
      </c>
      <c r="B325" s="29">
        <v>283</v>
      </c>
      <c r="C325" s="90" t="s">
        <v>320</v>
      </c>
      <c r="D325" s="273">
        <v>320.28500000000003</v>
      </c>
      <c r="E325" s="29" t="s">
        <v>8</v>
      </c>
      <c r="F325" s="276" t="s">
        <v>333</v>
      </c>
      <c r="G325" s="229">
        <v>-295960</v>
      </c>
      <c r="H325" s="229">
        <v>-290426</v>
      </c>
      <c r="I325" s="229">
        <v>-284893</v>
      </c>
      <c r="J325" s="229">
        <v>-279359</v>
      </c>
      <c r="K325" s="229">
        <v>-273825</v>
      </c>
      <c r="L325" s="229">
        <v>-268292</v>
      </c>
      <c r="M325" s="229">
        <v>-212004</v>
      </c>
      <c r="N325" s="229">
        <v>-208470</v>
      </c>
      <c r="O325" s="229">
        <v>-204937</v>
      </c>
      <c r="P325" s="229">
        <v>-201404</v>
      </c>
      <c r="Q325" s="229">
        <v>-197870</v>
      </c>
      <c r="R325" s="229">
        <v>-194337</v>
      </c>
      <c r="S325" s="229">
        <v>-190803</v>
      </c>
      <c r="T325" s="229">
        <f t="shared" si="109"/>
        <v>-238267</v>
      </c>
      <c r="U325" s="229">
        <f t="shared" si="107"/>
        <v>-238267</v>
      </c>
      <c r="V325" s="356">
        <f t="shared" si="108"/>
        <v>-238267</v>
      </c>
      <c r="W325" s="356">
        <v>0</v>
      </c>
      <c r="X325" s="356">
        <f t="shared" si="110"/>
        <v>0</v>
      </c>
      <c r="Y325" s="229">
        <v>0</v>
      </c>
      <c r="Z325" s="229">
        <f t="shared" si="111"/>
        <v>0</v>
      </c>
      <c r="AA325" s="276" t="s">
        <v>331</v>
      </c>
      <c r="AB325" s="270">
        <f>SUMIF('Allocation Factors'!$B$3:$B$89,'Accumulated Deferred Income Tax'!AA325,'Allocation Factors'!$P$3:$P$89)</f>
        <v>0</v>
      </c>
      <c r="AC325" s="271">
        <f t="shared" si="112"/>
        <v>0</v>
      </c>
      <c r="AD325" s="271">
        <f t="shared" si="113"/>
        <v>0</v>
      </c>
      <c r="AE325" s="30">
        <f t="shared" si="114"/>
        <v>0</v>
      </c>
    </row>
    <row r="326" spans="1:31" s="201" customFormat="1">
      <c r="A326" s="29">
        <v>287975</v>
      </c>
      <c r="B326" s="29">
        <v>283</v>
      </c>
      <c r="C326" s="90" t="s">
        <v>625</v>
      </c>
      <c r="D326" s="273">
        <v>415.65499999999997</v>
      </c>
      <c r="E326" s="29" t="s">
        <v>8</v>
      </c>
      <c r="F326" s="276" t="s">
        <v>9</v>
      </c>
      <c r="G326" s="229">
        <v>0</v>
      </c>
      <c r="H326" s="229">
        <v>0</v>
      </c>
      <c r="I326" s="229">
        <v>0</v>
      </c>
      <c r="J326" s="229">
        <v>0</v>
      </c>
      <c r="K326" s="229">
        <v>-202169</v>
      </c>
      <c r="L326" s="229">
        <v>-202169</v>
      </c>
      <c r="M326" s="229">
        <v>0</v>
      </c>
      <c r="N326" s="229">
        <v>0</v>
      </c>
      <c r="O326" s="229">
        <v>0</v>
      </c>
      <c r="P326" s="229">
        <v>0</v>
      </c>
      <c r="Q326" s="229">
        <v>-204847</v>
      </c>
      <c r="R326" s="229">
        <v>-204847</v>
      </c>
      <c r="S326" s="229">
        <v>0</v>
      </c>
      <c r="T326" s="229">
        <f t="shared" si="109"/>
        <v>-67836</v>
      </c>
      <c r="U326" s="229">
        <f t="shared" ref="U326:U341" si="115">+T326</f>
        <v>-67836</v>
      </c>
      <c r="V326" s="356">
        <f t="shared" si="108"/>
        <v>-67836</v>
      </c>
      <c r="W326" s="356">
        <v>0</v>
      </c>
      <c r="X326" s="356">
        <f t="shared" si="110"/>
        <v>-67836</v>
      </c>
      <c r="Y326" s="229">
        <v>0</v>
      </c>
      <c r="Z326" s="229">
        <f t="shared" si="111"/>
        <v>-67836</v>
      </c>
      <c r="AA326" s="276" t="s">
        <v>15</v>
      </c>
      <c r="AB326" s="270">
        <f>SUMIF('Allocation Factors'!$B$3:$B$89,'Accumulated Deferred Income Tax'!AA326,'Allocation Factors'!$P$3:$P$89)</f>
        <v>0</v>
      </c>
      <c r="AC326" s="271">
        <f t="shared" si="112"/>
        <v>0</v>
      </c>
      <c r="AD326" s="271">
        <f t="shared" si="113"/>
        <v>0</v>
      </c>
      <c r="AE326" s="30">
        <f t="shared" si="114"/>
        <v>0</v>
      </c>
    </row>
    <row r="327" spans="1:31" s="201" customFormat="1">
      <c r="A327" s="29">
        <v>287977</v>
      </c>
      <c r="B327" s="29">
        <v>283</v>
      </c>
      <c r="C327" s="90" t="s">
        <v>315</v>
      </c>
      <c r="D327" s="273">
        <v>415.88499999999999</v>
      </c>
      <c r="E327" s="29" t="s">
        <v>8</v>
      </c>
      <c r="F327" s="276" t="s">
        <v>9</v>
      </c>
      <c r="G327" s="229">
        <v>-30206</v>
      </c>
      <c r="H327" s="229">
        <v>-26525</v>
      </c>
      <c r="I327" s="229">
        <v>-26525</v>
      </c>
      <c r="J327" s="229">
        <v>-26525</v>
      </c>
      <c r="K327" s="229">
        <v>-26525</v>
      </c>
      <c r="L327" s="229">
        <v>-26525</v>
      </c>
      <c r="M327" s="229">
        <v>-26525</v>
      </c>
      <c r="N327" s="229">
        <v>-26525</v>
      </c>
      <c r="O327" s="229">
        <v>-26525</v>
      </c>
      <c r="P327" s="229">
        <v>-26525</v>
      </c>
      <c r="Q327" s="229">
        <v>-26525</v>
      </c>
      <c r="R327" s="229">
        <v>-26525</v>
      </c>
      <c r="S327" s="229">
        <v>-26525</v>
      </c>
      <c r="T327" s="229">
        <f t="shared" si="109"/>
        <v>-26678</v>
      </c>
      <c r="U327" s="229">
        <f t="shared" si="115"/>
        <v>-26678</v>
      </c>
      <c r="V327" s="356">
        <f t="shared" si="108"/>
        <v>-26678</v>
      </c>
      <c r="W327" s="356">
        <v>0</v>
      </c>
      <c r="X327" s="356">
        <f t="shared" si="110"/>
        <v>-26678</v>
      </c>
      <c r="Y327" s="229">
        <v>0</v>
      </c>
      <c r="Z327" s="229">
        <f t="shared" si="111"/>
        <v>-26678</v>
      </c>
      <c r="AA327" s="276" t="s">
        <v>15</v>
      </c>
      <c r="AB327" s="270">
        <f>SUMIF('Allocation Factors'!$B$3:$B$89,'Accumulated Deferred Income Tax'!AA327,'Allocation Factors'!$P$3:$P$89)</f>
        <v>0</v>
      </c>
      <c r="AC327" s="271">
        <f t="shared" si="112"/>
        <v>0</v>
      </c>
      <c r="AD327" s="271">
        <f t="shared" si="113"/>
        <v>0</v>
      </c>
      <c r="AE327" s="30">
        <f t="shared" si="114"/>
        <v>0</v>
      </c>
    </row>
    <row r="328" spans="1:31" s="201" customFormat="1">
      <c r="A328" s="29">
        <v>287978</v>
      </c>
      <c r="B328" s="29">
        <v>283</v>
      </c>
      <c r="C328" s="90" t="s">
        <v>347</v>
      </c>
      <c r="D328" s="273">
        <v>415.90600000000001</v>
      </c>
      <c r="E328" s="29" t="s">
        <v>8</v>
      </c>
      <c r="F328" s="276" t="s">
        <v>9</v>
      </c>
      <c r="G328" s="229">
        <v>-47218</v>
      </c>
      <c r="H328" s="229">
        <v>-56020</v>
      </c>
      <c r="I328" s="229">
        <v>-46165</v>
      </c>
      <c r="J328" s="229">
        <v>-34731</v>
      </c>
      <c r="K328" s="229">
        <v>-49454</v>
      </c>
      <c r="L328" s="229">
        <v>-39837</v>
      </c>
      <c r="M328" s="229">
        <v>-28299</v>
      </c>
      <c r="N328" s="229">
        <v>-41356</v>
      </c>
      <c r="O328" s="229">
        <v>-28694</v>
      </c>
      <c r="P328" s="229">
        <v>-16490</v>
      </c>
      <c r="Q328" s="229">
        <v>-20664</v>
      </c>
      <c r="R328" s="229">
        <v>-10782</v>
      </c>
      <c r="S328" s="229">
        <v>-3204</v>
      </c>
      <c r="T328" s="229">
        <f t="shared" si="109"/>
        <v>-33142</v>
      </c>
      <c r="U328" s="229">
        <f t="shared" si="115"/>
        <v>-33142</v>
      </c>
      <c r="V328" s="356">
        <f t="shared" si="108"/>
        <v>-33142</v>
      </c>
      <c r="W328" s="356">
        <v>0</v>
      </c>
      <c r="X328" s="356">
        <f t="shared" si="110"/>
        <v>-33142</v>
      </c>
      <c r="Y328" s="229">
        <v>0</v>
      </c>
      <c r="Z328" s="229">
        <f t="shared" si="111"/>
        <v>-33142</v>
      </c>
      <c r="AA328" s="276" t="s">
        <v>15</v>
      </c>
      <c r="AB328" s="270">
        <f>SUMIF('Allocation Factors'!$B$3:$B$89,'Accumulated Deferred Income Tax'!AA328,'Allocation Factors'!$P$3:$P$89)</f>
        <v>0</v>
      </c>
      <c r="AC328" s="271">
        <f t="shared" si="112"/>
        <v>0</v>
      </c>
      <c r="AD328" s="271">
        <f t="shared" si="113"/>
        <v>0</v>
      </c>
      <c r="AE328" s="30">
        <f t="shared" si="114"/>
        <v>0</v>
      </c>
    </row>
    <row r="329" spans="1:31" s="201" customFormat="1">
      <c r="A329" s="29">
        <v>287981</v>
      </c>
      <c r="B329" s="29">
        <v>283</v>
      </c>
      <c r="C329" s="90" t="s">
        <v>353</v>
      </c>
      <c r="D329" s="273">
        <v>415.92</v>
      </c>
      <c r="E329" s="29" t="s">
        <v>8</v>
      </c>
      <c r="F329" s="276" t="s">
        <v>9</v>
      </c>
      <c r="G329" s="229">
        <v>9469</v>
      </c>
      <c r="H329" s="229">
        <v>26321</v>
      </c>
      <c r="I329" s="229">
        <v>34862</v>
      </c>
      <c r="J329" s="229">
        <v>36938</v>
      </c>
      <c r="K329" s="229">
        <v>31833</v>
      </c>
      <c r="L329" s="229">
        <v>24756</v>
      </c>
      <c r="M329" s="229">
        <v>21367</v>
      </c>
      <c r="N329" s="229">
        <v>16600</v>
      </c>
      <c r="O329" s="229">
        <v>11125</v>
      </c>
      <c r="P329" s="229">
        <v>2960</v>
      </c>
      <c r="Q329" s="229">
        <v>-8320</v>
      </c>
      <c r="R329" s="229">
        <v>-13345</v>
      </c>
      <c r="S329" s="229">
        <v>-8574</v>
      </c>
      <c r="T329" s="229">
        <f t="shared" si="109"/>
        <v>15462</v>
      </c>
      <c r="U329" s="229">
        <f t="shared" si="115"/>
        <v>15462</v>
      </c>
      <c r="V329" s="356">
        <f t="shared" si="108"/>
        <v>15462</v>
      </c>
      <c r="W329" s="356">
        <v>0</v>
      </c>
      <c r="X329" s="356">
        <f t="shared" si="110"/>
        <v>15462</v>
      </c>
      <c r="Y329" s="229">
        <v>0</v>
      </c>
      <c r="Z329" s="229">
        <f t="shared" si="111"/>
        <v>15462</v>
      </c>
      <c r="AA329" s="276" t="s">
        <v>29</v>
      </c>
      <c r="AB329" s="270">
        <f>SUMIF('Allocation Factors'!$B$3:$B$89,'Accumulated Deferred Income Tax'!AA329,'Allocation Factors'!$P$3:$P$89)</f>
        <v>0</v>
      </c>
      <c r="AC329" s="271">
        <f t="shared" si="112"/>
        <v>0</v>
      </c>
      <c r="AD329" s="271">
        <f t="shared" si="113"/>
        <v>0</v>
      </c>
      <c r="AE329" s="30">
        <f t="shared" si="114"/>
        <v>0</v>
      </c>
    </row>
    <row r="330" spans="1:31" s="201" customFormat="1">
      <c r="A330" s="29">
        <v>287982</v>
      </c>
      <c r="B330" s="29">
        <v>283</v>
      </c>
      <c r="C330" s="90" t="s">
        <v>355</v>
      </c>
      <c r="D330" s="273">
        <v>415.92099999999999</v>
      </c>
      <c r="E330" s="29" t="s">
        <v>8</v>
      </c>
      <c r="F330" s="276" t="s">
        <v>9</v>
      </c>
      <c r="G330" s="229">
        <v>-409259</v>
      </c>
      <c r="H330" s="229">
        <v>-406636</v>
      </c>
      <c r="I330" s="229">
        <v>-404012</v>
      </c>
      <c r="J330" s="229">
        <v>-401389</v>
      </c>
      <c r="K330" s="229">
        <v>-398765</v>
      </c>
      <c r="L330" s="229">
        <v>-396142</v>
      </c>
      <c r="M330" s="229">
        <v>-393518</v>
      </c>
      <c r="N330" s="229">
        <v>-390895</v>
      </c>
      <c r="O330" s="229">
        <v>-388271</v>
      </c>
      <c r="P330" s="229">
        <v>-385648</v>
      </c>
      <c r="Q330" s="229">
        <v>-383025</v>
      </c>
      <c r="R330" s="229">
        <v>-380401</v>
      </c>
      <c r="S330" s="229">
        <v>-377778</v>
      </c>
      <c r="T330" s="229">
        <f t="shared" si="109"/>
        <v>-393518</v>
      </c>
      <c r="U330" s="229">
        <f t="shared" si="115"/>
        <v>-393518</v>
      </c>
      <c r="V330" s="356">
        <f t="shared" si="108"/>
        <v>-393518</v>
      </c>
      <c r="W330" s="356">
        <v>0</v>
      </c>
      <c r="X330" s="356">
        <f t="shared" si="110"/>
        <v>-393518</v>
      </c>
      <c r="Y330" s="229">
        <v>0</v>
      </c>
      <c r="Z330" s="229">
        <f t="shared" si="111"/>
        <v>-393518</v>
      </c>
      <c r="AA330" s="276" t="s">
        <v>28</v>
      </c>
      <c r="AB330" s="270">
        <f>SUMIF('Allocation Factors'!$B$3:$B$89,'Accumulated Deferred Income Tax'!AA330,'Allocation Factors'!$P$3:$P$89)</f>
        <v>0</v>
      </c>
      <c r="AC330" s="271">
        <f t="shared" si="112"/>
        <v>0</v>
      </c>
      <c r="AD330" s="271">
        <f t="shared" si="113"/>
        <v>0</v>
      </c>
      <c r="AE330" s="30">
        <f t="shared" si="114"/>
        <v>0</v>
      </c>
    </row>
    <row r="331" spans="1:31" s="201" customFormat="1">
      <c r="A331" s="29">
        <v>287983</v>
      </c>
      <c r="B331" s="29">
        <v>283</v>
      </c>
      <c r="C331" s="90" t="s">
        <v>356</v>
      </c>
      <c r="D331" s="273">
        <v>415.92200000000003</v>
      </c>
      <c r="E331" s="29" t="s">
        <v>8</v>
      </c>
      <c r="F331" s="276" t="s">
        <v>9</v>
      </c>
      <c r="G331" s="229">
        <v>-1413356</v>
      </c>
      <c r="H331" s="229">
        <v>-1404296</v>
      </c>
      <c r="I331" s="229">
        <v>-1395236</v>
      </c>
      <c r="J331" s="229">
        <v>-1386176</v>
      </c>
      <c r="K331" s="229">
        <v>-1377116</v>
      </c>
      <c r="L331" s="229">
        <v>-1368056</v>
      </c>
      <c r="M331" s="229">
        <v>-1358996</v>
      </c>
      <c r="N331" s="229">
        <v>-1349936</v>
      </c>
      <c r="O331" s="229">
        <v>-1340876</v>
      </c>
      <c r="P331" s="229">
        <v>-1331817</v>
      </c>
      <c r="Q331" s="229">
        <v>-1322755</v>
      </c>
      <c r="R331" s="229">
        <v>-1313670</v>
      </c>
      <c r="S331" s="229">
        <v>-1304637</v>
      </c>
      <c r="T331" s="229">
        <f t="shared" si="109"/>
        <v>-1358994</v>
      </c>
      <c r="U331" s="229">
        <f t="shared" si="115"/>
        <v>-1358994</v>
      </c>
      <c r="V331" s="356">
        <f t="shared" si="108"/>
        <v>-1358994</v>
      </c>
      <c r="W331" s="356">
        <v>0</v>
      </c>
      <c r="X331" s="356">
        <f t="shared" si="110"/>
        <v>-1358994</v>
      </c>
      <c r="Y331" s="229">
        <v>0</v>
      </c>
      <c r="Z331" s="229">
        <f t="shared" si="111"/>
        <v>-1358994</v>
      </c>
      <c r="AA331" s="276" t="s">
        <v>32</v>
      </c>
      <c r="AB331" s="270">
        <f>SUMIF('Allocation Factors'!$B$3:$B$89,'Accumulated Deferred Income Tax'!AA331,'Allocation Factors'!$P$3:$P$89)</f>
        <v>0</v>
      </c>
      <c r="AC331" s="271">
        <f t="shared" si="112"/>
        <v>0</v>
      </c>
      <c r="AD331" s="271">
        <f t="shared" si="113"/>
        <v>0</v>
      </c>
      <c r="AE331" s="30">
        <f t="shared" si="114"/>
        <v>0</v>
      </c>
    </row>
    <row r="332" spans="1:31" s="201" customFormat="1">
      <c r="A332" s="29">
        <v>287984</v>
      </c>
      <c r="B332" s="29">
        <v>283</v>
      </c>
      <c r="C332" s="90" t="s">
        <v>354</v>
      </c>
      <c r="D332" s="273">
        <v>415.923</v>
      </c>
      <c r="E332" s="29" t="s">
        <v>8</v>
      </c>
      <c r="F332" s="276" t="s">
        <v>9</v>
      </c>
      <c r="G332" s="229">
        <v>-294202</v>
      </c>
      <c r="H332" s="229">
        <v>-284396</v>
      </c>
      <c r="I332" s="229">
        <v>-274589</v>
      </c>
      <c r="J332" s="229">
        <v>-264782</v>
      </c>
      <c r="K332" s="229">
        <v>-254975</v>
      </c>
      <c r="L332" s="229">
        <v>-245169</v>
      </c>
      <c r="M332" s="229">
        <v>-235362</v>
      </c>
      <c r="N332" s="229">
        <v>-225555</v>
      </c>
      <c r="O332" s="229">
        <v>-215748</v>
      </c>
      <c r="P332" s="229">
        <v>-205942</v>
      </c>
      <c r="Q332" s="229">
        <v>-196135</v>
      </c>
      <c r="R332" s="229">
        <v>-186328</v>
      </c>
      <c r="S332" s="229">
        <v>-176521</v>
      </c>
      <c r="T332" s="229">
        <f t="shared" si="109"/>
        <v>-235362</v>
      </c>
      <c r="U332" s="229">
        <f t="shared" si="115"/>
        <v>-235362</v>
      </c>
      <c r="V332" s="356">
        <f t="shared" si="108"/>
        <v>-235362</v>
      </c>
      <c r="W332" s="356">
        <v>0</v>
      </c>
      <c r="X332" s="356">
        <f t="shared" si="110"/>
        <v>-235362</v>
      </c>
      <c r="Y332" s="229">
        <v>0</v>
      </c>
      <c r="Z332" s="229">
        <f t="shared" si="111"/>
        <v>-235362</v>
      </c>
      <c r="AA332" s="276" t="s">
        <v>29</v>
      </c>
      <c r="AB332" s="270">
        <f>SUMIF('Allocation Factors'!$B$3:$B$89,'Accumulated Deferred Income Tax'!AA332,'Allocation Factors'!$P$3:$P$89)</f>
        <v>0</v>
      </c>
      <c r="AC332" s="271">
        <f t="shared" si="112"/>
        <v>0</v>
      </c>
      <c r="AD332" s="271">
        <f t="shared" si="113"/>
        <v>0</v>
      </c>
      <c r="AE332" s="30">
        <f t="shared" si="114"/>
        <v>0</v>
      </c>
    </row>
    <row r="333" spans="1:31" s="201" customFormat="1">
      <c r="A333" s="29">
        <v>287985</v>
      </c>
      <c r="B333" s="29">
        <v>283</v>
      </c>
      <c r="C333" s="90" t="s">
        <v>357</v>
      </c>
      <c r="D333" s="273">
        <v>415.92399999999998</v>
      </c>
      <c r="E333" s="29" t="s">
        <v>8</v>
      </c>
      <c r="F333" s="276" t="s">
        <v>9</v>
      </c>
      <c r="G333" s="229">
        <v>-2117300</v>
      </c>
      <c r="H333" s="229">
        <v>-2046724</v>
      </c>
      <c r="I333" s="229">
        <v>-1976147</v>
      </c>
      <c r="J333" s="229">
        <v>-1905570</v>
      </c>
      <c r="K333" s="229">
        <v>-1834994</v>
      </c>
      <c r="L333" s="229">
        <v>-1764417</v>
      </c>
      <c r="M333" s="229">
        <v>-1693840</v>
      </c>
      <c r="N333" s="229">
        <v>-1623264</v>
      </c>
      <c r="O333" s="229">
        <v>-1552687</v>
      </c>
      <c r="P333" s="229">
        <v>-1482110</v>
      </c>
      <c r="Q333" s="229">
        <v>-1411533</v>
      </c>
      <c r="R333" s="229">
        <v>-1340957</v>
      </c>
      <c r="S333" s="229">
        <v>-1270380</v>
      </c>
      <c r="T333" s="229">
        <f t="shared" si="109"/>
        <v>-1693840</v>
      </c>
      <c r="U333" s="229">
        <f t="shared" si="115"/>
        <v>-1693840</v>
      </c>
      <c r="V333" s="356">
        <f t="shared" si="108"/>
        <v>-1693840</v>
      </c>
      <c r="W333" s="356">
        <v>0</v>
      </c>
      <c r="X333" s="356">
        <f t="shared" si="110"/>
        <v>-1693840</v>
      </c>
      <c r="Y333" s="229">
        <v>0</v>
      </c>
      <c r="Z333" s="229">
        <f t="shared" si="111"/>
        <v>-1693840</v>
      </c>
      <c r="AA333" s="276" t="s">
        <v>28</v>
      </c>
      <c r="AB333" s="270">
        <f>SUMIF('Allocation Factors'!$B$3:$B$89,'Accumulated Deferred Income Tax'!AA333,'Allocation Factors'!$P$3:$P$89)</f>
        <v>0</v>
      </c>
      <c r="AC333" s="271">
        <f t="shared" si="112"/>
        <v>0</v>
      </c>
      <c r="AD333" s="271">
        <f t="shared" si="113"/>
        <v>0</v>
      </c>
      <c r="AE333" s="30">
        <f t="shared" si="114"/>
        <v>0</v>
      </c>
    </row>
    <row r="334" spans="1:31" s="201" customFormat="1">
      <c r="A334" s="29">
        <v>287986</v>
      </c>
      <c r="B334" s="29">
        <v>283</v>
      </c>
      <c r="C334" s="90" t="s">
        <v>358</v>
      </c>
      <c r="D334" s="273">
        <v>415.92500000000001</v>
      </c>
      <c r="E334" s="29" t="s">
        <v>8</v>
      </c>
      <c r="F334" s="276" t="s">
        <v>9</v>
      </c>
      <c r="G334" s="229">
        <v>-711897</v>
      </c>
      <c r="H334" s="229">
        <v>-688168</v>
      </c>
      <c r="I334" s="229">
        <v>-664438</v>
      </c>
      <c r="J334" s="229">
        <v>-640708</v>
      </c>
      <c r="K334" s="229">
        <v>-616978</v>
      </c>
      <c r="L334" s="229">
        <v>-593248</v>
      </c>
      <c r="M334" s="229">
        <v>-569518</v>
      </c>
      <c r="N334" s="229">
        <v>-545788</v>
      </c>
      <c r="O334" s="229">
        <v>-522058</v>
      </c>
      <c r="P334" s="229">
        <v>-498328</v>
      </c>
      <c r="Q334" s="229">
        <v>-474598</v>
      </c>
      <c r="R334" s="229">
        <v>-450868</v>
      </c>
      <c r="S334" s="229">
        <v>-427138</v>
      </c>
      <c r="T334" s="229">
        <f t="shared" si="109"/>
        <v>-569518</v>
      </c>
      <c r="U334" s="229">
        <f t="shared" si="115"/>
        <v>-569518</v>
      </c>
      <c r="V334" s="356">
        <f t="shared" si="108"/>
        <v>-569518</v>
      </c>
      <c r="W334" s="356">
        <v>0</v>
      </c>
      <c r="X334" s="356">
        <f t="shared" si="110"/>
        <v>-569518</v>
      </c>
      <c r="Y334" s="229">
        <v>0</v>
      </c>
      <c r="Z334" s="229">
        <f t="shared" si="111"/>
        <v>-569518</v>
      </c>
      <c r="AA334" s="276" t="s">
        <v>32</v>
      </c>
      <c r="AB334" s="270">
        <f>SUMIF('Allocation Factors'!$B$3:$B$89,'Accumulated Deferred Income Tax'!AA334,'Allocation Factors'!$P$3:$P$89)</f>
        <v>0</v>
      </c>
      <c r="AC334" s="271">
        <f t="shared" si="112"/>
        <v>0</v>
      </c>
      <c r="AD334" s="271">
        <f t="shared" si="113"/>
        <v>0</v>
      </c>
      <c r="AE334" s="30">
        <f t="shared" si="114"/>
        <v>0</v>
      </c>
    </row>
    <row r="335" spans="1:31">
      <c r="A335" s="29">
        <v>287996</v>
      </c>
      <c r="B335" s="29">
        <v>283</v>
      </c>
      <c r="C335" s="90" t="s">
        <v>532</v>
      </c>
      <c r="D335" s="273">
        <v>415.67500000000001</v>
      </c>
      <c r="E335" s="29" t="s">
        <v>8</v>
      </c>
      <c r="F335" s="276" t="s">
        <v>9</v>
      </c>
      <c r="G335" s="229">
        <v>-115831</v>
      </c>
      <c r="H335" s="229">
        <v>-114140</v>
      </c>
      <c r="I335" s="229">
        <v>-112449</v>
      </c>
      <c r="J335" s="229">
        <v>-110758</v>
      </c>
      <c r="K335" s="229">
        <v>-109067</v>
      </c>
      <c r="L335" s="229">
        <v>-107376</v>
      </c>
      <c r="M335" s="229">
        <v>-105685</v>
      </c>
      <c r="N335" s="229">
        <v>-103994</v>
      </c>
      <c r="O335" s="229">
        <v>-102303</v>
      </c>
      <c r="P335" s="229">
        <v>-100612</v>
      </c>
      <c r="Q335" s="229">
        <v>-98921</v>
      </c>
      <c r="R335" s="229">
        <v>-97230</v>
      </c>
      <c r="S335" s="229">
        <v>-95539</v>
      </c>
      <c r="T335" s="229">
        <f t="shared" si="109"/>
        <v>-105685</v>
      </c>
      <c r="U335" s="229">
        <f t="shared" si="115"/>
        <v>-105685</v>
      </c>
      <c r="V335" s="356">
        <f t="shared" si="108"/>
        <v>-105685</v>
      </c>
      <c r="W335" s="356">
        <v>0</v>
      </c>
      <c r="X335" s="356">
        <f t="shared" si="110"/>
        <v>-105685</v>
      </c>
      <c r="Y335" s="229">
        <v>0</v>
      </c>
      <c r="Z335" s="229">
        <f t="shared" si="111"/>
        <v>-105685</v>
      </c>
      <c r="AA335" s="276" t="s">
        <v>15</v>
      </c>
      <c r="AB335" s="270">
        <f>SUMIF('Allocation Factors'!$B$3:$B$89,'Accumulated Deferred Income Tax'!AA335,'Allocation Factors'!$P$3:$P$89)</f>
        <v>0</v>
      </c>
      <c r="AC335" s="271">
        <f t="shared" si="112"/>
        <v>0</v>
      </c>
      <c r="AD335" s="271">
        <f t="shared" si="113"/>
        <v>0</v>
      </c>
      <c r="AE335" s="30">
        <f t="shared" si="114"/>
        <v>0</v>
      </c>
    </row>
    <row r="336" spans="1:31">
      <c r="A336" s="29">
        <v>287997</v>
      </c>
      <c r="B336" s="29">
        <v>283</v>
      </c>
      <c r="C336" s="90" t="s">
        <v>372</v>
      </c>
      <c r="D336" s="273">
        <v>415.86200000000002</v>
      </c>
      <c r="E336" s="29" t="s">
        <v>8</v>
      </c>
      <c r="F336" s="276" t="s">
        <v>9</v>
      </c>
      <c r="G336" s="229">
        <v>-47846</v>
      </c>
      <c r="H336" s="229">
        <v>-47846</v>
      </c>
      <c r="I336" s="229">
        <v>-47846</v>
      </c>
      <c r="J336" s="229">
        <v>-47846</v>
      </c>
      <c r="K336" s="229">
        <v>-48663</v>
      </c>
      <c r="L336" s="229">
        <v>-48756</v>
      </c>
      <c r="M336" s="229">
        <v>-48856</v>
      </c>
      <c r="N336" s="229">
        <v>-48959</v>
      </c>
      <c r="O336" s="229">
        <v>-49063</v>
      </c>
      <c r="P336" s="229">
        <v>-49164</v>
      </c>
      <c r="Q336" s="229">
        <v>-49266</v>
      </c>
      <c r="R336" s="229">
        <v>-49368</v>
      </c>
      <c r="S336" s="229">
        <v>-49468</v>
      </c>
      <c r="T336" s="229">
        <f t="shared" ref="T336:T341" si="116">ROUND(((G336*1)+(SUM(H336:R336)*2)+(S336*1))/24,0)</f>
        <v>-48691</v>
      </c>
      <c r="U336" s="229">
        <f t="shared" si="115"/>
        <v>-48691</v>
      </c>
      <c r="V336" s="356">
        <f t="shared" si="108"/>
        <v>-48691</v>
      </c>
      <c r="W336" s="356">
        <v>0</v>
      </c>
      <c r="X336" s="356">
        <f t="shared" si="110"/>
        <v>-48691</v>
      </c>
      <c r="Y336" s="229">
        <v>0</v>
      </c>
      <c r="Z336" s="229">
        <f t="shared" si="111"/>
        <v>-48691</v>
      </c>
      <c r="AA336" s="276" t="s">
        <v>15</v>
      </c>
      <c r="AB336" s="270">
        <f>SUMIF('Allocation Factors'!$B$3:$B$89,'Accumulated Deferred Income Tax'!AA336,'Allocation Factors'!$P$3:$P$89)</f>
        <v>0</v>
      </c>
      <c r="AC336" s="271">
        <f t="shared" si="112"/>
        <v>0</v>
      </c>
      <c r="AD336" s="271">
        <f t="shared" si="113"/>
        <v>0</v>
      </c>
      <c r="AE336" s="30">
        <f t="shared" si="114"/>
        <v>0</v>
      </c>
    </row>
    <row r="337" spans="1:31">
      <c r="A337" s="29">
        <v>287998</v>
      </c>
      <c r="B337" s="29">
        <v>283</v>
      </c>
      <c r="C337" s="90" t="s">
        <v>626</v>
      </c>
      <c r="D337" s="273" t="s">
        <v>8</v>
      </c>
      <c r="E337" s="29" t="s">
        <v>8</v>
      </c>
      <c r="F337" s="276" t="s">
        <v>333</v>
      </c>
      <c r="G337" s="229">
        <v>378743270</v>
      </c>
      <c r="H337" s="229">
        <v>378845173</v>
      </c>
      <c r="I337" s="229">
        <v>379194691</v>
      </c>
      <c r="J337" s="229">
        <v>379649424</v>
      </c>
      <c r="K337" s="229">
        <v>379615176</v>
      </c>
      <c r="L337" s="229">
        <v>382433398</v>
      </c>
      <c r="M337" s="229">
        <v>380110450</v>
      </c>
      <c r="N337" s="229">
        <v>380255788</v>
      </c>
      <c r="O337" s="229">
        <v>381604100</v>
      </c>
      <c r="P337" s="229">
        <v>381857894</v>
      </c>
      <c r="Q337" s="229">
        <v>382007434</v>
      </c>
      <c r="R337" s="229">
        <v>382253034</v>
      </c>
      <c r="S337" s="229">
        <v>380685859</v>
      </c>
      <c r="T337" s="229">
        <f t="shared" si="116"/>
        <v>380628427</v>
      </c>
      <c r="U337" s="229">
        <f t="shared" si="115"/>
        <v>380628427</v>
      </c>
      <c r="V337" s="356">
        <f t="shared" si="108"/>
        <v>380628427</v>
      </c>
      <c r="W337" s="356">
        <v>0</v>
      </c>
      <c r="X337" s="356">
        <f t="shared" si="110"/>
        <v>0</v>
      </c>
      <c r="Y337" s="229">
        <v>0</v>
      </c>
      <c r="Z337" s="229">
        <f t="shared" si="111"/>
        <v>0</v>
      </c>
      <c r="AA337" s="276" t="s">
        <v>331</v>
      </c>
      <c r="AB337" s="270">
        <f>SUMIF('Allocation Factors'!$B$3:$B$89,'Accumulated Deferred Income Tax'!AA337,'Allocation Factors'!$P$3:$P$89)</f>
        <v>0</v>
      </c>
      <c r="AC337" s="271">
        <f t="shared" si="112"/>
        <v>0</v>
      </c>
      <c r="AD337" s="271">
        <f t="shared" si="113"/>
        <v>0</v>
      </c>
      <c r="AE337" s="30">
        <f t="shared" si="114"/>
        <v>0</v>
      </c>
    </row>
    <row r="338" spans="1:31">
      <c r="A338" s="29">
        <v>287999</v>
      </c>
      <c r="B338" s="29">
        <v>283</v>
      </c>
      <c r="C338" s="90" t="s">
        <v>627</v>
      </c>
      <c r="D338" s="273" t="s">
        <v>8</v>
      </c>
      <c r="E338" s="29" t="s">
        <v>8</v>
      </c>
      <c r="F338" s="276" t="s">
        <v>333</v>
      </c>
      <c r="G338" s="229">
        <v>-378743270</v>
      </c>
      <c r="H338" s="229">
        <v>-378845173</v>
      </c>
      <c r="I338" s="229">
        <v>-379194691</v>
      </c>
      <c r="J338" s="229">
        <v>-379649424</v>
      </c>
      <c r="K338" s="229">
        <v>-379615176</v>
      </c>
      <c r="L338" s="229">
        <v>-382433398</v>
      </c>
      <c r="M338" s="229">
        <v>-380110450</v>
      </c>
      <c r="N338" s="229">
        <v>-380255788</v>
      </c>
      <c r="O338" s="229">
        <v>-381604100</v>
      </c>
      <c r="P338" s="229">
        <v>-381857894</v>
      </c>
      <c r="Q338" s="229">
        <v>-382007434</v>
      </c>
      <c r="R338" s="229">
        <v>-382253034</v>
      </c>
      <c r="S338" s="229">
        <v>-380685859</v>
      </c>
      <c r="T338" s="229">
        <f t="shared" si="116"/>
        <v>-380628427</v>
      </c>
      <c r="U338" s="229">
        <f t="shared" si="115"/>
        <v>-380628427</v>
      </c>
      <c r="V338" s="356">
        <f t="shared" si="108"/>
        <v>-380628427</v>
      </c>
      <c r="W338" s="356">
        <v>0</v>
      </c>
      <c r="X338" s="356">
        <f t="shared" si="110"/>
        <v>0</v>
      </c>
      <c r="Y338" s="229">
        <v>0</v>
      </c>
      <c r="Z338" s="229">
        <f t="shared" si="111"/>
        <v>0</v>
      </c>
      <c r="AA338" s="276" t="s">
        <v>331</v>
      </c>
      <c r="AB338" s="270">
        <f>SUMIF('Allocation Factors'!$B$3:$B$89,'Accumulated Deferred Income Tax'!AA338,'Allocation Factors'!$P$3:$P$89)</f>
        <v>0</v>
      </c>
      <c r="AC338" s="271">
        <f t="shared" si="112"/>
        <v>0</v>
      </c>
      <c r="AD338" s="271">
        <f t="shared" si="113"/>
        <v>0</v>
      </c>
      <c r="AE338" s="30">
        <f t="shared" si="114"/>
        <v>0</v>
      </c>
    </row>
    <row r="339" spans="1:31">
      <c r="A339" s="29">
        <v>287998</v>
      </c>
      <c r="B339" s="29">
        <v>283</v>
      </c>
      <c r="C339" s="90" t="s">
        <v>628</v>
      </c>
      <c r="D339" s="273" t="s">
        <v>8</v>
      </c>
      <c r="E339" s="29" t="s">
        <v>8</v>
      </c>
      <c r="F339" s="276" t="s">
        <v>333</v>
      </c>
      <c r="G339" s="229">
        <v>110446</v>
      </c>
      <c r="H339" s="229">
        <v>88111</v>
      </c>
      <c r="I339" s="229">
        <v>67747</v>
      </c>
      <c r="J339" s="229">
        <v>-161866</v>
      </c>
      <c r="K339" s="229">
        <v>32011</v>
      </c>
      <c r="L339" s="229">
        <v>-37102</v>
      </c>
      <c r="M339" s="229">
        <v>-1063539</v>
      </c>
      <c r="N339" s="229">
        <v>-1125453</v>
      </c>
      <c r="O339" s="229">
        <v>-1183173</v>
      </c>
      <c r="P339" s="229">
        <v>-1239810</v>
      </c>
      <c r="Q339" s="229">
        <v>-1299107</v>
      </c>
      <c r="R339" s="229">
        <v>-1351656</v>
      </c>
      <c r="S339" s="229">
        <v>-1388737</v>
      </c>
      <c r="T339" s="229">
        <f t="shared" si="116"/>
        <v>-659415</v>
      </c>
      <c r="U339" s="229">
        <f t="shared" si="115"/>
        <v>-659415</v>
      </c>
      <c r="V339" s="356">
        <f t="shared" si="108"/>
        <v>-659415</v>
      </c>
      <c r="W339" s="356">
        <v>0</v>
      </c>
      <c r="X339" s="356">
        <f t="shared" si="110"/>
        <v>0</v>
      </c>
      <c r="Y339" s="229">
        <v>0</v>
      </c>
      <c r="Z339" s="229">
        <f t="shared" si="111"/>
        <v>0</v>
      </c>
      <c r="AA339" s="276" t="s">
        <v>331</v>
      </c>
      <c r="AB339" s="270">
        <f>SUMIF('Allocation Factors'!$B$3:$B$89,'Accumulated Deferred Income Tax'!AA339,'Allocation Factors'!$P$3:$P$89)</f>
        <v>0</v>
      </c>
      <c r="AC339" s="271">
        <f t="shared" si="112"/>
        <v>0</v>
      </c>
      <c r="AD339" s="271">
        <f t="shared" si="113"/>
        <v>0</v>
      </c>
      <c r="AE339" s="30">
        <f t="shared" si="114"/>
        <v>0</v>
      </c>
    </row>
    <row r="340" spans="1:31">
      <c r="A340" s="29">
        <v>287999</v>
      </c>
      <c r="B340" s="29">
        <v>283</v>
      </c>
      <c r="C340" s="90" t="s">
        <v>629</v>
      </c>
      <c r="D340" s="273" t="s">
        <v>8</v>
      </c>
      <c r="E340" s="29" t="s">
        <v>8</v>
      </c>
      <c r="F340" s="276" t="s">
        <v>333</v>
      </c>
      <c r="G340" s="229">
        <v>-110446</v>
      </c>
      <c r="H340" s="229">
        <v>-88111</v>
      </c>
      <c r="I340" s="229">
        <v>-67747</v>
      </c>
      <c r="J340" s="229">
        <v>161866</v>
      </c>
      <c r="K340" s="229">
        <v>-32011</v>
      </c>
      <c r="L340" s="229">
        <v>37102</v>
      </c>
      <c r="M340" s="229">
        <v>1063539</v>
      </c>
      <c r="N340" s="229">
        <v>1125453</v>
      </c>
      <c r="O340" s="229">
        <v>1183173</v>
      </c>
      <c r="P340" s="229">
        <v>1239810</v>
      </c>
      <c r="Q340" s="229">
        <v>1299107</v>
      </c>
      <c r="R340" s="229">
        <v>1351656</v>
      </c>
      <c r="S340" s="229">
        <v>1388737</v>
      </c>
      <c r="T340" s="229">
        <f t="shared" si="116"/>
        <v>659415</v>
      </c>
      <c r="U340" s="229">
        <f t="shared" si="115"/>
        <v>659415</v>
      </c>
      <c r="V340" s="356">
        <f t="shared" si="108"/>
        <v>659415</v>
      </c>
      <c r="W340" s="356">
        <v>0</v>
      </c>
      <c r="X340" s="356">
        <f t="shared" si="110"/>
        <v>0</v>
      </c>
      <c r="Y340" s="229">
        <v>0</v>
      </c>
      <c r="Z340" s="229">
        <f t="shared" si="111"/>
        <v>0</v>
      </c>
      <c r="AA340" s="276" t="s">
        <v>331</v>
      </c>
      <c r="AB340" s="270">
        <f>SUMIF('Allocation Factors'!$B$3:$B$89,'Accumulated Deferred Income Tax'!AA340,'Allocation Factors'!$P$3:$P$89)</f>
        <v>0</v>
      </c>
      <c r="AC340" s="271">
        <f t="shared" si="112"/>
        <v>0</v>
      </c>
      <c r="AD340" s="271">
        <f t="shared" si="113"/>
        <v>0</v>
      </c>
      <c r="AE340" s="30">
        <f t="shared" si="114"/>
        <v>0</v>
      </c>
    </row>
    <row r="341" spans="1:31">
      <c r="A341" s="29" t="s">
        <v>8</v>
      </c>
      <c r="B341" s="377">
        <v>283</v>
      </c>
      <c r="C341" s="353" t="s">
        <v>421</v>
      </c>
      <c r="D341" s="29" t="s">
        <v>8</v>
      </c>
      <c r="E341" s="29">
        <v>7.6</v>
      </c>
      <c r="F341" s="276" t="s">
        <v>9</v>
      </c>
      <c r="G341" s="229">
        <v>0</v>
      </c>
      <c r="H341" s="229">
        <v>0</v>
      </c>
      <c r="I341" s="229">
        <v>0</v>
      </c>
      <c r="J341" s="229">
        <v>0</v>
      </c>
      <c r="K341" s="229">
        <v>0</v>
      </c>
      <c r="L341" s="229">
        <v>0</v>
      </c>
      <c r="M341" s="229">
        <v>0</v>
      </c>
      <c r="N341" s="229">
        <v>0</v>
      </c>
      <c r="O341" s="229">
        <v>0</v>
      </c>
      <c r="P341" s="229">
        <v>0</v>
      </c>
      <c r="Q341" s="229">
        <v>0</v>
      </c>
      <c r="R341" s="229">
        <v>0</v>
      </c>
      <c r="S341" s="229">
        <v>0</v>
      </c>
      <c r="T341" s="229">
        <f t="shared" si="116"/>
        <v>0</v>
      </c>
      <c r="U341" s="229">
        <f t="shared" si="115"/>
        <v>0</v>
      </c>
      <c r="V341" s="356">
        <f t="shared" si="108"/>
        <v>0</v>
      </c>
      <c r="W341" s="356">
        <v>0</v>
      </c>
      <c r="X341" s="356">
        <f t="shared" si="110"/>
        <v>0</v>
      </c>
      <c r="Y341" s="360">
        <v>76999</v>
      </c>
      <c r="Z341" s="360">
        <f t="shared" si="111"/>
        <v>76999</v>
      </c>
      <c r="AA341" s="379" t="s">
        <v>26</v>
      </c>
      <c r="AB341" s="270">
        <f>SUMIF('Allocation Factors'!$B$3:$B$89,'Accumulated Deferred Income Tax'!AA341,'Allocation Factors'!$P$3:$P$89)</f>
        <v>1</v>
      </c>
      <c r="AC341" s="271">
        <f t="shared" si="112"/>
        <v>0</v>
      </c>
      <c r="AD341" s="271">
        <f t="shared" si="113"/>
        <v>76999</v>
      </c>
      <c r="AE341" s="30">
        <f t="shared" si="114"/>
        <v>76999</v>
      </c>
    </row>
    <row r="342" spans="1:31">
      <c r="A342" s="183"/>
      <c r="B342" s="215"/>
      <c r="C342" s="216"/>
      <c r="D342" s="217"/>
      <c r="E342" s="217"/>
      <c r="F342" s="161"/>
      <c r="G342" s="186">
        <f t="shared" ref="G342:Z342" si="117">SUBTOTAL(9,G228:G341)</f>
        <v>-277417564</v>
      </c>
      <c r="H342" s="186">
        <f t="shared" si="117"/>
        <v>-285739854</v>
      </c>
      <c r="I342" s="186">
        <f t="shared" si="117"/>
        <v>-282384394</v>
      </c>
      <c r="J342" s="186">
        <f t="shared" si="117"/>
        <v>-279493397</v>
      </c>
      <c r="K342" s="186">
        <f t="shared" si="117"/>
        <v>-253616726</v>
      </c>
      <c r="L342" s="186">
        <f t="shared" si="117"/>
        <v>-265253529</v>
      </c>
      <c r="M342" s="186">
        <f t="shared" si="117"/>
        <v>-285789510</v>
      </c>
      <c r="N342" s="186">
        <f t="shared" si="117"/>
        <v>-281177738</v>
      </c>
      <c r="O342" s="186">
        <f t="shared" si="117"/>
        <v>-281619103</v>
      </c>
      <c r="P342" s="186">
        <f t="shared" si="117"/>
        <v>-294153322</v>
      </c>
      <c r="Q342" s="186">
        <f t="shared" si="117"/>
        <v>-294649043</v>
      </c>
      <c r="R342" s="186">
        <f t="shared" si="117"/>
        <v>-294991050</v>
      </c>
      <c r="S342" s="186">
        <f t="shared" si="117"/>
        <v>-293371043</v>
      </c>
      <c r="T342" s="186">
        <f t="shared" si="117"/>
        <v>-282021838</v>
      </c>
      <c r="U342" s="186">
        <f t="shared" si="117"/>
        <v>-282021838</v>
      </c>
      <c r="V342" s="186">
        <f t="shared" si="117"/>
        <v>-282021838</v>
      </c>
      <c r="W342" s="186">
        <f t="shared" si="117"/>
        <v>0</v>
      </c>
      <c r="X342" s="186">
        <f t="shared" si="117"/>
        <v>-102724651</v>
      </c>
      <c r="Y342" s="186">
        <f t="shared" si="117"/>
        <v>20377121</v>
      </c>
      <c r="Z342" s="186">
        <f t="shared" si="117"/>
        <v>-82347530</v>
      </c>
      <c r="AA342" s="183"/>
      <c r="AB342" s="162"/>
      <c r="AC342" s="213">
        <f>SUBTOTAL(9,AC228:AC341)</f>
        <v>-1451598</v>
      </c>
      <c r="AD342" s="213">
        <f>SUBTOTAL(9,AD228:AD341)</f>
        <v>1000749</v>
      </c>
      <c r="AE342" s="213">
        <f>SUBTOTAL(9,AE228:AE341)</f>
        <v>-450849</v>
      </c>
    </row>
    <row r="343" spans="1:31">
      <c r="A343" s="183"/>
      <c r="B343" s="215"/>
      <c r="C343" s="216"/>
      <c r="D343" s="217"/>
      <c r="E343" s="217"/>
      <c r="F343" s="161"/>
      <c r="G343" s="186">
        <f t="shared" ref="G343:Z343" si="118">SUBTOTAL(9,G3:G342)</f>
        <v>-2559767846</v>
      </c>
      <c r="H343" s="186">
        <f t="shared" si="118"/>
        <v>-2560011067</v>
      </c>
      <c r="I343" s="186">
        <f t="shared" si="118"/>
        <v>-2561494548</v>
      </c>
      <c r="J343" s="186">
        <f t="shared" si="118"/>
        <v>-2563669287</v>
      </c>
      <c r="K343" s="186">
        <f t="shared" si="118"/>
        <v>-2563780305</v>
      </c>
      <c r="L343" s="186">
        <f t="shared" si="118"/>
        <v>-2564682336</v>
      </c>
      <c r="M343" s="186">
        <f t="shared" si="118"/>
        <v>-2546800422</v>
      </c>
      <c r="N343" s="186">
        <f t="shared" si="118"/>
        <v>-2547213036</v>
      </c>
      <c r="O343" s="186">
        <f t="shared" si="118"/>
        <v>-2553935166</v>
      </c>
      <c r="P343" s="186">
        <f t="shared" si="118"/>
        <v>-2555282553</v>
      </c>
      <c r="Q343" s="186">
        <f t="shared" si="118"/>
        <v>-2556163490</v>
      </c>
      <c r="R343" s="186">
        <f t="shared" si="118"/>
        <v>-2556268882</v>
      </c>
      <c r="S343" s="186">
        <f t="shared" si="118"/>
        <v>-2547231621</v>
      </c>
      <c r="T343" s="186">
        <f t="shared" si="118"/>
        <v>-2556900077</v>
      </c>
      <c r="U343" s="186">
        <f t="shared" si="118"/>
        <v>-2556900077</v>
      </c>
      <c r="V343" s="186">
        <f t="shared" si="118"/>
        <v>-2556900077</v>
      </c>
      <c r="W343" s="186">
        <f t="shared" si="118"/>
        <v>4050818440</v>
      </c>
      <c r="X343" s="186">
        <f t="shared" si="118"/>
        <v>-308715648</v>
      </c>
      <c r="Y343" s="186">
        <f t="shared" si="118"/>
        <v>30030603</v>
      </c>
      <c r="Z343" s="186">
        <f t="shared" si="118"/>
        <v>-278685045</v>
      </c>
      <c r="AA343" s="183"/>
      <c r="AB343" s="162"/>
      <c r="AC343" s="213">
        <f>SUBTOTAL(9,AC3:AC342)</f>
        <v>-272700963</v>
      </c>
      <c r="AD343" s="213">
        <f>SUBTOTAL(9,AD3:AD342)</f>
        <v>49966945</v>
      </c>
      <c r="AE343" s="213">
        <f>SUBTOTAL(9,AE3:AE342)</f>
        <v>-222734018</v>
      </c>
    </row>
    <row r="344" spans="1:31">
      <c r="G344" s="199"/>
      <c r="H344" s="206"/>
      <c r="I344" s="206"/>
      <c r="J344" s="206"/>
      <c r="K344" s="206"/>
      <c r="L344" s="206"/>
      <c r="M344" s="199"/>
      <c r="N344" s="206"/>
      <c r="O344" s="206"/>
      <c r="P344" s="206"/>
      <c r="Q344" s="206"/>
      <c r="R344" s="206"/>
      <c r="S344" s="199"/>
      <c r="T344" s="199"/>
      <c r="U344" s="207"/>
      <c r="V344" s="207"/>
      <c r="AC344" s="208"/>
      <c r="AD344" s="208"/>
    </row>
    <row r="345" spans="1:31">
      <c r="G345" s="199"/>
      <c r="H345" s="206"/>
      <c r="I345" s="206"/>
      <c r="J345" s="206"/>
      <c r="K345" s="206"/>
      <c r="L345" s="206"/>
      <c r="M345" s="199"/>
      <c r="N345" s="206"/>
      <c r="O345" s="206"/>
      <c r="P345" s="206"/>
      <c r="Q345" s="206"/>
      <c r="R345" s="206"/>
      <c r="S345" s="199"/>
      <c r="T345" s="199"/>
      <c r="AC345" s="208"/>
      <c r="AD345" s="208"/>
    </row>
    <row r="346" spans="1:31">
      <c r="A346" s="235"/>
      <c r="B346" s="231">
        <v>190</v>
      </c>
      <c r="C346" s="238"/>
      <c r="D346" s="239"/>
      <c r="E346" s="240"/>
      <c r="F346" s="241"/>
      <c r="G346" s="228">
        <f t="shared" ref="G346:P349" si="119">SUMIF($B$3:$B$342,$B346,G$3:G$342)</f>
        <v>856103272</v>
      </c>
      <c r="H346" s="228">
        <f t="shared" si="119"/>
        <v>861360142</v>
      </c>
      <c r="I346" s="228">
        <f t="shared" si="119"/>
        <v>853527176</v>
      </c>
      <c r="J346" s="228">
        <f t="shared" si="119"/>
        <v>862277650</v>
      </c>
      <c r="K346" s="228">
        <f t="shared" si="119"/>
        <v>836109640</v>
      </c>
      <c r="L346" s="228">
        <f t="shared" si="119"/>
        <v>843849171</v>
      </c>
      <c r="M346" s="228">
        <f t="shared" si="119"/>
        <v>829908590</v>
      </c>
      <c r="N346" s="228">
        <f t="shared" si="119"/>
        <v>823762636</v>
      </c>
      <c r="O346" s="228">
        <f t="shared" si="119"/>
        <v>816417863</v>
      </c>
      <c r="P346" s="228">
        <f t="shared" si="119"/>
        <v>829419500</v>
      </c>
      <c r="Q346" s="228">
        <f t="shared" ref="Q346:Z349" si="120">SUMIF($B$3:$B$342,$B346,Q$3:Q$342)</f>
        <v>831015182</v>
      </c>
      <c r="R346" s="228">
        <f t="shared" si="120"/>
        <v>832052655</v>
      </c>
      <c r="S346" s="228">
        <f t="shared" si="120"/>
        <v>832704009</v>
      </c>
      <c r="T346" s="228">
        <f t="shared" si="120"/>
        <v>838675321</v>
      </c>
      <c r="U346" s="228">
        <f t="shared" si="120"/>
        <v>838675321</v>
      </c>
      <c r="V346" s="228">
        <f t="shared" si="120"/>
        <v>838675321</v>
      </c>
      <c r="W346" s="228">
        <f t="shared" si="120"/>
        <v>-19700704</v>
      </c>
      <c r="X346" s="228">
        <f t="shared" si="120"/>
        <v>158529269</v>
      </c>
      <c r="Y346" s="228">
        <f t="shared" si="120"/>
        <v>-12245339</v>
      </c>
      <c r="Z346" s="228">
        <f t="shared" si="120"/>
        <v>146283930</v>
      </c>
      <c r="AA346" s="277"/>
      <c r="AB346" s="278"/>
      <c r="AC346" s="228">
        <f t="shared" ref="AC346:AE349" si="121">SUMIF($B$3:$B$342,$B346,AC$3:AC$342)</f>
        <v>7613190</v>
      </c>
      <c r="AD346" s="228">
        <f t="shared" si="121"/>
        <v>531135</v>
      </c>
      <c r="AE346" s="228">
        <f t="shared" si="121"/>
        <v>8144325</v>
      </c>
    </row>
    <row r="347" spans="1:31">
      <c r="A347" s="236"/>
      <c r="B347" s="232">
        <v>281</v>
      </c>
      <c r="C347" s="242"/>
      <c r="D347" s="243"/>
      <c r="E347" s="244"/>
      <c r="F347" s="245"/>
      <c r="G347" s="229">
        <f t="shared" si="119"/>
        <v>-183513099</v>
      </c>
      <c r="H347" s="229">
        <f t="shared" si="119"/>
        <v>-183075644</v>
      </c>
      <c r="I347" s="229">
        <f t="shared" si="119"/>
        <v>-182638188</v>
      </c>
      <c r="J347" s="229">
        <f t="shared" si="119"/>
        <v>-182608894</v>
      </c>
      <c r="K347" s="229">
        <f t="shared" si="119"/>
        <v>-182216790</v>
      </c>
      <c r="L347" s="229">
        <f t="shared" si="119"/>
        <v>-181824685</v>
      </c>
      <c r="M347" s="229">
        <f t="shared" si="119"/>
        <v>-180339430</v>
      </c>
      <c r="N347" s="229">
        <f t="shared" si="119"/>
        <v>-180339430</v>
      </c>
      <c r="O347" s="229">
        <f t="shared" si="119"/>
        <v>-180339430</v>
      </c>
      <c r="P347" s="229">
        <f t="shared" si="119"/>
        <v>-178669858</v>
      </c>
      <c r="Q347" s="229">
        <f t="shared" si="120"/>
        <v>-178113334</v>
      </c>
      <c r="R347" s="229">
        <f t="shared" si="120"/>
        <v>-177556810</v>
      </c>
      <c r="S347" s="229">
        <f t="shared" si="120"/>
        <v>-177049368</v>
      </c>
      <c r="T347" s="229">
        <f t="shared" si="120"/>
        <v>-180666977</v>
      </c>
      <c r="U347" s="229">
        <f t="shared" si="120"/>
        <v>-180666977</v>
      </c>
      <c r="V347" s="229">
        <f t="shared" si="120"/>
        <v>-180666977</v>
      </c>
      <c r="W347" s="229">
        <f t="shared" si="120"/>
        <v>180666977</v>
      </c>
      <c r="X347" s="229">
        <f t="shared" si="120"/>
        <v>0</v>
      </c>
      <c r="Y347" s="229">
        <f t="shared" si="120"/>
        <v>0</v>
      </c>
      <c r="Z347" s="229">
        <f t="shared" si="120"/>
        <v>0</v>
      </c>
      <c r="AA347" s="279"/>
      <c r="AB347" s="280"/>
      <c r="AC347" s="229">
        <f t="shared" si="121"/>
        <v>0</v>
      </c>
      <c r="AD347" s="229">
        <f t="shared" si="121"/>
        <v>0</v>
      </c>
      <c r="AE347" s="229">
        <f t="shared" si="121"/>
        <v>0</v>
      </c>
    </row>
    <row r="348" spans="1:31">
      <c r="A348" s="236"/>
      <c r="B348" s="232">
        <v>282</v>
      </c>
      <c r="C348" s="242"/>
      <c r="D348" s="243"/>
      <c r="E348" s="244"/>
      <c r="F348" s="245"/>
      <c r="G348" s="229">
        <f t="shared" si="119"/>
        <v>-2954940455</v>
      </c>
      <c r="H348" s="229">
        <f t="shared" si="119"/>
        <v>-2952555711</v>
      </c>
      <c r="I348" s="229">
        <f t="shared" si="119"/>
        <v>-2949999142</v>
      </c>
      <c r="J348" s="229">
        <f t="shared" si="119"/>
        <v>-2963844646</v>
      </c>
      <c r="K348" s="229">
        <f t="shared" si="119"/>
        <v>-2964056429</v>
      </c>
      <c r="L348" s="229">
        <f t="shared" si="119"/>
        <v>-2961453293</v>
      </c>
      <c r="M348" s="229">
        <f t="shared" si="119"/>
        <v>-2910580072</v>
      </c>
      <c r="N348" s="229">
        <f t="shared" si="119"/>
        <v>-2909458504</v>
      </c>
      <c r="O348" s="229">
        <f t="shared" si="119"/>
        <v>-2908394496</v>
      </c>
      <c r="P348" s="229">
        <f t="shared" si="119"/>
        <v>-2911878873</v>
      </c>
      <c r="Q348" s="229">
        <f t="shared" si="120"/>
        <v>-2914416295</v>
      </c>
      <c r="R348" s="229">
        <f t="shared" si="120"/>
        <v>-2915773677</v>
      </c>
      <c r="S348" s="229">
        <f t="shared" si="120"/>
        <v>-2909515219</v>
      </c>
      <c r="T348" s="229">
        <f t="shared" si="120"/>
        <v>-2932886583</v>
      </c>
      <c r="U348" s="229">
        <f t="shared" si="120"/>
        <v>-2932886583</v>
      </c>
      <c r="V348" s="229">
        <f t="shared" si="120"/>
        <v>-2932886583</v>
      </c>
      <c r="W348" s="229">
        <f t="shared" si="120"/>
        <v>3889852167</v>
      </c>
      <c r="X348" s="229">
        <f t="shared" si="120"/>
        <v>-364520266</v>
      </c>
      <c r="Y348" s="229">
        <f t="shared" si="120"/>
        <v>21898821</v>
      </c>
      <c r="Z348" s="229">
        <f t="shared" si="120"/>
        <v>-342621445</v>
      </c>
      <c r="AA348" s="279"/>
      <c r="AB348" s="280"/>
      <c r="AC348" s="229">
        <f t="shared" si="121"/>
        <v>-278862555</v>
      </c>
      <c r="AD348" s="229">
        <f t="shared" si="121"/>
        <v>48435061</v>
      </c>
      <c r="AE348" s="229">
        <f t="shared" si="121"/>
        <v>-230427494</v>
      </c>
    </row>
    <row r="349" spans="1:31">
      <c r="A349" s="237"/>
      <c r="B349" s="233">
        <v>283</v>
      </c>
      <c r="C349" s="246"/>
      <c r="D349" s="247"/>
      <c r="E349" s="248"/>
      <c r="F349" s="249"/>
      <c r="G349" s="230">
        <f t="shared" si="119"/>
        <v>-277417564</v>
      </c>
      <c r="H349" s="230">
        <f t="shared" si="119"/>
        <v>-285739854</v>
      </c>
      <c r="I349" s="230">
        <f t="shared" si="119"/>
        <v>-282384394</v>
      </c>
      <c r="J349" s="230">
        <f t="shared" si="119"/>
        <v>-279493397</v>
      </c>
      <c r="K349" s="230">
        <f t="shared" si="119"/>
        <v>-253616726</v>
      </c>
      <c r="L349" s="230">
        <f t="shared" si="119"/>
        <v>-265253529</v>
      </c>
      <c r="M349" s="230">
        <f t="shared" si="119"/>
        <v>-285789510</v>
      </c>
      <c r="N349" s="230">
        <f t="shared" si="119"/>
        <v>-281177738</v>
      </c>
      <c r="O349" s="230">
        <f t="shared" si="119"/>
        <v>-281619103</v>
      </c>
      <c r="P349" s="230">
        <f t="shared" si="119"/>
        <v>-294153322</v>
      </c>
      <c r="Q349" s="230">
        <f t="shared" si="120"/>
        <v>-294649043</v>
      </c>
      <c r="R349" s="230">
        <f t="shared" si="120"/>
        <v>-294991050</v>
      </c>
      <c r="S349" s="230">
        <f t="shared" si="120"/>
        <v>-293371043</v>
      </c>
      <c r="T349" s="230">
        <f t="shared" si="120"/>
        <v>-282021838</v>
      </c>
      <c r="U349" s="230">
        <f t="shared" si="120"/>
        <v>-282021838</v>
      </c>
      <c r="V349" s="230">
        <f t="shared" si="120"/>
        <v>-282021838</v>
      </c>
      <c r="W349" s="230">
        <f t="shared" si="120"/>
        <v>0</v>
      </c>
      <c r="X349" s="230">
        <f t="shared" si="120"/>
        <v>-102724651</v>
      </c>
      <c r="Y349" s="230">
        <f t="shared" si="120"/>
        <v>20377121</v>
      </c>
      <c r="Z349" s="230">
        <f t="shared" si="120"/>
        <v>-82347530</v>
      </c>
      <c r="AA349" s="281"/>
      <c r="AB349" s="282"/>
      <c r="AC349" s="230">
        <f t="shared" si="121"/>
        <v>-1451598</v>
      </c>
      <c r="AD349" s="230">
        <f t="shared" si="121"/>
        <v>1000749</v>
      </c>
      <c r="AE349" s="230">
        <f t="shared" si="121"/>
        <v>-450849</v>
      </c>
    </row>
    <row r="350" spans="1:31">
      <c r="A350" s="250"/>
      <c r="B350" s="234" t="s">
        <v>268</v>
      </c>
      <c r="C350" s="251"/>
      <c r="D350" s="217"/>
      <c r="E350" s="215"/>
      <c r="F350" s="161"/>
      <c r="G350" s="186">
        <f t="shared" ref="G350:M350" si="122">SUBTOTAL(9,G346:G349)</f>
        <v>-2559767846</v>
      </c>
      <c r="H350" s="186">
        <f t="shared" si="122"/>
        <v>-2560011067</v>
      </c>
      <c r="I350" s="186">
        <f t="shared" si="122"/>
        <v>-2561494548</v>
      </c>
      <c r="J350" s="186">
        <f t="shared" si="122"/>
        <v>-2563669287</v>
      </c>
      <c r="K350" s="186">
        <f t="shared" si="122"/>
        <v>-2563780305</v>
      </c>
      <c r="L350" s="186">
        <f t="shared" si="122"/>
        <v>-2564682336</v>
      </c>
      <c r="M350" s="186">
        <f t="shared" si="122"/>
        <v>-2546800422</v>
      </c>
      <c r="N350" s="186">
        <f t="shared" ref="N350:Z350" si="123">SUBTOTAL(9,N346:N349)</f>
        <v>-2547213036</v>
      </c>
      <c r="O350" s="186">
        <f t="shared" si="123"/>
        <v>-2553935166</v>
      </c>
      <c r="P350" s="186">
        <f t="shared" si="123"/>
        <v>-2555282553</v>
      </c>
      <c r="Q350" s="186">
        <f t="shared" si="123"/>
        <v>-2556163490</v>
      </c>
      <c r="R350" s="186">
        <f t="shared" si="123"/>
        <v>-2556268882</v>
      </c>
      <c r="S350" s="186">
        <f t="shared" si="123"/>
        <v>-2547231621</v>
      </c>
      <c r="T350" s="186">
        <f t="shared" si="123"/>
        <v>-2556900077</v>
      </c>
      <c r="U350" s="186">
        <f t="shared" si="123"/>
        <v>-2556900077</v>
      </c>
      <c r="V350" s="186">
        <f t="shared" ref="V350" si="124">SUBTOTAL(9,V346:V349)</f>
        <v>-2556900077</v>
      </c>
      <c r="W350" s="186">
        <f t="shared" ref="W350" si="125">SUBTOTAL(9,W346:W349)</f>
        <v>4050818440</v>
      </c>
      <c r="X350" s="186">
        <f t="shared" si="123"/>
        <v>-308715648</v>
      </c>
      <c r="Y350" s="186">
        <f t="shared" si="123"/>
        <v>30030603</v>
      </c>
      <c r="Z350" s="186">
        <f t="shared" si="123"/>
        <v>-278685045</v>
      </c>
      <c r="AA350" s="223"/>
      <c r="AB350" s="224"/>
      <c r="AC350" s="218">
        <f>SUBTOTAL(9,AC346:AC349)</f>
        <v>-272700963</v>
      </c>
      <c r="AD350" s="186">
        <f>SUBTOTAL(9,AD346:AD349)</f>
        <v>49966945</v>
      </c>
      <c r="AE350" s="186">
        <f>SUBTOTAL(9,AE346:AE349)</f>
        <v>-222734018</v>
      </c>
    </row>
    <row r="351" spans="1:31" ht="15">
      <c r="G351" s="398"/>
      <c r="H351" s="389"/>
      <c r="I351" s="206"/>
      <c r="J351" s="206"/>
      <c r="K351" s="206"/>
      <c r="L351" s="206"/>
      <c r="M351" s="388"/>
      <c r="N351" s="389"/>
      <c r="O351" s="206"/>
      <c r="P351" s="206"/>
      <c r="Q351" s="206"/>
      <c r="R351" s="206"/>
      <c r="S351" s="388"/>
      <c r="AC351" s="208"/>
      <c r="AD351" s="208"/>
    </row>
    <row r="352" spans="1:31">
      <c r="G352" s="198"/>
      <c r="H352" s="397"/>
      <c r="I352" s="206"/>
      <c r="J352" s="206"/>
      <c r="K352" s="206"/>
      <c r="L352" s="397"/>
      <c r="M352" s="198"/>
      <c r="N352" s="397"/>
      <c r="O352" s="206"/>
      <c r="P352" s="206"/>
      <c r="Q352" s="206"/>
      <c r="R352" s="397"/>
      <c r="AC352" s="208"/>
      <c r="AD352" s="208"/>
    </row>
    <row r="353" spans="1:31">
      <c r="A353" s="424">
        <v>285608</v>
      </c>
      <c r="B353" s="424" t="s">
        <v>269</v>
      </c>
      <c r="C353" s="425" t="s">
        <v>307</v>
      </c>
      <c r="D353" s="426">
        <v>100.1</v>
      </c>
      <c r="E353" s="424" t="s">
        <v>8</v>
      </c>
      <c r="F353" s="424" t="s">
        <v>9</v>
      </c>
      <c r="G353" s="427">
        <v>-71310</v>
      </c>
      <c r="H353" s="428">
        <v>-68912</v>
      </c>
      <c r="I353" s="428">
        <v>-66514</v>
      </c>
      <c r="J353" s="428">
        <v>-64116</v>
      </c>
      <c r="K353" s="428">
        <v>-61718</v>
      </c>
      <c r="L353" s="428">
        <v>-59320</v>
      </c>
      <c r="M353" s="428">
        <v>-56922</v>
      </c>
      <c r="N353" s="428">
        <v>-54524</v>
      </c>
      <c r="O353" s="428">
        <v>-52126</v>
      </c>
      <c r="P353" s="428">
        <v>-49728</v>
      </c>
      <c r="Q353" s="428">
        <v>-47330</v>
      </c>
      <c r="R353" s="428">
        <v>-44932</v>
      </c>
      <c r="S353" s="428">
        <v>-42534</v>
      </c>
      <c r="T353" s="359">
        <f t="shared" ref="T353:T360" si="126">ROUND(((G353*1)+(SUM(H353:R353)*2)+(S353*1))/24,0)</f>
        <v>-56922</v>
      </c>
      <c r="U353" s="418">
        <f t="shared" ref="U353:U360" si="127">+T353</f>
        <v>-56922</v>
      </c>
      <c r="V353" s="418">
        <f t="shared" ref="V353:V354" si="128">+U353</f>
        <v>-56922</v>
      </c>
      <c r="W353" s="442"/>
      <c r="X353" s="429">
        <f t="shared" ref="X353:X360" si="129">IF(F353="U",U353,0)</f>
        <v>-56922</v>
      </c>
      <c r="Y353" s="427">
        <v>0</v>
      </c>
      <c r="Z353" s="418">
        <f t="shared" ref="Z353:Z360" si="130">SUM(X353:Y353)</f>
        <v>-56922</v>
      </c>
      <c r="AA353" s="424" t="s">
        <v>216</v>
      </c>
      <c r="AB353" s="430">
        <f>SUMIF('Allocation Factors'!$B$3:$B$89,'Accumulated Deferred Income Tax'!AA353,'Allocation Factors'!$P$3:$P$89)</f>
        <v>3.9132E-2</v>
      </c>
      <c r="AC353" s="431">
        <f t="shared" ref="AC353:AC360" si="131">ROUND(X353*AB353,0)</f>
        <v>-2227</v>
      </c>
      <c r="AD353" s="431">
        <f t="shared" ref="AD353:AD360" si="132">ROUND(Y353*AB353,0)</f>
        <v>0</v>
      </c>
      <c r="AE353" s="432">
        <f t="shared" ref="AE353:AE360" si="133">SUM(AC353:AD353)</f>
        <v>-2227</v>
      </c>
    </row>
    <row r="354" spans="1:31">
      <c r="A354" s="283">
        <v>285610</v>
      </c>
      <c r="B354" s="283" t="s">
        <v>8</v>
      </c>
      <c r="C354" s="306" t="s">
        <v>305</v>
      </c>
      <c r="D354" s="284">
        <v>100.1</v>
      </c>
      <c r="E354" s="283" t="s">
        <v>8</v>
      </c>
      <c r="F354" s="303" t="s">
        <v>333</v>
      </c>
      <c r="G354" s="229">
        <v>-10354122</v>
      </c>
      <c r="H354" s="274">
        <v>-10085203</v>
      </c>
      <c r="I354" s="274">
        <v>-9816285</v>
      </c>
      <c r="J354" s="274">
        <v>-9547367</v>
      </c>
      <c r="K354" s="274">
        <v>-9292256</v>
      </c>
      <c r="L354" s="274">
        <v>-9057857</v>
      </c>
      <c r="M354" s="274">
        <v>-8823458</v>
      </c>
      <c r="N354" s="274">
        <v>-8589241</v>
      </c>
      <c r="O354" s="274">
        <v>-8355024</v>
      </c>
      <c r="P354" s="274">
        <v>-8120807</v>
      </c>
      <c r="Q354" s="274">
        <v>-7886590</v>
      </c>
      <c r="R354" s="274">
        <v>-7652374</v>
      </c>
      <c r="S354" s="274">
        <v>-7418157</v>
      </c>
      <c r="T354" s="357">
        <f t="shared" si="126"/>
        <v>-8842717</v>
      </c>
      <c r="U354" s="25">
        <f t="shared" si="127"/>
        <v>-8842717</v>
      </c>
      <c r="V354" s="419">
        <f t="shared" si="128"/>
        <v>-8842717</v>
      </c>
      <c r="W354" s="356"/>
      <c r="X354" s="356">
        <f t="shared" si="129"/>
        <v>0</v>
      </c>
      <c r="Y354" s="229">
        <v>0</v>
      </c>
      <c r="Z354" s="25">
        <f t="shared" si="130"/>
        <v>0</v>
      </c>
      <c r="AA354" s="303" t="s">
        <v>331</v>
      </c>
      <c r="AB354" s="270">
        <f>SUMIF('Allocation Factors'!$B$3:$B$89,'Accumulated Deferred Income Tax'!AA354,'Allocation Factors'!$P$3:$P$89)</f>
        <v>0</v>
      </c>
      <c r="AC354" s="271">
        <f t="shared" si="131"/>
        <v>0</v>
      </c>
      <c r="AD354" s="271">
        <f t="shared" si="132"/>
        <v>0</v>
      </c>
      <c r="AE354" s="30">
        <f t="shared" si="133"/>
        <v>0</v>
      </c>
    </row>
    <row r="355" spans="1:31">
      <c r="A355" s="367">
        <v>285611</v>
      </c>
      <c r="B355" s="283" t="s">
        <v>8</v>
      </c>
      <c r="C355" s="368" t="s">
        <v>324</v>
      </c>
      <c r="D355" s="284">
        <v>100.1</v>
      </c>
      <c r="E355" s="283" t="s">
        <v>8</v>
      </c>
      <c r="F355" s="366" t="s">
        <v>333</v>
      </c>
      <c r="G355" s="229">
        <v>-27767</v>
      </c>
      <c r="H355" s="274">
        <v>-27669</v>
      </c>
      <c r="I355" s="274">
        <v>-27571</v>
      </c>
      <c r="J355" s="274">
        <v>-27473</v>
      </c>
      <c r="K355" s="274">
        <v>-27375</v>
      </c>
      <c r="L355" s="274">
        <v>-27277</v>
      </c>
      <c r="M355" s="274">
        <v>-7984</v>
      </c>
      <c r="N355" s="274">
        <v>-7955</v>
      </c>
      <c r="O355" s="274">
        <v>-7926</v>
      </c>
      <c r="P355" s="274">
        <v>-7897</v>
      </c>
      <c r="Q355" s="274">
        <v>-7868</v>
      </c>
      <c r="R355" s="274">
        <v>-7839</v>
      </c>
      <c r="S355" s="274">
        <v>-7810</v>
      </c>
      <c r="T355" s="357">
        <f t="shared" si="126"/>
        <v>-16885</v>
      </c>
      <c r="U355" s="25">
        <f t="shared" si="127"/>
        <v>-16885</v>
      </c>
      <c r="V355" s="419">
        <f>+U355</f>
        <v>-16885</v>
      </c>
      <c r="W355" s="356"/>
      <c r="X355" s="356">
        <f t="shared" si="129"/>
        <v>0</v>
      </c>
      <c r="Y355" s="229">
        <v>0</v>
      </c>
      <c r="Z355" s="25">
        <f t="shared" si="130"/>
        <v>0</v>
      </c>
      <c r="AA355" s="303" t="s">
        <v>331</v>
      </c>
      <c r="AB355" s="270">
        <f>SUMIF('Allocation Factors'!$B$3:$B$89,'Accumulated Deferred Income Tax'!AA355,'Allocation Factors'!$P$3:$P$89)</f>
        <v>0</v>
      </c>
      <c r="AC355" s="271">
        <f t="shared" si="131"/>
        <v>0</v>
      </c>
      <c r="AD355" s="271">
        <f t="shared" si="132"/>
        <v>0</v>
      </c>
      <c r="AE355" s="30">
        <f t="shared" si="133"/>
        <v>0</v>
      </c>
    </row>
    <row r="356" spans="1:31">
      <c r="A356" s="367">
        <v>285612</v>
      </c>
      <c r="B356" s="283" t="s">
        <v>8</v>
      </c>
      <c r="C356" s="368" t="s">
        <v>325</v>
      </c>
      <c r="D356" s="284">
        <v>100.1</v>
      </c>
      <c r="E356" s="283" t="s">
        <v>8</v>
      </c>
      <c r="F356" s="366" t="s">
        <v>9</v>
      </c>
      <c r="G356" s="229">
        <v>-44194</v>
      </c>
      <c r="H356" s="274">
        <v>-43732</v>
      </c>
      <c r="I356" s="274">
        <v>-43271</v>
      </c>
      <c r="J356" s="274">
        <v>-42810</v>
      </c>
      <c r="K356" s="274">
        <v>-42349</v>
      </c>
      <c r="L356" s="274">
        <v>-41888</v>
      </c>
      <c r="M356" s="274">
        <v>-41112</v>
      </c>
      <c r="N356" s="274">
        <v>-40666</v>
      </c>
      <c r="O356" s="274">
        <v>-40220</v>
      </c>
      <c r="P356" s="274">
        <v>-39774</v>
      </c>
      <c r="Q356" s="274">
        <v>-39328</v>
      </c>
      <c r="R356" s="274">
        <v>-38882</v>
      </c>
      <c r="S356" s="274">
        <v>-38436</v>
      </c>
      <c r="T356" s="357">
        <f t="shared" si="126"/>
        <v>-41279</v>
      </c>
      <c r="U356" s="25">
        <f t="shared" si="127"/>
        <v>-41279</v>
      </c>
      <c r="V356" s="419">
        <f t="shared" ref="V356:V360" si="134">+U356</f>
        <v>-41279</v>
      </c>
      <c r="W356" s="356"/>
      <c r="X356" s="356">
        <f t="shared" si="129"/>
        <v>-41279</v>
      </c>
      <c r="Y356" s="229">
        <v>0</v>
      </c>
      <c r="Z356" s="25">
        <f t="shared" si="130"/>
        <v>-41279</v>
      </c>
      <c r="AA356" s="303" t="s">
        <v>29</v>
      </c>
      <c r="AB356" s="270">
        <f>SUMIF('Allocation Factors'!$B$3:$B$89,'Accumulated Deferred Income Tax'!AA356,'Allocation Factors'!$P$3:$P$89)</f>
        <v>0</v>
      </c>
      <c r="AC356" s="271">
        <f t="shared" si="131"/>
        <v>0</v>
      </c>
      <c r="AD356" s="271">
        <f t="shared" si="132"/>
        <v>0</v>
      </c>
      <c r="AE356" s="30">
        <f t="shared" si="133"/>
        <v>0</v>
      </c>
    </row>
    <row r="357" spans="1:31">
      <c r="A357" s="367">
        <v>285613</v>
      </c>
      <c r="B357" s="283" t="s">
        <v>8</v>
      </c>
      <c r="C357" s="368" t="s">
        <v>326</v>
      </c>
      <c r="D357" s="284">
        <v>100.1</v>
      </c>
      <c r="E357" s="283" t="s">
        <v>8</v>
      </c>
      <c r="F357" s="366" t="s">
        <v>333</v>
      </c>
      <c r="G357" s="229">
        <v>-3475128</v>
      </c>
      <c r="H357" s="274">
        <v>-3566973</v>
      </c>
      <c r="I357" s="274">
        <v>-3643040</v>
      </c>
      <c r="J357" s="274">
        <v>-3681461</v>
      </c>
      <c r="K357" s="274">
        <v>-3702720</v>
      </c>
      <c r="L357" s="274">
        <v>-3795210</v>
      </c>
      <c r="M357" s="274">
        <v>-4120267</v>
      </c>
      <c r="N357" s="274">
        <v>-4227227</v>
      </c>
      <c r="O357" s="274">
        <v>-4295255</v>
      </c>
      <c r="P357" s="274">
        <v>-4362830</v>
      </c>
      <c r="Q357" s="274">
        <v>-4408653</v>
      </c>
      <c r="R357" s="274">
        <v>-4481860</v>
      </c>
      <c r="S357" s="274">
        <v>-4608060</v>
      </c>
      <c r="T357" s="357">
        <f t="shared" si="126"/>
        <v>-4027258</v>
      </c>
      <c r="U357" s="25">
        <f t="shared" si="127"/>
        <v>-4027258</v>
      </c>
      <c r="V357" s="419">
        <f t="shared" si="134"/>
        <v>-4027258</v>
      </c>
      <c r="W357" s="356"/>
      <c r="X357" s="356">
        <f t="shared" si="129"/>
        <v>0</v>
      </c>
      <c r="Y357" s="229">
        <v>0</v>
      </c>
      <c r="Z357" s="25">
        <f t="shared" si="130"/>
        <v>0</v>
      </c>
      <c r="AA357" s="303" t="s">
        <v>331</v>
      </c>
      <c r="AB357" s="270">
        <f>SUMIF('Allocation Factors'!$B$3:$B$89,'Accumulated Deferred Income Tax'!AA357,'Allocation Factors'!$P$3:$P$89)</f>
        <v>0</v>
      </c>
      <c r="AC357" s="271">
        <f t="shared" si="131"/>
        <v>0</v>
      </c>
      <c r="AD357" s="271">
        <f t="shared" si="132"/>
        <v>0</v>
      </c>
      <c r="AE357" s="30">
        <f t="shared" si="133"/>
        <v>0</v>
      </c>
    </row>
    <row r="358" spans="1:31" ht="12" customHeight="1">
      <c r="A358" s="367">
        <v>285620</v>
      </c>
      <c r="B358" s="283" t="s">
        <v>8</v>
      </c>
      <c r="C358" s="368" t="s">
        <v>350</v>
      </c>
      <c r="D358" s="284">
        <v>100.1</v>
      </c>
      <c r="E358" s="283" t="s">
        <v>8</v>
      </c>
      <c r="F358" s="366" t="s">
        <v>9</v>
      </c>
      <c r="G358" s="229">
        <v>-136179</v>
      </c>
      <c r="H358" s="274">
        <v>-135590</v>
      </c>
      <c r="I358" s="274">
        <v>-135000</v>
      </c>
      <c r="J358" s="274">
        <v>-134411</v>
      </c>
      <c r="K358" s="274">
        <v>-133821</v>
      </c>
      <c r="L358" s="274">
        <v>-133232</v>
      </c>
      <c r="M358" s="274">
        <v>-132642</v>
      </c>
      <c r="N358" s="274">
        <v>-132052</v>
      </c>
      <c r="O358" s="274">
        <v>-131463</v>
      </c>
      <c r="P358" s="274">
        <v>-130873</v>
      </c>
      <c r="Q358" s="274">
        <v>-130284</v>
      </c>
      <c r="R358" s="274">
        <v>-129694</v>
      </c>
      <c r="S358" s="274">
        <v>-129105</v>
      </c>
      <c r="T358" s="357">
        <f t="shared" si="126"/>
        <v>-132642</v>
      </c>
      <c r="U358" s="25">
        <f t="shared" si="127"/>
        <v>-132642</v>
      </c>
      <c r="V358" s="419">
        <f t="shared" si="134"/>
        <v>-132642</v>
      </c>
      <c r="W358" s="356"/>
      <c r="X358" s="356">
        <f t="shared" si="129"/>
        <v>-132642</v>
      </c>
      <c r="Y358" s="229">
        <v>0</v>
      </c>
      <c r="Z358" s="25">
        <f t="shared" si="130"/>
        <v>-132642</v>
      </c>
      <c r="AA358" s="303" t="s">
        <v>19</v>
      </c>
      <c r="AB358" s="270">
        <f>SUMIF('Allocation Factors'!$B$3:$B$89,'Accumulated Deferred Income Tax'!AA358,'Allocation Factors'!$P$3:$P$89)</f>
        <v>7.8111041399714837E-2</v>
      </c>
      <c r="AC358" s="271">
        <f t="shared" si="131"/>
        <v>-10361</v>
      </c>
      <c r="AD358" s="271">
        <f t="shared" si="132"/>
        <v>0</v>
      </c>
      <c r="AE358" s="30">
        <f t="shared" si="133"/>
        <v>-10361</v>
      </c>
    </row>
    <row r="359" spans="1:31" ht="12" customHeight="1">
      <c r="A359" s="367">
        <v>285621</v>
      </c>
      <c r="B359" s="283" t="s">
        <v>8</v>
      </c>
      <c r="C359" s="368" t="s">
        <v>360</v>
      </c>
      <c r="D359" s="284">
        <v>100.1</v>
      </c>
      <c r="E359" s="283" t="s">
        <v>8</v>
      </c>
      <c r="F359" s="366" t="s">
        <v>9</v>
      </c>
      <c r="G359" s="229">
        <v>-92044</v>
      </c>
      <c r="H359" s="274">
        <v>-91659</v>
      </c>
      <c r="I359" s="274">
        <v>-91274</v>
      </c>
      <c r="J359" s="274">
        <v>-90889</v>
      </c>
      <c r="K359" s="274">
        <v>-90504</v>
      </c>
      <c r="L359" s="274">
        <v>-90119</v>
      </c>
      <c r="M359" s="274">
        <v>-89734</v>
      </c>
      <c r="N359" s="274">
        <v>-89348</v>
      </c>
      <c r="O359" s="274">
        <v>-88963</v>
      </c>
      <c r="P359" s="274">
        <v>-88578</v>
      </c>
      <c r="Q359" s="274">
        <v>-88193</v>
      </c>
      <c r="R359" s="274">
        <v>-87808</v>
      </c>
      <c r="S359" s="274">
        <v>-87423</v>
      </c>
      <c r="T359" s="357">
        <f t="shared" si="126"/>
        <v>-89734</v>
      </c>
      <c r="U359" s="25">
        <f t="shared" si="127"/>
        <v>-89734</v>
      </c>
      <c r="V359" s="419">
        <f t="shared" si="134"/>
        <v>-89734</v>
      </c>
      <c r="W359" s="356"/>
      <c r="X359" s="356">
        <f t="shared" si="129"/>
        <v>-89734</v>
      </c>
      <c r="Y359" s="229">
        <v>0</v>
      </c>
      <c r="Z359" s="25">
        <f t="shared" si="130"/>
        <v>-89734</v>
      </c>
      <c r="AA359" s="303" t="s">
        <v>19</v>
      </c>
      <c r="AB359" s="270">
        <f>SUMIF('Allocation Factors'!$B$3:$B$89,'Accumulated Deferred Income Tax'!AA359,'Allocation Factors'!$P$3:$P$89)</f>
        <v>7.8111041399714837E-2</v>
      </c>
      <c r="AC359" s="271">
        <f t="shared" si="131"/>
        <v>-7009</v>
      </c>
      <c r="AD359" s="271">
        <f t="shared" si="132"/>
        <v>0</v>
      </c>
      <c r="AE359" s="30">
        <f t="shared" si="133"/>
        <v>-7009</v>
      </c>
    </row>
    <row r="360" spans="1:31">
      <c r="A360" s="285">
        <v>285690</v>
      </c>
      <c r="B360" s="285" t="s">
        <v>8</v>
      </c>
      <c r="C360" s="307" t="s">
        <v>304</v>
      </c>
      <c r="D360" s="286">
        <v>100.1</v>
      </c>
      <c r="E360" s="285" t="s">
        <v>8</v>
      </c>
      <c r="F360" s="304" t="s">
        <v>333</v>
      </c>
      <c r="G360" s="229">
        <v>-45760</v>
      </c>
      <c r="H360" s="274">
        <v>-45137</v>
      </c>
      <c r="I360" s="274">
        <v>-44513</v>
      </c>
      <c r="J360" s="274">
        <v>-43890</v>
      </c>
      <c r="K360" s="274">
        <v>-43266</v>
      </c>
      <c r="L360" s="274">
        <v>-42643</v>
      </c>
      <c r="M360" s="274">
        <v>-41659</v>
      </c>
      <c r="N360" s="274">
        <v>-41006</v>
      </c>
      <c r="O360" s="274">
        <v>-40352</v>
      </c>
      <c r="P360" s="274">
        <v>-39699</v>
      </c>
      <c r="Q360" s="274">
        <v>-39045</v>
      </c>
      <c r="R360" s="274">
        <v>-38392</v>
      </c>
      <c r="S360" s="274">
        <v>-37738</v>
      </c>
      <c r="T360" s="357">
        <f t="shared" si="126"/>
        <v>-41779</v>
      </c>
      <c r="U360" s="25">
        <f t="shared" si="127"/>
        <v>-41779</v>
      </c>
      <c r="V360" s="419">
        <f t="shared" si="134"/>
        <v>-41779</v>
      </c>
      <c r="W360" s="356"/>
      <c r="X360" s="356">
        <f t="shared" si="129"/>
        <v>0</v>
      </c>
      <c r="Y360" s="229">
        <v>0</v>
      </c>
      <c r="Z360" s="25">
        <f t="shared" si="130"/>
        <v>0</v>
      </c>
      <c r="AA360" s="304" t="s">
        <v>331</v>
      </c>
      <c r="AB360" s="270">
        <f>SUMIF('Allocation Factors'!$B$3:$B$89,'Accumulated Deferred Income Tax'!AA360,'Allocation Factors'!$P$3:$P$89)</f>
        <v>0</v>
      </c>
      <c r="AC360" s="271">
        <f t="shared" si="131"/>
        <v>0</v>
      </c>
      <c r="AD360" s="271">
        <f t="shared" si="132"/>
        <v>0</v>
      </c>
      <c r="AE360" s="30">
        <f t="shared" si="133"/>
        <v>0</v>
      </c>
    </row>
    <row r="361" spans="1:31">
      <c r="A361" s="288"/>
      <c r="B361" s="289"/>
      <c r="C361" s="290"/>
      <c r="D361" s="291"/>
      <c r="E361" s="289"/>
      <c r="F361" s="292"/>
      <c r="G361" s="186">
        <f t="shared" ref="G361:V361" si="135">SUBTOTAL(9,G353:G360)</f>
        <v>-14246504</v>
      </c>
      <c r="H361" s="186">
        <f t="shared" si="135"/>
        <v>-14064875</v>
      </c>
      <c r="I361" s="186">
        <f t="shared" si="135"/>
        <v>-13867468</v>
      </c>
      <c r="J361" s="186">
        <f t="shared" si="135"/>
        <v>-13632417</v>
      </c>
      <c r="K361" s="186">
        <f t="shared" si="135"/>
        <v>-13394009</v>
      </c>
      <c r="L361" s="186">
        <f t="shared" si="135"/>
        <v>-13247546</v>
      </c>
      <c r="M361" s="186">
        <f t="shared" si="135"/>
        <v>-13313778</v>
      </c>
      <c r="N361" s="186">
        <f t="shared" si="135"/>
        <v>-13182019</v>
      </c>
      <c r="O361" s="186">
        <f t="shared" si="135"/>
        <v>-13011329</v>
      </c>
      <c r="P361" s="186">
        <f t="shared" si="135"/>
        <v>-12840186</v>
      </c>
      <c r="Q361" s="186">
        <f t="shared" si="135"/>
        <v>-12647291</v>
      </c>
      <c r="R361" s="186">
        <f t="shared" si="135"/>
        <v>-12481781</v>
      </c>
      <c r="S361" s="186">
        <f t="shared" si="135"/>
        <v>-12369263</v>
      </c>
      <c r="T361" s="186">
        <f t="shared" si="135"/>
        <v>-13249216</v>
      </c>
      <c r="U361" s="186">
        <f t="shared" si="135"/>
        <v>-13249216</v>
      </c>
      <c r="V361" s="186">
        <f t="shared" si="135"/>
        <v>-13249216</v>
      </c>
      <c r="W361" s="186">
        <f>SUBTOTAL(9,W353:W360)</f>
        <v>0</v>
      </c>
      <c r="X361" s="186">
        <f>SUBTOTAL(9,X353:X360)</f>
        <v>-320577</v>
      </c>
      <c r="Y361" s="186">
        <f>SUBTOTAL(9,Y353:Y360)</f>
        <v>0</v>
      </c>
      <c r="Z361" s="186">
        <f>SUBTOTAL(9,Z353:Z360)</f>
        <v>-320577</v>
      </c>
      <c r="AA361" s="251"/>
      <c r="AB361" s="287"/>
      <c r="AC361" s="186">
        <f>SUBTOTAL(9,AC353:AC360)</f>
        <v>-19597</v>
      </c>
      <c r="AD361" s="186">
        <f>SUBTOTAL(9,AD353:AD360)</f>
        <v>0</v>
      </c>
      <c r="AE361" s="186">
        <f>SUBTOTAL(9,AE353:AE360)</f>
        <v>-19597</v>
      </c>
    </row>
    <row r="362" spans="1:31">
      <c r="A362" s="371"/>
      <c r="B362" s="372"/>
      <c r="C362" s="201"/>
      <c r="D362" s="373"/>
      <c r="E362" s="372"/>
      <c r="F362" s="372"/>
      <c r="G362" s="202"/>
      <c r="H362" s="202"/>
      <c r="I362" s="202"/>
      <c r="J362" s="202"/>
      <c r="K362" s="202"/>
      <c r="L362" s="202"/>
      <c r="M362" s="202"/>
      <c r="N362" s="202"/>
      <c r="O362" s="202"/>
      <c r="P362" s="202"/>
      <c r="Q362" s="202"/>
      <c r="R362" s="202"/>
      <c r="S362" s="202"/>
      <c r="T362" s="202"/>
      <c r="U362" s="202"/>
      <c r="V362" s="202"/>
      <c r="W362" s="202"/>
      <c r="X362" s="202"/>
      <c r="Y362" s="202"/>
      <c r="Z362" s="202"/>
      <c r="AA362" s="202"/>
      <c r="AB362" s="202"/>
      <c r="AC362" s="370"/>
      <c r="AD362" s="370"/>
      <c r="AE362" s="370"/>
    </row>
    <row r="363" spans="1:31">
      <c r="A363" s="371"/>
      <c r="B363" s="372"/>
      <c r="C363" s="201"/>
      <c r="D363" s="373"/>
      <c r="E363" s="372"/>
      <c r="F363" s="372"/>
      <c r="G363" s="202"/>
      <c r="H363" s="202"/>
      <c r="I363" s="202"/>
      <c r="J363" s="202"/>
      <c r="K363" s="202"/>
      <c r="L363" s="202"/>
      <c r="M363" s="202"/>
      <c r="N363" s="202"/>
      <c r="O363" s="202"/>
      <c r="P363" s="202"/>
      <c r="Q363" s="202"/>
      <c r="R363" s="202"/>
      <c r="S363" s="202"/>
      <c r="T363" s="202"/>
      <c r="U363" s="202"/>
      <c r="V363" s="202"/>
      <c r="W363" s="202"/>
      <c r="X363" s="202"/>
      <c r="Y363" s="202"/>
      <c r="Z363" s="202"/>
      <c r="AA363" s="202"/>
      <c r="AB363" s="202"/>
      <c r="AC363" s="370"/>
      <c r="AD363" s="370"/>
      <c r="AE363" s="370"/>
    </row>
    <row r="364" spans="1:31">
      <c r="A364" s="371"/>
      <c r="B364" s="372"/>
      <c r="C364" s="201"/>
      <c r="D364" s="373"/>
      <c r="E364" s="372"/>
      <c r="F364" s="372"/>
      <c r="G364" s="202"/>
      <c r="H364" s="202"/>
      <c r="I364" s="202"/>
      <c r="J364" s="202"/>
      <c r="K364" s="202"/>
      <c r="L364" s="202"/>
      <c r="M364" s="202"/>
      <c r="N364" s="202"/>
      <c r="O364" s="202"/>
      <c r="P364" s="202"/>
      <c r="Q364" s="202"/>
      <c r="R364" s="202"/>
      <c r="S364" s="202"/>
      <c r="T364" s="202"/>
      <c r="U364" s="202"/>
      <c r="V364" s="202"/>
      <c r="W364" s="202"/>
      <c r="X364" s="202"/>
      <c r="Y364" s="202"/>
      <c r="Z364" s="202"/>
      <c r="AA364" s="202"/>
      <c r="AB364" s="202"/>
      <c r="AC364" s="370"/>
      <c r="AD364" s="370"/>
      <c r="AE364" s="370"/>
    </row>
    <row r="365" spans="1:31">
      <c r="A365" s="371"/>
      <c r="B365" s="372"/>
      <c r="C365" s="201"/>
      <c r="D365" s="373"/>
      <c r="E365" s="372"/>
      <c r="F365" s="372"/>
      <c r="G365" s="202"/>
      <c r="H365" s="202"/>
      <c r="I365" s="202"/>
      <c r="J365" s="202"/>
      <c r="K365" s="202"/>
      <c r="L365" s="202"/>
      <c r="M365" s="202"/>
      <c r="N365" s="202"/>
      <c r="O365" s="202"/>
      <c r="P365" s="202"/>
      <c r="Q365" s="202"/>
      <c r="R365" s="202"/>
      <c r="S365" s="202"/>
      <c r="T365" s="202"/>
      <c r="U365" s="202"/>
      <c r="V365" s="202"/>
      <c r="W365" s="202"/>
      <c r="X365" s="202"/>
      <c r="Y365" s="202"/>
      <c r="Z365" s="202"/>
      <c r="AA365" s="202"/>
      <c r="AB365" s="202"/>
      <c r="AC365" s="370"/>
      <c r="AD365" s="370"/>
      <c r="AE365" s="370"/>
    </row>
    <row r="366" spans="1:31">
      <c r="A366" s="371"/>
      <c r="B366" s="372"/>
      <c r="C366" s="201"/>
      <c r="D366" s="373"/>
      <c r="E366" s="372"/>
      <c r="F366" s="372"/>
      <c r="G366" s="202"/>
      <c r="H366" s="202"/>
      <c r="I366" s="202"/>
      <c r="J366" s="202"/>
      <c r="K366" s="202"/>
      <c r="L366" s="202"/>
      <c r="M366" s="202"/>
      <c r="N366" s="202"/>
      <c r="O366" s="202"/>
      <c r="P366" s="202"/>
      <c r="Q366" s="202"/>
      <c r="R366" s="202"/>
      <c r="S366" s="202"/>
      <c r="T366" s="202"/>
      <c r="U366" s="202"/>
      <c r="V366" s="202"/>
      <c r="W366" s="202"/>
      <c r="X366" s="202"/>
      <c r="Y366" s="202"/>
      <c r="Z366" s="202"/>
      <c r="AA366" s="202"/>
      <c r="AB366" s="202"/>
      <c r="AC366" s="370"/>
      <c r="AD366" s="370"/>
      <c r="AE366" s="370"/>
    </row>
    <row r="367" spans="1:31">
      <c r="A367" s="371"/>
      <c r="B367" s="372"/>
      <c r="C367" s="201"/>
      <c r="D367" s="373"/>
      <c r="E367" s="372"/>
      <c r="F367" s="372"/>
      <c r="G367" s="202"/>
      <c r="H367" s="202"/>
      <c r="I367" s="202"/>
      <c r="J367" s="202"/>
      <c r="K367" s="202"/>
      <c r="L367" s="202"/>
      <c r="M367" s="202"/>
      <c r="N367" s="202"/>
      <c r="O367" s="202"/>
      <c r="P367" s="202"/>
      <c r="Q367" s="202"/>
      <c r="R367" s="202"/>
      <c r="S367" s="202"/>
      <c r="T367" s="202"/>
      <c r="U367" s="202"/>
      <c r="V367" s="202"/>
      <c r="W367" s="202"/>
      <c r="X367" s="202"/>
      <c r="Y367" s="202"/>
      <c r="Z367" s="202"/>
      <c r="AA367" s="202"/>
      <c r="AB367" s="202"/>
      <c r="AC367" s="370"/>
      <c r="AD367" s="370"/>
      <c r="AE367" s="370"/>
    </row>
  </sheetData>
  <autoFilter ref="A2:AE349"/>
  <sortState ref="E386:E440">
    <sortCondition ref="E388:E442"/>
  </sortState>
  <pageMargins left="0.25" right="0.25" top="0.75" bottom="0.75" header="0.3" footer="0.3"/>
  <pageSetup paperSize="3" scale="45" fitToWidth="0" orientation="landscape" r:id="rId1"/>
  <headerFooter>
    <oddHeader xml:space="preserve">&amp;L&amp;"Arial,Bold"&amp;10PacifiCorp 
Washington - General Rate Case
Twelve Months Ending December 31, 2020
</oddHeader>
    <oddFooter>&amp;L&amp;"Arial,Bold"&amp;10ACCUMULATED DEFERRED INCOME TAX&amp;R&amp;"Arial,Bold"&amp;10Page &amp;P of &amp;N</oddFooter>
  </headerFooter>
  <ignoredErrors>
    <ignoredError sqref="H147:I147 K147:L147 O147 Q147:R14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zoomScale="80" zoomScaleNormal="80"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50.7109375" style="6" customWidth="1"/>
    <col min="2" max="14" width="15.7109375" style="6" customWidth="1"/>
    <col min="15" max="15" width="9.140625" style="6"/>
    <col min="16" max="16" width="15.7109375" style="6" customWidth="1"/>
    <col min="17" max="16384" width="9.140625" style="6"/>
  </cols>
  <sheetData>
    <row r="1" spans="1:16">
      <c r="A1" s="79" t="s">
        <v>327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</row>
    <row r="2" spans="1:16">
      <c r="A2" s="524" t="s">
        <v>92</v>
      </c>
      <c r="B2" s="524" t="s">
        <v>93</v>
      </c>
      <c r="C2" s="524" t="s">
        <v>94</v>
      </c>
      <c r="D2" s="524" t="s">
        <v>95</v>
      </c>
      <c r="E2" s="524" t="s">
        <v>96</v>
      </c>
      <c r="F2" s="524" t="s">
        <v>97</v>
      </c>
      <c r="G2" s="524" t="s">
        <v>98</v>
      </c>
      <c r="H2" s="524" t="s">
        <v>99</v>
      </c>
      <c r="I2" s="524" t="s">
        <v>100</v>
      </c>
      <c r="J2" s="524" t="s">
        <v>101</v>
      </c>
      <c r="K2" s="524" t="s">
        <v>102</v>
      </c>
      <c r="L2" s="524" t="s">
        <v>72</v>
      </c>
      <c r="M2" s="524" t="s">
        <v>15</v>
      </c>
      <c r="N2" s="524" t="s">
        <v>334</v>
      </c>
      <c r="P2" s="524" t="s">
        <v>97</v>
      </c>
    </row>
    <row r="3" spans="1:16">
      <c r="A3" s="78" t="s">
        <v>103</v>
      </c>
      <c r="B3" s="78" t="s">
        <v>26</v>
      </c>
      <c r="C3" s="82">
        <v>1</v>
      </c>
      <c r="D3" s="82">
        <v>0</v>
      </c>
      <c r="E3" s="82">
        <v>0</v>
      </c>
      <c r="F3" s="82">
        <v>1</v>
      </c>
      <c r="G3" s="82">
        <v>0</v>
      </c>
      <c r="H3" s="82">
        <v>0</v>
      </c>
      <c r="I3" s="82">
        <v>0</v>
      </c>
      <c r="J3" s="82">
        <v>0</v>
      </c>
      <c r="K3" s="82">
        <v>0</v>
      </c>
      <c r="L3" s="82">
        <v>0</v>
      </c>
      <c r="M3" s="82">
        <v>0</v>
      </c>
      <c r="N3" s="82">
        <v>0</v>
      </c>
      <c r="P3" s="82">
        <f>+F3</f>
        <v>1</v>
      </c>
    </row>
    <row r="4" spans="1:16">
      <c r="A4" s="78" t="s">
        <v>103</v>
      </c>
      <c r="B4" s="78"/>
      <c r="C4" s="82">
        <v>1</v>
      </c>
      <c r="D4" s="82">
        <v>0</v>
      </c>
      <c r="E4" s="82">
        <v>0</v>
      </c>
      <c r="F4" s="82">
        <v>0</v>
      </c>
      <c r="G4" s="82">
        <v>0</v>
      </c>
      <c r="H4" s="82">
        <v>0</v>
      </c>
      <c r="I4" s="82">
        <v>0</v>
      </c>
      <c r="J4" s="82">
        <v>0</v>
      </c>
      <c r="K4" s="82">
        <v>0</v>
      </c>
      <c r="L4" s="82">
        <v>0</v>
      </c>
      <c r="M4" s="82">
        <v>0</v>
      </c>
      <c r="N4" s="82">
        <v>0</v>
      </c>
      <c r="P4" s="82">
        <f>+F4</f>
        <v>0</v>
      </c>
    </row>
    <row r="5" spans="1:16">
      <c r="A5" s="7" t="s">
        <v>104</v>
      </c>
      <c r="B5" s="78" t="s">
        <v>19</v>
      </c>
      <c r="C5" s="82">
        <v>1</v>
      </c>
      <c r="D5" s="82">
        <v>1.4169723417926893E-2</v>
      </c>
      <c r="E5" s="82">
        <v>0.25548929395232889</v>
      </c>
      <c r="F5" s="82">
        <v>7.8111041399714837E-2</v>
      </c>
      <c r="G5" s="82">
        <v>0</v>
      </c>
      <c r="H5" s="82">
        <v>0.12699884843149184</v>
      </c>
      <c r="I5" s="82">
        <v>0.44125326878363164</v>
      </c>
      <c r="J5" s="82">
        <v>5.9255041742391552E-2</v>
      </c>
      <c r="K5" s="82">
        <v>2.4382588929119191E-2</v>
      </c>
      <c r="L5" s="82">
        <v>3.401933433952953E-4</v>
      </c>
      <c r="M5" s="82">
        <v>0</v>
      </c>
      <c r="N5" s="82">
        <v>0</v>
      </c>
      <c r="P5" s="82">
        <f t="shared" ref="P5:P68" si="0">+F5</f>
        <v>7.8111041399714837E-2</v>
      </c>
    </row>
    <row r="6" spans="1:16">
      <c r="A6" s="78" t="s">
        <v>105</v>
      </c>
      <c r="B6" s="78" t="s">
        <v>106</v>
      </c>
      <c r="C6" s="82">
        <v>1</v>
      </c>
      <c r="D6" s="82">
        <v>1.4169723417926893E-2</v>
      </c>
      <c r="E6" s="82">
        <v>0.25548929395232889</v>
      </c>
      <c r="F6" s="82">
        <v>7.8111041399714837E-2</v>
      </c>
      <c r="G6" s="82">
        <v>0</v>
      </c>
      <c r="H6" s="82">
        <v>0.12699884843149184</v>
      </c>
      <c r="I6" s="82">
        <v>0.44125326878363164</v>
      </c>
      <c r="J6" s="82">
        <v>5.9255041742391552E-2</v>
      </c>
      <c r="K6" s="82">
        <v>2.4382588929119191E-2</v>
      </c>
      <c r="L6" s="82">
        <v>3.401933433952953E-4</v>
      </c>
      <c r="M6" s="82">
        <v>0</v>
      </c>
      <c r="N6" s="82">
        <v>0</v>
      </c>
      <c r="P6" s="82">
        <f t="shared" si="0"/>
        <v>7.8111041399714837E-2</v>
      </c>
    </row>
    <row r="7" spans="1:16">
      <c r="A7" s="78" t="s">
        <v>107</v>
      </c>
      <c r="B7" s="78" t="s">
        <v>108</v>
      </c>
      <c r="C7" s="82">
        <v>1</v>
      </c>
      <c r="D7" s="82">
        <v>1.4169723417926893E-2</v>
      </c>
      <c r="E7" s="82">
        <v>0.25548929395232889</v>
      </c>
      <c r="F7" s="82">
        <v>7.8111041399714837E-2</v>
      </c>
      <c r="G7" s="82">
        <v>0</v>
      </c>
      <c r="H7" s="82">
        <v>0.12699884843149184</v>
      </c>
      <c r="I7" s="82">
        <v>0.44125326878363164</v>
      </c>
      <c r="J7" s="82">
        <v>5.9255041742391552E-2</v>
      </c>
      <c r="K7" s="82">
        <v>2.4382588929119191E-2</v>
      </c>
      <c r="L7" s="82">
        <v>3.401933433952953E-4</v>
      </c>
      <c r="M7" s="82">
        <v>0</v>
      </c>
      <c r="N7" s="82">
        <v>0</v>
      </c>
      <c r="P7" s="82">
        <f t="shared" si="0"/>
        <v>7.8111041399714837E-2</v>
      </c>
    </row>
    <row r="8" spans="1:16">
      <c r="A8" s="78" t="s">
        <v>109</v>
      </c>
      <c r="B8" s="78" t="s">
        <v>110</v>
      </c>
      <c r="C8" s="82">
        <v>1</v>
      </c>
      <c r="D8" s="82">
        <v>2.9845516846186693E-2</v>
      </c>
      <c r="E8" s="82">
        <v>0.53813400599107708</v>
      </c>
      <c r="F8" s="82">
        <v>0.16452434061055596</v>
      </c>
      <c r="G8" s="82">
        <v>0</v>
      </c>
      <c r="H8" s="82">
        <v>0.26749613655218035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P8" s="82">
        <f t="shared" si="0"/>
        <v>0.16452434061055596</v>
      </c>
    </row>
    <row r="9" spans="1:16">
      <c r="A9" s="78" t="s">
        <v>111</v>
      </c>
      <c r="B9" s="78" t="s">
        <v>112</v>
      </c>
      <c r="C9" s="82">
        <v>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0.84011261868094067</v>
      </c>
      <c r="J9" s="82">
        <v>0.11281708671637981</v>
      </c>
      <c r="K9" s="82">
        <v>4.6422592385389483E-2</v>
      </c>
      <c r="L9" s="82">
        <v>6.4770221729006235E-4</v>
      </c>
      <c r="M9" s="82">
        <v>0</v>
      </c>
      <c r="N9" s="82">
        <v>0</v>
      </c>
      <c r="P9" s="82">
        <f t="shared" si="0"/>
        <v>0</v>
      </c>
    </row>
    <row r="10" spans="1:16">
      <c r="A10" s="78" t="s">
        <v>113</v>
      </c>
      <c r="B10" s="78" t="s">
        <v>114</v>
      </c>
      <c r="C10" s="82">
        <v>1</v>
      </c>
      <c r="D10" s="82">
        <v>1.4249775319185302E-2</v>
      </c>
      <c r="E10" s="82">
        <v>0.2603588871970105</v>
      </c>
      <c r="F10" s="82">
        <v>7.9359363115139928E-2</v>
      </c>
      <c r="G10" s="82">
        <v>0</v>
      </c>
      <c r="H10" s="82">
        <v>0.12260777088356635</v>
      </c>
      <c r="I10" s="82">
        <v>0.44213896874550557</v>
      </c>
      <c r="J10" s="82">
        <v>5.750322564109351E-2</v>
      </c>
      <c r="K10" s="82">
        <v>2.3440621536391617E-2</v>
      </c>
      <c r="L10" s="82">
        <v>3.4138756210732598E-4</v>
      </c>
      <c r="M10" s="82">
        <v>0</v>
      </c>
      <c r="N10" s="82">
        <v>0</v>
      </c>
      <c r="P10" s="82">
        <f t="shared" si="0"/>
        <v>7.9359363115139928E-2</v>
      </c>
    </row>
    <row r="11" spans="1:16">
      <c r="A11" s="78" t="s">
        <v>115</v>
      </c>
      <c r="B11" s="78" t="s">
        <v>13</v>
      </c>
      <c r="C11" s="82">
        <v>1</v>
      </c>
      <c r="D11" s="82">
        <v>1.3929567714151662E-2</v>
      </c>
      <c r="E11" s="82">
        <v>0.24088051421828402</v>
      </c>
      <c r="F11" s="82">
        <v>7.4366076253439578E-2</v>
      </c>
      <c r="G11" s="82">
        <v>0</v>
      </c>
      <c r="H11" s="82">
        <v>0.1401720810752683</v>
      </c>
      <c r="I11" s="82">
        <v>0.43859616889800973</v>
      </c>
      <c r="J11" s="82">
        <v>6.4510490046285673E-2</v>
      </c>
      <c r="K11" s="82">
        <v>2.7208491107301919E-2</v>
      </c>
      <c r="L11" s="82">
        <v>3.3661068725920326E-4</v>
      </c>
      <c r="M11" s="82">
        <v>0</v>
      </c>
      <c r="N11" s="82">
        <v>0</v>
      </c>
      <c r="P11" s="82">
        <f t="shared" si="0"/>
        <v>7.4366076253439578E-2</v>
      </c>
    </row>
    <row r="12" spans="1:16">
      <c r="A12" s="78" t="s">
        <v>116</v>
      </c>
      <c r="B12" s="78" t="s">
        <v>117</v>
      </c>
      <c r="C12" s="82">
        <v>1</v>
      </c>
      <c r="D12" s="82">
        <v>4.2316453873570276E-2</v>
      </c>
      <c r="E12" s="82">
        <v>0.73176780343328052</v>
      </c>
      <c r="F12" s="82">
        <v>0.22591574269314921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P12" s="82">
        <f t="shared" si="0"/>
        <v>0.22591574269314921</v>
      </c>
    </row>
    <row r="13" spans="1:16">
      <c r="A13" s="78" t="s">
        <v>118</v>
      </c>
      <c r="B13" s="78" t="s">
        <v>119</v>
      </c>
      <c r="C13" s="82">
        <v>1</v>
      </c>
      <c r="D13" s="82">
        <v>0</v>
      </c>
      <c r="E13" s="82">
        <v>0</v>
      </c>
      <c r="F13" s="82">
        <v>0</v>
      </c>
      <c r="G13" s="82">
        <v>0</v>
      </c>
      <c r="H13" s="82">
        <v>0.20895512702142133</v>
      </c>
      <c r="I13" s="82">
        <v>0.65381720439736279</v>
      </c>
      <c r="J13" s="82">
        <v>9.6166066298163225E-2</v>
      </c>
      <c r="K13" s="82">
        <v>4.0559815276871129E-2</v>
      </c>
      <c r="L13" s="82">
        <v>5.017870061816811E-4</v>
      </c>
      <c r="M13" s="82">
        <v>0</v>
      </c>
      <c r="N13" s="82">
        <v>0</v>
      </c>
      <c r="P13" s="82">
        <f t="shared" si="0"/>
        <v>0</v>
      </c>
    </row>
    <row r="14" spans="1:16">
      <c r="A14" s="78" t="s">
        <v>120</v>
      </c>
      <c r="B14" s="78" t="s">
        <v>121</v>
      </c>
      <c r="C14" s="82">
        <v>0.99999999999999978</v>
      </c>
      <c r="D14" s="82">
        <v>2.9678534079684279E-2</v>
      </c>
      <c r="E14" s="82">
        <v>0.51322343213108124</v>
      </c>
      <c r="F14" s="82">
        <v>0.15844541436973958</v>
      </c>
      <c r="G14" s="82">
        <v>0</v>
      </c>
      <c r="H14" s="82">
        <v>0.29865261941949478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P14" s="82">
        <f t="shared" si="0"/>
        <v>0.15844541436973958</v>
      </c>
    </row>
    <row r="15" spans="1:16">
      <c r="A15" s="78" t="s">
        <v>122</v>
      </c>
      <c r="B15" s="78" t="s">
        <v>123</v>
      </c>
      <c r="C15" s="82">
        <v>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0.82652353454425065</v>
      </c>
      <c r="J15" s="82">
        <v>0.12156840854812967</v>
      </c>
      <c r="K15" s="82">
        <v>5.1273722468041925E-2</v>
      </c>
      <c r="L15" s="82">
        <v>6.3433443957770178E-4</v>
      </c>
      <c r="M15" s="82">
        <v>0</v>
      </c>
      <c r="N15" s="82">
        <v>0</v>
      </c>
      <c r="P15" s="82">
        <f t="shared" si="0"/>
        <v>0</v>
      </c>
    </row>
    <row r="16" spans="1:16">
      <c r="A16" s="78" t="s">
        <v>124</v>
      </c>
      <c r="B16" s="78" t="s">
        <v>10</v>
      </c>
      <c r="C16" s="82">
        <v>1</v>
      </c>
      <c r="D16" s="82">
        <v>1.9365863482081101E-2</v>
      </c>
      <c r="E16" s="82">
        <v>0.24539457989418231</v>
      </c>
      <c r="F16" s="82">
        <v>6.7017620954721469E-2</v>
      </c>
      <c r="G16" s="82">
        <v>0</v>
      </c>
      <c r="H16" s="82">
        <v>0.12238021906200923</v>
      </c>
      <c r="I16" s="82">
        <v>0.46080784248160161</v>
      </c>
      <c r="J16" s="82">
        <v>6.1060027203752885E-2</v>
      </c>
      <c r="K16" s="82">
        <v>2.371638804573694E-2</v>
      </c>
      <c r="L16" s="82">
        <v>2.5745887591448099E-4</v>
      </c>
      <c r="M16" s="82">
        <v>0</v>
      </c>
      <c r="N16" s="82">
        <v>0</v>
      </c>
      <c r="P16" s="82">
        <f t="shared" si="0"/>
        <v>6.7017620954721469E-2</v>
      </c>
    </row>
    <row r="17" spans="1:16">
      <c r="A17" s="78" t="s">
        <v>125</v>
      </c>
      <c r="B17" s="78" t="s">
        <v>126</v>
      </c>
      <c r="C17" s="82">
        <v>1</v>
      </c>
      <c r="D17" s="82">
        <v>1.9365863482081101E-2</v>
      </c>
      <c r="E17" s="82">
        <v>0.24539457989418231</v>
      </c>
      <c r="F17" s="82">
        <v>6.7017620954721469E-2</v>
      </c>
      <c r="G17" s="82">
        <v>0</v>
      </c>
      <c r="H17" s="82">
        <v>0.12238021906200923</v>
      </c>
      <c r="I17" s="82">
        <v>0.46080784248160161</v>
      </c>
      <c r="J17" s="82">
        <v>6.1060027203752885E-2</v>
      </c>
      <c r="K17" s="82">
        <v>2.371638804573694E-2</v>
      </c>
      <c r="L17" s="82">
        <v>2.5745887591448099E-4</v>
      </c>
      <c r="M17" s="82">
        <v>0</v>
      </c>
      <c r="N17" s="82">
        <v>0</v>
      </c>
      <c r="P17" s="82">
        <f t="shared" si="0"/>
        <v>6.7017620954721469E-2</v>
      </c>
    </row>
    <row r="18" spans="1:16">
      <c r="A18" s="78" t="s">
        <v>127</v>
      </c>
      <c r="B18" s="78" t="s">
        <v>128</v>
      </c>
      <c r="C18" s="82">
        <v>1</v>
      </c>
      <c r="D18" s="82">
        <v>1.9365863482081101E-2</v>
      </c>
      <c r="E18" s="82">
        <v>0.24539457989418231</v>
      </c>
      <c r="F18" s="82">
        <v>6.7017620954721469E-2</v>
      </c>
      <c r="G18" s="82">
        <v>0</v>
      </c>
      <c r="H18" s="82">
        <v>0.12238021906200923</v>
      </c>
      <c r="I18" s="82">
        <v>0.46080784248160161</v>
      </c>
      <c r="J18" s="82">
        <v>6.1060027203752885E-2</v>
      </c>
      <c r="K18" s="82">
        <v>2.371638804573694E-2</v>
      </c>
      <c r="L18" s="82">
        <v>2.5745887591448099E-4</v>
      </c>
      <c r="M18" s="82">
        <v>0</v>
      </c>
      <c r="N18" s="82">
        <v>0</v>
      </c>
      <c r="P18" s="82">
        <f t="shared" si="0"/>
        <v>6.7017620954721469E-2</v>
      </c>
    </row>
    <row r="19" spans="1:16">
      <c r="A19" s="78" t="s">
        <v>129</v>
      </c>
      <c r="B19" s="78" t="s">
        <v>130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P19" s="82">
        <f t="shared" si="0"/>
        <v>0</v>
      </c>
    </row>
    <row r="20" spans="1:16">
      <c r="A20" s="78" t="s">
        <v>131</v>
      </c>
      <c r="B20" s="78" t="s">
        <v>132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P20" s="82">
        <f t="shared" si="0"/>
        <v>0</v>
      </c>
    </row>
    <row r="21" spans="1:16">
      <c r="A21" s="78" t="s">
        <v>133</v>
      </c>
      <c r="B21" s="78" t="s">
        <v>49</v>
      </c>
      <c r="C21" s="82">
        <v>0.99999999999999989</v>
      </c>
      <c r="D21" s="82">
        <v>1.9365863482081112E-2</v>
      </c>
      <c r="E21" s="82">
        <v>0.24539457989418229</v>
      </c>
      <c r="F21" s="82">
        <v>6.7017620954721469E-2</v>
      </c>
      <c r="G21" s="82">
        <v>0</v>
      </c>
      <c r="H21" s="82">
        <v>0.12238021906200922</v>
      </c>
      <c r="I21" s="82">
        <v>0.46080784248160156</v>
      </c>
      <c r="J21" s="82">
        <v>6.1060027203752885E-2</v>
      </c>
      <c r="K21" s="82">
        <v>2.371638804573694E-2</v>
      </c>
      <c r="L21" s="82">
        <v>2.5745887591448104E-4</v>
      </c>
      <c r="M21" s="82">
        <v>0</v>
      </c>
      <c r="N21" s="82">
        <v>0</v>
      </c>
      <c r="P21" s="82">
        <f t="shared" si="0"/>
        <v>6.7017620954721469E-2</v>
      </c>
    </row>
    <row r="22" spans="1:16">
      <c r="A22" s="78" t="s">
        <v>134</v>
      </c>
      <c r="B22" s="78" t="s">
        <v>135</v>
      </c>
      <c r="C22" s="82">
        <v>1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P22" s="82">
        <f t="shared" si="0"/>
        <v>0</v>
      </c>
    </row>
    <row r="23" spans="1:16">
      <c r="A23" s="78" t="s">
        <v>136</v>
      </c>
      <c r="B23" s="78" t="s">
        <v>137</v>
      </c>
      <c r="C23" s="82">
        <v>1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P23" s="82">
        <f t="shared" si="0"/>
        <v>0</v>
      </c>
    </row>
    <row r="24" spans="1:16">
      <c r="A24" s="78" t="s">
        <v>138</v>
      </c>
      <c r="B24" s="78" t="s">
        <v>16</v>
      </c>
      <c r="C24" s="82">
        <v>1</v>
      </c>
      <c r="D24" s="82">
        <v>1.6705365975130095E-2</v>
      </c>
      <c r="E24" s="82">
        <v>0.22278222719612598</v>
      </c>
      <c r="F24" s="82">
        <v>6.0894111271351227E-2</v>
      </c>
      <c r="G24" s="82">
        <v>0</v>
      </c>
      <c r="H24" s="82">
        <v>0.12592571023280558</v>
      </c>
      <c r="I24" s="82">
        <v>0.48639154643210392</v>
      </c>
      <c r="J24" s="82">
        <v>6.2591295688628978E-2</v>
      </c>
      <c r="K24" s="82">
        <v>2.4261908688767559E-2</v>
      </c>
      <c r="L24" s="82">
        <v>2.7190771167417228E-4</v>
      </c>
      <c r="M24" s="82">
        <v>1.7592680341238073E-4</v>
      </c>
      <c r="N24" s="82">
        <v>0</v>
      </c>
      <c r="P24" s="82">
        <f t="shared" si="0"/>
        <v>6.0894111271351227E-2</v>
      </c>
    </row>
    <row r="25" spans="1:16">
      <c r="A25" s="7" t="s">
        <v>139</v>
      </c>
      <c r="B25" s="7" t="s">
        <v>140</v>
      </c>
      <c r="C25" s="82">
        <v>1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P25" s="82">
        <f t="shared" si="0"/>
        <v>0</v>
      </c>
    </row>
    <row r="26" spans="1:16">
      <c r="A26" s="7" t="s">
        <v>141</v>
      </c>
      <c r="B26" s="7" t="s">
        <v>142</v>
      </c>
      <c r="C26" s="82">
        <v>1.0000000000000002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P26" s="82">
        <f t="shared" si="0"/>
        <v>0</v>
      </c>
    </row>
    <row r="27" spans="1:16">
      <c r="A27" s="7" t="s">
        <v>143</v>
      </c>
      <c r="B27" s="7" t="s">
        <v>144</v>
      </c>
      <c r="C27" s="82">
        <v>1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82">
        <v>0</v>
      </c>
      <c r="P27" s="82">
        <f t="shared" si="0"/>
        <v>0</v>
      </c>
    </row>
    <row r="28" spans="1:16">
      <c r="A28" s="7" t="s">
        <v>145</v>
      </c>
      <c r="B28" s="7" t="s">
        <v>146</v>
      </c>
      <c r="C28" s="82">
        <v>0.99999999999999967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P28" s="82">
        <f t="shared" si="0"/>
        <v>0</v>
      </c>
    </row>
    <row r="29" spans="1:16">
      <c r="A29" s="7" t="s">
        <v>147</v>
      </c>
      <c r="B29" s="7" t="s">
        <v>53</v>
      </c>
      <c r="C29" s="82">
        <v>0.99999999999999978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P29" s="82">
        <f t="shared" si="0"/>
        <v>0</v>
      </c>
    </row>
    <row r="30" spans="1:16">
      <c r="A30" s="7" t="s">
        <v>148</v>
      </c>
      <c r="B30" s="7" t="s">
        <v>149</v>
      </c>
      <c r="C30" s="82">
        <v>1.0000000000000002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P30" s="82">
        <f t="shared" si="0"/>
        <v>0</v>
      </c>
    </row>
    <row r="31" spans="1:16">
      <c r="A31" s="7" t="s">
        <v>150</v>
      </c>
      <c r="B31" s="7" t="s">
        <v>151</v>
      </c>
      <c r="C31" s="82">
        <v>1.0000000000000002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P31" s="82">
        <f t="shared" si="0"/>
        <v>0</v>
      </c>
    </row>
    <row r="32" spans="1:16">
      <c r="A32" s="7" t="s">
        <v>152</v>
      </c>
      <c r="B32" s="7" t="s">
        <v>153</v>
      </c>
      <c r="C32" s="82">
        <v>1.0000000000000002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P32" s="82">
        <f t="shared" si="0"/>
        <v>0</v>
      </c>
    </row>
    <row r="33" spans="1:16">
      <c r="A33" s="7" t="s">
        <v>154</v>
      </c>
      <c r="B33" s="7" t="s">
        <v>155</v>
      </c>
      <c r="C33" s="82">
        <v>1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P33" s="82">
        <f t="shared" si="0"/>
        <v>0</v>
      </c>
    </row>
    <row r="34" spans="1:16">
      <c r="A34" s="7" t="s">
        <v>156</v>
      </c>
      <c r="B34" s="7" t="s">
        <v>157</v>
      </c>
      <c r="C34" s="82">
        <v>1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82">
        <v>0</v>
      </c>
      <c r="K34" s="82">
        <v>0</v>
      </c>
      <c r="L34" s="82">
        <v>0</v>
      </c>
      <c r="M34" s="82">
        <v>0</v>
      </c>
      <c r="N34" s="82">
        <v>0</v>
      </c>
      <c r="P34" s="82">
        <f t="shared" si="0"/>
        <v>0</v>
      </c>
    </row>
    <row r="35" spans="1:16">
      <c r="A35" s="78" t="s">
        <v>158</v>
      </c>
      <c r="B35" s="78" t="s">
        <v>21</v>
      </c>
      <c r="C35" s="82">
        <v>1.0000000000000002</v>
      </c>
      <c r="D35" s="82">
        <v>3.2166307106155832E-2</v>
      </c>
      <c r="E35" s="82">
        <v>0.26470984033703582</v>
      </c>
      <c r="F35" s="82">
        <v>6.4409240866138473E-2</v>
      </c>
      <c r="G35" s="82">
        <v>0</v>
      </c>
      <c r="H35" s="82">
        <v>8.6741009258897703E-2</v>
      </c>
      <c r="I35" s="82">
        <v>0.48367181064876774</v>
      </c>
      <c r="J35" s="82">
        <v>4.9853957001342805E-2</v>
      </c>
      <c r="K35" s="82">
        <v>1.8447834781661555E-2</v>
      </c>
      <c r="L35" s="82">
        <v>0</v>
      </c>
      <c r="M35" s="82">
        <v>0</v>
      </c>
      <c r="N35" s="82">
        <v>0</v>
      </c>
      <c r="P35" s="82">
        <f t="shared" si="0"/>
        <v>6.4409240866138473E-2</v>
      </c>
    </row>
    <row r="36" spans="1:16">
      <c r="A36" s="78" t="s">
        <v>159</v>
      </c>
      <c r="B36" s="78" t="s">
        <v>160</v>
      </c>
      <c r="C36" s="82">
        <v>1</v>
      </c>
      <c r="D36" s="82">
        <v>4.0221393563250663E-2</v>
      </c>
      <c r="E36" s="82">
        <v>0.74400667887033378</v>
      </c>
      <c r="F36" s="82">
        <v>0.21577192756641544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0</v>
      </c>
      <c r="M36" s="82">
        <v>0</v>
      </c>
      <c r="N36" s="82">
        <v>0</v>
      </c>
      <c r="P36" s="82">
        <f t="shared" si="0"/>
        <v>0.21577192756641544</v>
      </c>
    </row>
    <row r="37" spans="1:16">
      <c r="A37" s="78" t="s">
        <v>161</v>
      </c>
      <c r="B37" s="78" t="s">
        <v>162</v>
      </c>
      <c r="C37" s="82">
        <v>1</v>
      </c>
      <c r="D37" s="82">
        <v>0</v>
      </c>
      <c r="E37" s="82">
        <v>0</v>
      </c>
      <c r="F37" s="82">
        <v>0</v>
      </c>
      <c r="G37" s="82">
        <v>0</v>
      </c>
      <c r="H37" s="82">
        <v>0.19192634182345286</v>
      </c>
      <c r="I37" s="82">
        <v>0.679585064906573</v>
      </c>
      <c r="J37" s="82">
        <v>9.1819868374911212E-2</v>
      </c>
      <c r="K37" s="82">
        <v>3.6154368542928278E-2</v>
      </c>
      <c r="L37" s="82">
        <v>5.1435635213454743E-4</v>
      </c>
      <c r="M37" s="82">
        <v>0</v>
      </c>
      <c r="N37" s="82">
        <v>0</v>
      </c>
      <c r="P37" s="82">
        <f t="shared" si="0"/>
        <v>0</v>
      </c>
    </row>
    <row r="38" spans="1:16">
      <c r="A38" s="78" t="s">
        <v>163</v>
      </c>
      <c r="B38" s="78" t="s">
        <v>164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P38" s="82">
        <f t="shared" si="0"/>
        <v>0</v>
      </c>
    </row>
    <row r="39" spans="1:16">
      <c r="A39" s="78" t="s">
        <v>165</v>
      </c>
      <c r="B39" s="78" t="s">
        <v>166</v>
      </c>
      <c r="C39" s="82">
        <v>1.0000000000000002</v>
      </c>
      <c r="D39" s="82">
        <v>0</v>
      </c>
      <c r="E39" s="82">
        <v>0</v>
      </c>
      <c r="F39" s="82">
        <v>0</v>
      </c>
      <c r="G39" s="82">
        <v>0</v>
      </c>
      <c r="H39" s="82">
        <v>0.20895512702142133</v>
      </c>
      <c r="I39" s="82">
        <v>0.65381720439736279</v>
      </c>
      <c r="J39" s="82">
        <v>9.6166066298163225E-2</v>
      </c>
      <c r="K39" s="82">
        <v>4.0559815276871129E-2</v>
      </c>
      <c r="L39" s="82">
        <v>5.017870061816811E-4</v>
      </c>
      <c r="M39" s="82">
        <v>0</v>
      </c>
      <c r="N39" s="82">
        <v>0</v>
      </c>
      <c r="P39" s="82">
        <f t="shared" si="0"/>
        <v>0</v>
      </c>
    </row>
    <row r="40" spans="1:16">
      <c r="A40" s="78" t="s">
        <v>167</v>
      </c>
      <c r="B40" s="78" t="s">
        <v>168</v>
      </c>
      <c r="C40" s="82">
        <v>0</v>
      </c>
      <c r="D40" s="82">
        <v>4.0221393563250663E-2</v>
      </c>
      <c r="E40" s="82">
        <v>0.74400667887033378</v>
      </c>
      <c r="F40" s="82">
        <v>0.21577192756641544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P40" s="82">
        <f t="shared" si="0"/>
        <v>0.21577192756641544</v>
      </c>
    </row>
    <row r="41" spans="1:16">
      <c r="A41" s="78" t="s">
        <v>169</v>
      </c>
      <c r="B41" s="78" t="s">
        <v>170</v>
      </c>
      <c r="C41" s="82">
        <v>0</v>
      </c>
      <c r="D41" s="82">
        <v>4.2316453873570276E-2</v>
      </c>
      <c r="E41" s="82">
        <v>0.73176780343328052</v>
      </c>
      <c r="F41" s="82">
        <v>0.22591574269314921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P41" s="82">
        <f t="shared" si="0"/>
        <v>0.22591574269314921</v>
      </c>
    </row>
    <row r="42" spans="1:16">
      <c r="A42" s="78" t="s">
        <v>171</v>
      </c>
      <c r="B42" s="78" t="s">
        <v>172</v>
      </c>
      <c r="C42" s="82">
        <v>0</v>
      </c>
      <c r="D42" s="82">
        <v>8.9691890981651486E-3</v>
      </c>
      <c r="E42" s="82">
        <v>0.1659101289613929</v>
      </c>
      <c r="F42" s="82">
        <v>4.8116165278445512E-2</v>
      </c>
      <c r="G42" s="82">
        <v>0</v>
      </c>
      <c r="H42" s="82">
        <v>0.14912763446323704</v>
      </c>
      <c r="I42" s="82">
        <v>0.52804066488844303</v>
      </c>
      <c r="J42" s="82">
        <v>7.1344452446615983E-2</v>
      </c>
      <c r="K42" s="82">
        <v>2.8092107654917663E-2</v>
      </c>
      <c r="L42" s="82">
        <v>3.9965720878233147E-4</v>
      </c>
      <c r="M42" s="82">
        <v>0</v>
      </c>
      <c r="N42" s="82">
        <v>0</v>
      </c>
      <c r="P42" s="82">
        <f t="shared" si="0"/>
        <v>4.8116165278445512E-2</v>
      </c>
    </row>
    <row r="43" spans="1:16">
      <c r="A43" s="78" t="s">
        <v>173</v>
      </c>
      <c r="B43" s="78" t="s">
        <v>174</v>
      </c>
      <c r="C43" s="82">
        <v>0</v>
      </c>
      <c r="D43" s="82">
        <v>9.436378084687138E-3</v>
      </c>
      <c r="E43" s="82">
        <v>0.16318091501779358</v>
      </c>
      <c r="F43" s="82">
        <v>5.0378190235522861E-2</v>
      </c>
      <c r="G43" s="82">
        <v>0</v>
      </c>
      <c r="H43" s="82">
        <v>0.16235907747532549</v>
      </c>
      <c r="I43" s="82">
        <v>0.50801892088807044</v>
      </c>
      <c r="J43" s="82">
        <v>7.4721467863289787E-2</v>
      </c>
      <c r="K43" s="82">
        <v>3.1515159665105097E-2</v>
      </c>
      <c r="L43" s="82">
        <v>3.8989077020546716E-4</v>
      </c>
      <c r="M43" s="82">
        <v>0</v>
      </c>
      <c r="N43" s="82">
        <v>0</v>
      </c>
      <c r="P43" s="82">
        <f t="shared" si="0"/>
        <v>5.0378190235522861E-2</v>
      </c>
    </row>
    <row r="44" spans="1:16">
      <c r="A44" s="78" t="s">
        <v>175</v>
      </c>
      <c r="B44" s="78" t="s">
        <v>176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P44" s="82">
        <f t="shared" si="0"/>
        <v>0</v>
      </c>
    </row>
    <row r="45" spans="1:16">
      <c r="A45" s="78" t="s">
        <v>177</v>
      </c>
      <c r="B45" s="78" t="s">
        <v>178</v>
      </c>
      <c r="C45" s="82">
        <v>0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P45" s="82">
        <f t="shared" si="0"/>
        <v>0</v>
      </c>
    </row>
    <row r="46" spans="1:16">
      <c r="A46" s="78" t="s">
        <v>179</v>
      </c>
      <c r="B46" s="78" t="s">
        <v>180</v>
      </c>
      <c r="C46" s="82">
        <v>0.99999999999999978</v>
      </c>
      <c r="D46" s="82">
        <v>3.3487134562208407E-2</v>
      </c>
      <c r="E46" s="82">
        <v>0.61943780568748308</v>
      </c>
      <c r="F46" s="82">
        <v>0.17964528160370571</v>
      </c>
      <c r="G46" s="82">
        <v>0</v>
      </c>
      <c r="H46" s="82">
        <v>3.1210166242483711E-2</v>
      </c>
      <c r="I46" s="82">
        <v>0.11051095253591414</v>
      </c>
      <c r="J46" s="82">
        <v>1.4931318593984532E-2</v>
      </c>
      <c r="K46" s="82">
        <v>5.8792547281226303E-3</v>
      </c>
      <c r="L46" s="82">
        <v>8.3642230167464525E-5</v>
      </c>
      <c r="M46" s="82">
        <v>4.8144438159304749E-3</v>
      </c>
      <c r="N46" s="82">
        <v>0</v>
      </c>
      <c r="P46" s="82">
        <f t="shared" si="0"/>
        <v>0.17964528160370571</v>
      </c>
    </row>
    <row r="47" spans="1:16">
      <c r="A47" s="78" t="s">
        <v>181</v>
      </c>
      <c r="B47" s="78" t="s">
        <v>182</v>
      </c>
      <c r="C47" s="82">
        <v>0.99999999999999978</v>
      </c>
      <c r="D47" s="82">
        <v>3.3487134562208407E-2</v>
      </c>
      <c r="E47" s="82">
        <v>0.61943780568748308</v>
      </c>
      <c r="F47" s="82">
        <v>0.17964528160370571</v>
      </c>
      <c r="G47" s="82">
        <v>0</v>
      </c>
      <c r="H47" s="82">
        <v>3.1210166242483711E-2</v>
      </c>
      <c r="I47" s="82">
        <v>0.11051095253591414</v>
      </c>
      <c r="J47" s="82">
        <v>1.4931318593984532E-2</v>
      </c>
      <c r="K47" s="82">
        <v>5.8792547281226303E-3</v>
      </c>
      <c r="L47" s="82">
        <v>8.3642230167464525E-5</v>
      </c>
      <c r="M47" s="82">
        <v>4.8144438159304749E-3</v>
      </c>
      <c r="N47" s="82">
        <v>0</v>
      </c>
      <c r="P47" s="82">
        <f t="shared" si="0"/>
        <v>0.17964528160370571</v>
      </c>
    </row>
    <row r="48" spans="1:16">
      <c r="A48" s="78" t="s">
        <v>183</v>
      </c>
      <c r="B48" s="78" t="s">
        <v>60</v>
      </c>
      <c r="C48" s="82">
        <v>0.99999999999999989</v>
      </c>
      <c r="D48" s="82">
        <v>2.396572337770236E-2</v>
      </c>
      <c r="E48" s="82">
        <v>0.31217058907402434</v>
      </c>
      <c r="F48" s="82">
        <v>6.9360885492844845E-2</v>
      </c>
      <c r="G48" s="82">
        <v>0</v>
      </c>
      <c r="H48" s="82">
        <v>6.5978668808283791E-2</v>
      </c>
      <c r="I48" s="82">
        <v>0.47825390355568564</v>
      </c>
      <c r="J48" s="82">
        <v>4.2022014386386891E-2</v>
      </c>
      <c r="K48" s="82">
        <v>8.2482153050721166E-3</v>
      </c>
      <c r="L48" s="82">
        <v>0</v>
      </c>
      <c r="M48" s="82">
        <v>0</v>
      </c>
      <c r="N48" s="82">
        <v>0</v>
      </c>
      <c r="P48" s="82">
        <f t="shared" si="0"/>
        <v>6.9360885492844845E-2</v>
      </c>
    </row>
    <row r="49" spans="1:16">
      <c r="A49" s="78" t="s">
        <v>184</v>
      </c>
      <c r="B49" s="78" t="s">
        <v>185</v>
      </c>
      <c r="C49" s="82">
        <v>1</v>
      </c>
      <c r="D49" s="82">
        <v>5.083128335445649E-2</v>
      </c>
      <c r="E49" s="82">
        <v>0.66211361193098395</v>
      </c>
      <c r="F49" s="82">
        <v>0.14711439202720292</v>
      </c>
      <c r="G49" s="82">
        <v>0</v>
      </c>
      <c r="H49" s="82">
        <v>0.13994071268735667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P49" s="82">
        <f t="shared" si="0"/>
        <v>0.14711439202720292</v>
      </c>
    </row>
    <row r="50" spans="1:16">
      <c r="A50" s="78" t="s">
        <v>186</v>
      </c>
      <c r="B50" s="83" t="s">
        <v>187</v>
      </c>
      <c r="C50" s="82">
        <v>0.99999999999999989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0.90488564943551597</v>
      </c>
      <c r="J50" s="82">
        <v>7.9508222506723E-2</v>
      </c>
      <c r="K50" s="82">
        <v>1.5606128057761072E-2</v>
      </c>
      <c r="L50" s="82">
        <v>0</v>
      </c>
      <c r="M50" s="82">
        <v>0</v>
      </c>
      <c r="N50" s="82">
        <v>0</v>
      </c>
      <c r="P50" s="82">
        <f t="shared" si="0"/>
        <v>0</v>
      </c>
    </row>
    <row r="51" spans="1:16">
      <c r="A51" s="78" t="s">
        <v>188</v>
      </c>
      <c r="B51" s="78" t="s">
        <v>189</v>
      </c>
      <c r="C51" s="82">
        <v>1</v>
      </c>
      <c r="D51" s="82">
        <v>0</v>
      </c>
      <c r="E51" s="82">
        <v>0</v>
      </c>
      <c r="F51" s="82">
        <v>1</v>
      </c>
      <c r="G51" s="82">
        <v>0</v>
      </c>
      <c r="H51" s="82">
        <v>0</v>
      </c>
      <c r="I51" s="82">
        <v>0</v>
      </c>
      <c r="J51" s="82">
        <v>0</v>
      </c>
      <c r="K51" s="82">
        <v>0</v>
      </c>
      <c r="L51" s="82">
        <v>0</v>
      </c>
      <c r="M51" s="82">
        <v>0</v>
      </c>
      <c r="N51" s="82">
        <v>0</v>
      </c>
      <c r="P51" s="82">
        <f t="shared" si="0"/>
        <v>1</v>
      </c>
    </row>
    <row r="52" spans="1:16">
      <c r="A52" s="78" t="s">
        <v>190</v>
      </c>
      <c r="B52" s="78" t="s">
        <v>191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0</v>
      </c>
      <c r="M52" s="82">
        <v>0</v>
      </c>
      <c r="N52" s="82">
        <v>0</v>
      </c>
      <c r="P52" s="82">
        <f t="shared" si="0"/>
        <v>0</v>
      </c>
    </row>
    <row r="53" spans="1:16">
      <c r="A53" s="78" t="s">
        <v>192</v>
      </c>
      <c r="B53" s="78" t="s">
        <v>193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P53" s="82">
        <f t="shared" si="0"/>
        <v>0</v>
      </c>
    </row>
    <row r="54" spans="1:16">
      <c r="A54" s="78" t="s">
        <v>194</v>
      </c>
      <c r="B54" s="78" t="s">
        <v>195</v>
      </c>
      <c r="C54" s="82">
        <v>0</v>
      </c>
      <c r="D54" s="82">
        <v>1.3874977903861996E-2</v>
      </c>
      <c r="E54" s="82">
        <v>0.15872363467254166</v>
      </c>
      <c r="F54" s="82">
        <v>4.0740955868625077E-2</v>
      </c>
      <c r="G54" s="82">
        <v>0</v>
      </c>
      <c r="H54" s="82">
        <v>0.14963099637243304</v>
      </c>
      <c r="I54" s="82">
        <v>0.51776572673074961</v>
      </c>
      <c r="J54" s="82">
        <v>7.5896627518864127E-2</v>
      </c>
      <c r="K54" s="82">
        <v>3.4471337480087634E-2</v>
      </c>
      <c r="L54" s="82">
        <v>5.8567825391078569E-3</v>
      </c>
      <c r="M54" s="82">
        <v>6.2142354373644296E-3</v>
      </c>
      <c r="N54" s="82">
        <v>-3.1752745236352793E-3</v>
      </c>
      <c r="P54" s="82">
        <f t="shared" si="0"/>
        <v>4.0740955868625077E-2</v>
      </c>
    </row>
    <row r="55" spans="1:16">
      <c r="A55" s="78" t="s">
        <v>196</v>
      </c>
      <c r="B55" s="78" t="s">
        <v>197</v>
      </c>
      <c r="C55" s="82">
        <v>1</v>
      </c>
      <c r="D55" s="82">
        <v>1.6705365975130095E-2</v>
      </c>
      <c r="E55" s="82">
        <v>0.22278222719612598</v>
      </c>
      <c r="F55" s="82">
        <v>6.0894111271351227E-2</v>
      </c>
      <c r="G55" s="82">
        <v>0</v>
      </c>
      <c r="H55" s="82">
        <v>0.12592571023280558</v>
      </c>
      <c r="I55" s="82">
        <v>0.48639154643210392</v>
      </c>
      <c r="J55" s="82">
        <v>6.2591295688628978E-2</v>
      </c>
      <c r="K55" s="82">
        <v>2.4261908688767559E-2</v>
      </c>
      <c r="L55" s="82">
        <v>2.7190771167417228E-4</v>
      </c>
      <c r="M55" s="82">
        <v>1.7592680341238073E-4</v>
      </c>
      <c r="N55" s="82">
        <v>0</v>
      </c>
      <c r="P55" s="82">
        <f t="shared" si="0"/>
        <v>6.0894111271351227E-2</v>
      </c>
    </row>
    <row r="56" spans="1:16">
      <c r="A56" s="78" t="s">
        <v>20</v>
      </c>
      <c r="B56" s="84" t="s">
        <v>20</v>
      </c>
      <c r="C56" s="82">
        <v>1.0000000000000002</v>
      </c>
      <c r="D56" s="82">
        <v>3.2166307106155832E-2</v>
      </c>
      <c r="E56" s="82">
        <v>0.26470984033703582</v>
      </c>
      <c r="F56" s="82">
        <v>6.4409240866138473E-2</v>
      </c>
      <c r="G56" s="82">
        <v>0</v>
      </c>
      <c r="H56" s="82">
        <v>8.6741009258897689E-2</v>
      </c>
      <c r="I56" s="82">
        <v>0.48367181064876774</v>
      </c>
      <c r="J56" s="82">
        <v>4.9853957001342805E-2</v>
      </c>
      <c r="K56" s="82">
        <v>1.8447834781661555E-2</v>
      </c>
      <c r="L56" s="82">
        <v>0</v>
      </c>
      <c r="M56" s="82">
        <v>0</v>
      </c>
      <c r="N56" s="82">
        <v>0</v>
      </c>
      <c r="P56" s="82">
        <f t="shared" si="0"/>
        <v>6.4409240866138473E-2</v>
      </c>
    </row>
    <row r="57" spans="1:16">
      <c r="A57" s="78" t="s">
        <v>198</v>
      </c>
      <c r="B57" s="78" t="s">
        <v>199</v>
      </c>
      <c r="C57" s="82">
        <v>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1</v>
      </c>
      <c r="K57" s="82">
        <v>0</v>
      </c>
      <c r="L57" s="82">
        <v>0</v>
      </c>
      <c r="M57" s="82">
        <v>0</v>
      </c>
      <c r="N57" s="82">
        <v>0</v>
      </c>
      <c r="P57" s="82">
        <f t="shared" si="0"/>
        <v>0</v>
      </c>
    </row>
    <row r="58" spans="1:16">
      <c r="A58" s="85" t="s">
        <v>200</v>
      </c>
      <c r="B58" s="7" t="s">
        <v>201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P58" s="82">
        <f t="shared" si="0"/>
        <v>0</v>
      </c>
    </row>
    <row r="59" spans="1:16">
      <c r="A59" s="78" t="s">
        <v>202</v>
      </c>
      <c r="B59" s="7" t="s">
        <v>58</v>
      </c>
      <c r="C59" s="82">
        <v>1</v>
      </c>
      <c r="D59" s="82">
        <v>5.5011454122182536E-2</v>
      </c>
      <c r="E59" s="82">
        <v>0.34872248339810336</v>
      </c>
      <c r="F59" s="82">
        <v>0.12556621707988092</v>
      </c>
      <c r="G59" s="82">
        <v>0</v>
      </c>
      <c r="H59" s="82">
        <v>7.4769806884131054E-2</v>
      </c>
      <c r="I59" s="82">
        <v>0.3418724940531348</v>
      </c>
      <c r="J59" s="82">
        <v>5.4017764035344577E-2</v>
      </c>
      <c r="K59" s="82">
        <v>3.9780427222696797E-5</v>
      </c>
      <c r="L59" s="82">
        <v>0</v>
      </c>
      <c r="M59" s="82">
        <v>0</v>
      </c>
      <c r="N59" s="82">
        <v>0</v>
      </c>
      <c r="P59" s="82">
        <f t="shared" si="0"/>
        <v>0.12556621707988092</v>
      </c>
    </row>
    <row r="60" spans="1:16">
      <c r="A60" s="85" t="s">
        <v>203</v>
      </c>
      <c r="B60" s="7" t="s">
        <v>201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P60" s="82">
        <f t="shared" si="0"/>
        <v>0</v>
      </c>
    </row>
    <row r="61" spans="1:16">
      <c r="A61" s="85" t="s">
        <v>204</v>
      </c>
      <c r="B61" s="7" t="s">
        <v>201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82">
        <v>0</v>
      </c>
      <c r="K61" s="82">
        <v>0</v>
      </c>
      <c r="L61" s="82">
        <v>0</v>
      </c>
      <c r="M61" s="82">
        <v>0</v>
      </c>
      <c r="N61" s="82">
        <v>0</v>
      </c>
      <c r="P61" s="82">
        <f t="shared" si="0"/>
        <v>0</v>
      </c>
    </row>
    <row r="62" spans="1:16">
      <c r="A62" s="78" t="s">
        <v>205</v>
      </c>
      <c r="B62" s="78" t="s">
        <v>206</v>
      </c>
      <c r="C62" s="82">
        <v>0.99999999999999989</v>
      </c>
      <c r="D62" s="82">
        <v>3.2870000000000003E-2</v>
      </c>
      <c r="E62" s="82">
        <v>0.70975999999999995</v>
      </c>
      <c r="F62" s="82">
        <v>0.14180000000000001</v>
      </c>
      <c r="G62" s="82">
        <v>0</v>
      </c>
      <c r="H62" s="82">
        <v>0.10946</v>
      </c>
      <c r="I62" s="82">
        <v>0</v>
      </c>
      <c r="J62" s="82">
        <v>0</v>
      </c>
      <c r="K62" s="82">
        <v>0</v>
      </c>
      <c r="L62" s="82">
        <v>0</v>
      </c>
      <c r="M62" s="82">
        <v>0</v>
      </c>
      <c r="N62" s="82">
        <v>6.11E-3</v>
      </c>
      <c r="P62" s="82">
        <f t="shared" si="0"/>
        <v>0.14180000000000001</v>
      </c>
    </row>
    <row r="63" spans="1:16">
      <c r="A63" s="78" t="s">
        <v>207</v>
      </c>
      <c r="B63" s="78" t="s">
        <v>208</v>
      </c>
      <c r="C63" s="82">
        <v>1</v>
      </c>
      <c r="D63" s="82">
        <v>5.4199999999999998E-2</v>
      </c>
      <c r="E63" s="82">
        <v>0.67689999999999995</v>
      </c>
      <c r="F63" s="82">
        <v>0.1336</v>
      </c>
      <c r="G63" s="82">
        <v>0</v>
      </c>
      <c r="H63" s="82">
        <v>0.11609999999999999</v>
      </c>
      <c r="I63" s="82">
        <v>0</v>
      </c>
      <c r="J63" s="82">
        <v>0</v>
      </c>
      <c r="K63" s="82">
        <v>0</v>
      </c>
      <c r="L63" s="82">
        <v>0</v>
      </c>
      <c r="M63" s="82">
        <v>0</v>
      </c>
      <c r="N63" s="82">
        <v>1.9199999999999998E-2</v>
      </c>
      <c r="P63" s="82">
        <f t="shared" si="0"/>
        <v>0.1336</v>
      </c>
    </row>
    <row r="64" spans="1:16">
      <c r="A64" s="78" t="s">
        <v>209</v>
      </c>
      <c r="B64" s="78" t="s">
        <v>210</v>
      </c>
      <c r="C64" s="82">
        <v>0.99999999999999989</v>
      </c>
      <c r="D64" s="82">
        <v>4.7890000000000002E-2</v>
      </c>
      <c r="E64" s="82">
        <v>0.64607999999999999</v>
      </c>
      <c r="F64" s="82">
        <v>0.13125999999999999</v>
      </c>
      <c r="G64" s="82">
        <v>0</v>
      </c>
      <c r="H64" s="82">
        <v>0.155</v>
      </c>
      <c r="I64" s="82">
        <v>0</v>
      </c>
      <c r="J64" s="82">
        <v>0</v>
      </c>
      <c r="K64" s="82">
        <v>0</v>
      </c>
      <c r="L64" s="82">
        <v>0</v>
      </c>
      <c r="M64" s="82">
        <v>0</v>
      </c>
      <c r="N64" s="82">
        <v>1.9769999999999999E-2</v>
      </c>
      <c r="P64" s="82">
        <f t="shared" si="0"/>
        <v>0.13125999999999999</v>
      </c>
    </row>
    <row r="65" spans="1:16">
      <c r="A65" s="78" t="s">
        <v>211</v>
      </c>
      <c r="B65" s="78" t="s">
        <v>212</v>
      </c>
      <c r="C65" s="82">
        <v>1</v>
      </c>
      <c r="D65" s="82">
        <v>4.2700000000000002E-2</v>
      </c>
      <c r="E65" s="82">
        <v>0.61199999999999999</v>
      </c>
      <c r="F65" s="82">
        <v>0.14960000000000001</v>
      </c>
      <c r="G65" s="82">
        <v>0</v>
      </c>
      <c r="H65" s="82">
        <v>0.1671</v>
      </c>
      <c r="I65" s="82">
        <v>0</v>
      </c>
      <c r="J65" s="82">
        <v>0</v>
      </c>
      <c r="K65" s="82">
        <v>0</v>
      </c>
      <c r="L65" s="82">
        <v>0</v>
      </c>
      <c r="M65" s="82">
        <v>0</v>
      </c>
      <c r="N65" s="82">
        <v>2.86E-2</v>
      </c>
      <c r="P65" s="82">
        <f t="shared" si="0"/>
        <v>0.14960000000000001</v>
      </c>
    </row>
    <row r="66" spans="1:16">
      <c r="A66" s="78" t="s">
        <v>213</v>
      </c>
      <c r="B66" s="78" t="s">
        <v>214</v>
      </c>
      <c r="C66" s="82">
        <v>1</v>
      </c>
      <c r="D66" s="82">
        <v>4.8806000000000002E-2</v>
      </c>
      <c r="E66" s="82">
        <v>0.563558</v>
      </c>
      <c r="F66" s="82">
        <v>0.15268799999999999</v>
      </c>
      <c r="G66" s="82">
        <v>0</v>
      </c>
      <c r="H66" s="82">
        <v>0.20677599999999999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2.8171999999999999E-2</v>
      </c>
      <c r="P66" s="82">
        <f t="shared" si="0"/>
        <v>0.15268799999999999</v>
      </c>
    </row>
    <row r="67" spans="1:16">
      <c r="A67" s="78" t="s">
        <v>215</v>
      </c>
      <c r="B67" s="78" t="s">
        <v>216</v>
      </c>
      <c r="C67" s="82">
        <v>1</v>
      </c>
      <c r="D67" s="82">
        <v>1.5047E-2</v>
      </c>
      <c r="E67" s="82">
        <v>0.159356</v>
      </c>
      <c r="F67" s="82">
        <v>3.9132E-2</v>
      </c>
      <c r="G67" s="82">
        <v>0</v>
      </c>
      <c r="H67" s="82">
        <v>3.8051000000000001E-2</v>
      </c>
      <c r="I67" s="82">
        <v>0.46935500000000002</v>
      </c>
      <c r="J67" s="82">
        <v>0.13981499999999999</v>
      </c>
      <c r="K67" s="82">
        <v>0.135384</v>
      </c>
      <c r="L67" s="82">
        <v>0</v>
      </c>
      <c r="M67" s="82">
        <v>0</v>
      </c>
      <c r="N67" s="82">
        <v>3.8600000000000001E-3</v>
      </c>
      <c r="P67" s="82">
        <f t="shared" si="0"/>
        <v>3.9132E-2</v>
      </c>
    </row>
    <row r="68" spans="1:16">
      <c r="A68" s="78" t="s">
        <v>217</v>
      </c>
      <c r="B68" s="78" t="s">
        <v>15</v>
      </c>
      <c r="C68" s="82">
        <v>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82">
        <v>0</v>
      </c>
      <c r="J68" s="82">
        <v>0</v>
      </c>
      <c r="K68" s="82">
        <v>0</v>
      </c>
      <c r="L68" s="82">
        <v>0</v>
      </c>
      <c r="M68" s="82">
        <v>1</v>
      </c>
      <c r="N68" s="82">
        <v>0</v>
      </c>
      <c r="P68" s="82">
        <f t="shared" si="0"/>
        <v>0</v>
      </c>
    </row>
    <row r="69" spans="1:16">
      <c r="A69" s="78" t="s">
        <v>335</v>
      </c>
      <c r="B69" s="78" t="s">
        <v>331</v>
      </c>
      <c r="C69" s="82">
        <v>1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82">
        <v>0</v>
      </c>
      <c r="J69" s="82">
        <v>0</v>
      </c>
      <c r="K69" s="82">
        <v>0</v>
      </c>
      <c r="L69" s="82">
        <v>0</v>
      </c>
      <c r="M69" s="82">
        <v>0</v>
      </c>
      <c r="N69" s="82">
        <v>1</v>
      </c>
      <c r="P69" s="82">
        <f t="shared" ref="P69:P89" si="1">+F69</f>
        <v>0</v>
      </c>
    </row>
    <row r="70" spans="1:16">
      <c r="A70" s="78" t="s">
        <v>218</v>
      </c>
      <c r="B70" s="78" t="s">
        <v>219</v>
      </c>
      <c r="C70" s="82">
        <v>1</v>
      </c>
      <c r="D70" s="82">
        <v>9.2827431943933655E-3</v>
      </c>
      <c r="E70" s="82">
        <v>0.1716191589800608</v>
      </c>
      <c r="F70" s="82">
        <v>4.9827084109064168E-2</v>
      </c>
      <c r="G70" s="82">
        <v>0</v>
      </c>
      <c r="H70" s="82">
        <v>0.14740067855545069</v>
      </c>
      <c r="I70" s="82">
        <v>0.52307565192397243</v>
      </c>
      <c r="J70" s="82">
        <v>7.0675419200088074E-2</v>
      </c>
      <c r="K70" s="82">
        <v>2.7724922645441904E-2</v>
      </c>
      <c r="L70" s="82">
        <v>3.943413915286341E-4</v>
      </c>
      <c r="M70" s="82">
        <v>0</v>
      </c>
      <c r="N70" s="82">
        <v>0</v>
      </c>
      <c r="P70" s="82">
        <f t="shared" si="1"/>
        <v>4.9827084109064168E-2</v>
      </c>
    </row>
    <row r="71" spans="1:16">
      <c r="A71" s="78" t="s">
        <v>220</v>
      </c>
      <c r="B71" s="78" t="s">
        <v>221</v>
      </c>
      <c r="C71" s="82">
        <v>1</v>
      </c>
      <c r="D71" s="82">
        <v>8.9693077694424812E-3</v>
      </c>
      <c r="E71" s="82">
        <v>0.16590800640307785</v>
      </c>
      <c r="F71" s="82">
        <v>4.8118169165483254E-2</v>
      </c>
      <c r="G71" s="82">
        <v>0</v>
      </c>
      <c r="H71" s="82">
        <v>0.14912882083135853</v>
      </c>
      <c r="I71" s="82">
        <v>0.52803936520485562</v>
      </c>
      <c r="J71" s="82">
        <v>7.1344039783936136E-2</v>
      </c>
      <c r="K71" s="82">
        <v>2.8092630557637679E-2</v>
      </c>
      <c r="L71" s="82">
        <v>3.9966028420816105E-4</v>
      </c>
      <c r="M71" s="82">
        <v>0</v>
      </c>
      <c r="N71" s="82">
        <v>0</v>
      </c>
      <c r="P71" s="82">
        <f t="shared" si="1"/>
        <v>4.8118169165483254E-2</v>
      </c>
    </row>
    <row r="72" spans="1:16">
      <c r="A72" s="78" t="s">
        <v>222</v>
      </c>
      <c r="B72" s="78" t="s">
        <v>223</v>
      </c>
      <c r="C72" s="82">
        <v>1</v>
      </c>
      <c r="D72" s="82">
        <v>1.1965087296786704E-2</v>
      </c>
      <c r="E72" s="82">
        <v>0.2212882155221515</v>
      </c>
      <c r="F72" s="82">
        <v>6.4203549994526515E-2</v>
      </c>
      <c r="G72" s="82">
        <v>0</v>
      </c>
      <c r="H72" s="82">
        <v>0.13462849462265628</v>
      </c>
      <c r="I72" s="82">
        <v>0.47732237320745458</v>
      </c>
      <c r="J72" s="82">
        <v>6.4492790956904425E-2</v>
      </c>
      <c r="K72" s="82">
        <v>2.533819649212541E-2</v>
      </c>
      <c r="L72" s="82">
        <v>3.6042851975264932E-4</v>
      </c>
      <c r="M72" s="82">
        <v>4.0086338764181421E-4</v>
      </c>
      <c r="N72" s="82">
        <v>0</v>
      </c>
      <c r="P72" s="82">
        <f t="shared" si="1"/>
        <v>6.4203549994526515E-2</v>
      </c>
    </row>
    <row r="73" spans="1:16">
      <c r="A73" s="78" t="s">
        <v>224</v>
      </c>
      <c r="B73" s="78" t="s">
        <v>225</v>
      </c>
      <c r="C73" s="82">
        <v>0.99999999999999978</v>
      </c>
      <c r="D73" s="82">
        <v>3.3487134562208407E-2</v>
      </c>
      <c r="E73" s="82">
        <v>0.61943780568748308</v>
      </c>
      <c r="F73" s="82">
        <v>0.17964528160370571</v>
      </c>
      <c r="G73" s="82">
        <v>0</v>
      </c>
      <c r="H73" s="82">
        <v>3.1210166242483711E-2</v>
      </c>
      <c r="I73" s="82">
        <v>0.11051095253591414</v>
      </c>
      <c r="J73" s="82">
        <v>1.4931318593984532E-2</v>
      </c>
      <c r="K73" s="82">
        <v>5.8792547281226303E-3</v>
      </c>
      <c r="L73" s="82">
        <v>8.3642230167464525E-5</v>
      </c>
      <c r="M73" s="82">
        <v>4.8144438159304749E-3</v>
      </c>
      <c r="N73" s="82">
        <v>0</v>
      </c>
      <c r="P73" s="82">
        <f t="shared" si="1"/>
        <v>0.17964528160370571</v>
      </c>
    </row>
    <row r="74" spans="1:16">
      <c r="A74" s="78" t="s">
        <v>226</v>
      </c>
      <c r="B74" s="78" t="s">
        <v>227</v>
      </c>
      <c r="C74" s="82">
        <v>0.99999999999999978</v>
      </c>
      <c r="D74" s="82">
        <v>4.0221393563250663E-2</v>
      </c>
      <c r="E74" s="82">
        <v>0.74400667887033367</v>
      </c>
      <c r="F74" s="82">
        <v>0.21577192756641544</v>
      </c>
      <c r="G74" s="82">
        <v>0</v>
      </c>
      <c r="H74" s="82">
        <v>0</v>
      </c>
      <c r="I74" s="82">
        <v>0</v>
      </c>
      <c r="J74" s="82">
        <v>0</v>
      </c>
      <c r="K74" s="82">
        <v>0</v>
      </c>
      <c r="L74" s="82">
        <v>0</v>
      </c>
      <c r="M74" s="82">
        <v>0</v>
      </c>
      <c r="N74" s="82">
        <v>0</v>
      </c>
      <c r="P74" s="82">
        <f t="shared" si="1"/>
        <v>0.21577192756641544</v>
      </c>
    </row>
    <row r="75" spans="1:16">
      <c r="A75" s="78" t="s">
        <v>228</v>
      </c>
      <c r="B75" s="78" t="s">
        <v>229</v>
      </c>
      <c r="C75" s="82">
        <v>1</v>
      </c>
      <c r="D75" s="82">
        <v>1.105425706511546E-2</v>
      </c>
      <c r="E75" s="82">
        <v>0.20450524149826391</v>
      </c>
      <c r="F75" s="82">
        <v>5.9301733317712012E-2</v>
      </c>
      <c r="G75" s="82">
        <v>0</v>
      </c>
      <c r="H75" s="82">
        <v>0.13917323107942714</v>
      </c>
      <c r="I75" s="82">
        <v>0.49279347679836072</v>
      </c>
      <c r="J75" s="82">
        <v>6.6582146242223417E-2</v>
      </c>
      <c r="K75" s="82">
        <v>2.6216934267336022E-2</v>
      </c>
      <c r="L75" s="82">
        <v>3.7297973156098118E-4</v>
      </c>
      <c r="M75" s="82">
        <v>0</v>
      </c>
      <c r="N75" s="82">
        <v>0</v>
      </c>
      <c r="P75" s="82">
        <f t="shared" si="1"/>
        <v>5.9301733317712012E-2</v>
      </c>
    </row>
    <row r="76" spans="1:16">
      <c r="A76" s="78" t="s">
        <v>230</v>
      </c>
      <c r="B76" s="78" t="s">
        <v>231</v>
      </c>
      <c r="C76" s="82">
        <v>1</v>
      </c>
      <c r="D76" s="82">
        <v>2.2792399203356368E-2</v>
      </c>
      <c r="E76" s="82">
        <v>0.27474108592549329</v>
      </c>
      <c r="F76" s="82">
        <v>6.2565290984046798E-2</v>
      </c>
      <c r="G76" s="82">
        <v>0</v>
      </c>
      <c r="H76" s="82">
        <v>0.12776204274480954</v>
      </c>
      <c r="I76" s="82">
        <v>0.41899523261387844</v>
      </c>
      <c r="J76" s="82">
        <v>6.6385243191750973E-2</v>
      </c>
      <c r="K76" s="82">
        <v>2.660887723850535E-2</v>
      </c>
      <c r="L76" s="82">
        <v>1.4982809815916639E-4</v>
      </c>
      <c r="M76" s="82">
        <v>0</v>
      </c>
      <c r="N76" s="82">
        <v>0</v>
      </c>
      <c r="P76" s="82">
        <f t="shared" si="1"/>
        <v>6.2565290984046798E-2</v>
      </c>
    </row>
    <row r="77" spans="1:16">
      <c r="A77" s="78" t="s">
        <v>232</v>
      </c>
      <c r="B77" s="78" t="s">
        <v>233</v>
      </c>
      <c r="C77" s="82">
        <v>0.99999999999999989</v>
      </c>
      <c r="D77" s="82">
        <v>2.4793948374876838E-2</v>
      </c>
      <c r="E77" s="82">
        <v>0.39652666177384771</v>
      </c>
      <c r="F77" s="82">
        <v>0.11327008566237556</v>
      </c>
      <c r="G77" s="82">
        <v>0</v>
      </c>
      <c r="H77" s="82">
        <v>9.192505346131874E-2</v>
      </c>
      <c r="I77" s="82">
        <v>0.31059396309446513</v>
      </c>
      <c r="J77" s="82">
        <v>4.8837031882668747E-2</v>
      </c>
      <c r="K77" s="82">
        <v>1.3892873452761882E-2</v>
      </c>
      <c r="L77" s="82">
        <v>1.6038229768481079E-4</v>
      </c>
      <c r="M77" s="82">
        <v>0</v>
      </c>
      <c r="N77" s="82">
        <v>0</v>
      </c>
      <c r="P77" s="82">
        <f t="shared" si="1"/>
        <v>0.11327008566237556</v>
      </c>
    </row>
    <row r="78" spans="1:16">
      <c r="A78" s="78" t="s">
        <v>234</v>
      </c>
      <c r="B78" s="78" t="s">
        <v>235</v>
      </c>
      <c r="C78" s="82">
        <v>0.99999999999999989</v>
      </c>
      <c r="D78" s="82">
        <v>4.0539649258152538E-2</v>
      </c>
      <c r="E78" s="82">
        <v>0.74214750002576757</v>
      </c>
      <c r="F78" s="82">
        <v>0.21731285071607995</v>
      </c>
      <c r="G78" s="82">
        <v>0</v>
      </c>
      <c r="H78" s="82">
        <v>0</v>
      </c>
      <c r="I78" s="82">
        <v>0</v>
      </c>
      <c r="J78" s="82">
        <v>0</v>
      </c>
      <c r="K78" s="82">
        <v>0</v>
      </c>
      <c r="L78" s="82">
        <v>0</v>
      </c>
      <c r="M78" s="82">
        <v>0</v>
      </c>
      <c r="N78" s="82">
        <v>0</v>
      </c>
      <c r="P78" s="82">
        <f t="shared" si="1"/>
        <v>0.21731285071607995</v>
      </c>
    </row>
    <row r="79" spans="1:16">
      <c r="A79" s="78" t="s">
        <v>236</v>
      </c>
      <c r="B79" s="78" t="s">
        <v>40</v>
      </c>
      <c r="C79" s="82">
        <v>1</v>
      </c>
      <c r="D79" s="82">
        <v>4.0595859645838228E-2</v>
      </c>
      <c r="E79" s="82">
        <v>0.74181913146770495</v>
      </c>
      <c r="F79" s="82">
        <v>0.21758500888645674</v>
      </c>
      <c r="G79" s="82">
        <v>0</v>
      </c>
      <c r="H79" s="82">
        <v>0</v>
      </c>
      <c r="I79" s="82">
        <v>0</v>
      </c>
      <c r="J79" s="82">
        <v>0</v>
      </c>
      <c r="K79" s="82">
        <v>0</v>
      </c>
      <c r="L79" s="82">
        <v>0</v>
      </c>
      <c r="M79" s="82">
        <v>0</v>
      </c>
      <c r="N79" s="82">
        <v>0</v>
      </c>
      <c r="P79" s="82">
        <f t="shared" si="1"/>
        <v>0.21758500888645674</v>
      </c>
    </row>
    <row r="80" spans="1:16">
      <c r="A80" s="78" t="s">
        <v>237</v>
      </c>
      <c r="B80" s="7" t="s">
        <v>83</v>
      </c>
      <c r="C80" s="82">
        <v>0.99999999999999989</v>
      </c>
      <c r="D80" s="82">
        <v>1.4823981689935784E-2</v>
      </c>
      <c r="E80" s="82">
        <v>0.16849630383974351</v>
      </c>
      <c r="F80" s="82">
        <v>0</v>
      </c>
      <c r="G80" s="82">
        <v>0</v>
      </c>
      <c r="H80" s="82">
        <v>0.15645116753996891</v>
      </c>
      <c r="I80" s="82">
        <v>0.53700796240705384</v>
      </c>
      <c r="J80" s="82">
        <v>7.8819266065810203E-2</v>
      </c>
      <c r="K80" s="82">
        <v>3.510162474235367E-2</v>
      </c>
      <c r="L80" s="82">
        <v>6.1075775455278003E-3</v>
      </c>
      <c r="M80" s="82">
        <v>6.4978669787290021E-3</v>
      </c>
      <c r="N80" s="82">
        <v>-3.3057508091226808E-3</v>
      </c>
      <c r="P80" s="82">
        <f t="shared" si="1"/>
        <v>0</v>
      </c>
    </row>
    <row r="81" spans="1:16">
      <c r="A81" s="7" t="s">
        <v>7</v>
      </c>
      <c r="B81" s="7" t="s">
        <v>238</v>
      </c>
      <c r="C81" s="82">
        <v>1</v>
      </c>
      <c r="D81" s="82">
        <v>1.9141955588282758E-2</v>
      </c>
      <c r="E81" s="82">
        <v>0.27398036455512026</v>
      </c>
      <c r="F81" s="82">
        <v>3.2100059840287035E-2</v>
      </c>
      <c r="G81" s="82">
        <v>0</v>
      </c>
      <c r="H81" s="82">
        <v>0.12117948257707835</v>
      </c>
      <c r="I81" s="82">
        <v>0.41769949533400635</v>
      </c>
      <c r="J81" s="82">
        <v>4.9355006141802826E-2</v>
      </c>
      <c r="K81" s="82">
        <v>2.6508898015263672E-2</v>
      </c>
      <c r="L81" s="82">
        <v>3.2247311804357438E-3</v>
      </c>
      <c r="M81" s="82">
        <v>0</v>
      </c>
      <c r="N81" s="82">
        <v>5.6810006767722993E-2</v>
      </c>
      <c r="P81" s="82">
        <f t="shared" si="1"/>
        <v>3.2100059840287035E-2</v>
      </c>
    </row>
    <row r="82" spans="1:16">
      <c r="A82" s="7" t="s">
        <v>204</v>
      </c>
      <c r="B82" s="7" t="s">
        <v>239</v>
      </c>
      <c r="C82" s="82">
        <v>1.0000000000000002</v>
      </c>
      <c r="D82" s="82">
        <v>2.1630537183574945E-2</v>
      </c>
      <c r="E82" s="82">
        <v>0.25790773197118433</v>
      </c>
      <c r="F82" s="82">
        <v>6.230340034346115E-2</v>
      </c>
      <c r="G82" s="82">
        <v>0</v>
      </c>
      <c r="H82" s="82">
        <v>0.11698488131645093</v>
      </c>
      <c r="I82" s="82">
        <v>0.44252252928700953</v>
      </c>
      <c r="J82" s="82">
        <v>5.6403984232767691E-2</v>
      </c>
      <c r="K82" s="82">
        <v>2.4648765501714423E-2</v>
      </c>
      <c r="L82" s="82">
        <v>2.4503289568374872E-3</v>
      </c>
      <c r="M82" s="82">
        <v>0</v>
      </c>
      <c r="N82" s="82">
        <v>1.5147841206999555E-2</v>
      </c>
      <c r="P82" s="82">
        <f t="shared" si="1"/>
        <v>6.230340034346115E-2</v>
      </c>
    </row>
    <row r="83" spans="1:16">
      <c r="A83" s="7" t="s">
        <v>44</v>
      </c>
      <c r="B83" s="7" t="s">
        <v>45</v>
      </c>
      <c r="C83" s="82">
        <v>1</v>
      </c>
      <c r="D83" s="82">
        <v>2.0144055912659466E-2</v>
      </c>
      <c r="E83" s="82">
        <v>0.26209488862536612</v>
      </c>
      <c r="F83" s="82">
        <v>6.4357257992723779E-2</v>
      </c>
      <c r="G83" s="82">
        <v>0</v>
      </c>
      <c r="H83" s="82">
        <v>0.11360766771624321</v>
      </c>
      <c r="I83" s="82">
        <v>0.44702671775339242</v>
      </c>
      <c r="J83" s="82">
        <v>5.6920030195302382E-2</v>
      </c>
      <c r="K83" s="82">
        <v>2.3015578699623306E-2</v>
      </c>
      <c r="L83" s="82">
        <v>2.3226762790546718E-4</v>
      </c>
      <c r="M83" s="82">
        <v>0</v>
      </c>
      <c r="N83" s="82">
        <v>1.2601535476783873E-2</v>
      </c>
      <c r="P83" s="82">
        <f t="shared" si="1"/>
        <v>6.4357257992723779E-2</v>
      </c>
    </row>
    <row r="84" spans="1:16">
      <c r="A84" s="7" t="s">
        <v>240</v>
      </c>
      <c r="B84" s="8" t="s">
        <v>201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82">
        <v>0</v>
      </c>
      <c r="J84" s="82">
        <v>0</v>
      </c>
      <c r="K84" s="82">
        <v>0</v>
      </c>
      <c r="L84" s="82">
        <v>0</v>
      </c>
      <c r="M84" s="82">
        <v>0</v>
      </c>
      <c r="N84" s="82">
        <v>0</v>
      </c>
      <c r="P84" s="82">
        <f t="shared" si="1"/>
        <v>0</v>
      </c>
    </row>
    <row r="85" spans="1:16">
      <c r="A85" s="7" t="s">
        <v>241</v>
      </c>
      <c r="B85" s="7" t="s">
        <v>201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82">
        <v>0</v>
      </c>
      <c r="J85" s="82">
        <v>0</v>
      </c>
      <c r="K85" s="82">
        <v>0</v>
      </c>
      <c r="L85" s="82">
        <v>0</v>
      </c>
      <c r="M85" s="82">
        <v>0</v>
      </c>
      <c r="N85" s="82">
        <v>0</v>
      </c>
      <c r="P85" s="82">
        <f t="shared" si="1"/>
        <v>0</v>
      </c>
    </row>
    <row r="86" spans="1:16">
      <c r="A86" s="7" t="s">
        <v>242</v>
      </c>
      <c r="B86" s="7" t="s">
        <v>201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82">
        <v>0</v>
      </c>
      <c r="J86" s="82">
        <v>0</v>
      </c>
      <c r="K86" s="82">
        <v>0</v>
      </c>
      <c r="L86" s="82">
        <v>0</v>
      </c>
      <c r="M86" s="82">
        <v>0</v>
      </c>
      <c r="N86" s="82">
        <v>0</v>
      </c>
      <c r="P86" s="82">
        <f t="shared" si="1"/>
        <v>0</v>
      </c>
    </row>
    <row r="87" spans="1:16">
      <c r="A87" s="78" t="s">
        <v>243</v>
      </c>
      <c r="B87" s="78" t="s">
        <v>11</v>
      </c>
      <c r="C87" s="82">
        <v>0.99999999999999989</v>
      </c>
      <c r="D87" s="82">
        <v>2.0326497019931354E-2</v>
      </c>
      <c r="E87" s="82">
        <v>0.24126829316056372</v>
      </c>
      <c r="F87" s="82">
        <v>6.7702726582684086E-2</v>
      </c>
      <c r="G87" s="82">
        <v>0</v>
      </c>
      <c r="H87" s="82">
        <v>0.13004986105120714</v>
      </c>
      <c r="I87" s="82">
        <v>0.45370817403988534</v>
      </c>
      <c r="J87" s="82">
        <v>6.1118886103001542E-2</v>
      </c>
      <c r="K87" s="82">
        <v>2.5547176125346637E-2</v>
      </c>
      <c r="L87" s="82">
        <v>2.7838591738025713E-4</v>
      </c>
      <c r="M87" s="82">
        <v>0</v>
      </c>
      <c r="N87" s="82">
        <v>0</v>
      </c>
      <c r="P87" s="82">
        <f t="shared" si="1"/>
        <v>6.7702726582684086E-2</v>
      </c>
    </row>
    <row r="88" spans="1:16">
      <c r="A88" s="78" t="s">
        <v>244</v>
      </c>
      <c r="B88" s="78" t="s">
        <v>245</v>
      </c>
      <c r="C88" s="82">
        <v>1</v>
      </c>
      <c r="D88" s="82">
        <v>2.2175508678545796E-2</v>
      </c>
      <c r="E88" s="82">
        <v>0.34384806207387381</v>
      </c>
      <c r="F88" s="82">
        <v>9.5458176953271842E-2</v>
      </c>
      <c r="G88" s="82">
        <v>0</v>
      </c>
      <c r="H88" s="82">
        <v>9.3020351842534418E-2</v>
      </c>
      <c r="I88" s="82">
        <v>0.30231401941105657</v>
      </c>
      <c r="J88" s="82">
        <v>4.5126429140685001E-2</v>
      </c>
      <c r="K88" s="82">
        <v>1.6172949473892351E-2</v>
      </c>
      <c r="L88" s="82">
        <v>1.909945021745151E-4</v>
      </c>
      <c r="M88" s="82">
        <v>8.1693507923965708E-2</v>
      </c>
      <c r="N88" s="82">
        <v>0</v>
      </c>
      <c r="P88" s="82">
        <f t="shared" si="1"/>
        <v>9.5458176953271842E-2</v>
      </c>
    </row>
    <row r="89" spans="1:16">
      <c r="A89" s="86" t="s">
        <v>246</v>
      </c>
      <c r="B89" s="86" t="s">
        <v>31</v>
      </c>
      <c r="C89" s="87">
        <v>1</v>
      </c>
      <c r="D89" s="87">
        <v>1.4174545503952991E-2</v>
      </c>
      <c r="E89" s="87">
        <v>0.25557623928766454</v>
      </c>
      <c r="F89" s="87">
        <v>7.8137623299029887E-2</v>
      </c>
      <c r="G89" s="87">
        <v>0</v>
      </c>
      <c r="H89" s="87">
        <v>0.12704206729711748</v>
      </c>
      <c r="I89" s="87">
        <v>0.4414034312927092</v>
      </c>
      <c r="J89" s="87">
        <v>5.9275206773164155E-2</v>
      </c>
      <c r="K89" s="87">
        <v>2.4390886546361772E-2</v>
      </c>
      <c r="L89" s="87">
        <v>0</v>
      </c>
      <c r="M89" s="87">
        <v>0</v>
      </c>
      <c r="N89" s="87">
        <v>0</v>
      </c>
      <c r="P89" s="87">
        <f t="shared" si="1"/>
        <v>7.8137623299029887E-2</v>
      </c>
    </row>
  </sheetData>
  <pageMargins left="0.75" right="0.75" top="1" bottom="0.75" header="0.5" footer="0.5"/>
  <pageSetup scale="43" orientation="landscape" r:id="rId1"/>
  <headerFooter>
    <oddHeader>&amp;L&amp;"Arial,Bold"&amp;10PacifiCorp 
Washington - Results of Operations
Twelve Months Ending December 31, 2018</oddHeader>
    <oddFooter>&amp;L&amp;"Arial,Bold"&amp;10ALLOCATION FACTORS&amp;R&amp;"Arial,Bold"&amp;10Page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zoomScale="80" zoomScaleNormal="80" workbookViewId="0"/>
  </sheetViews>
  <sheetFormatPr defaultRowHeight="12.75"/>
  <cols>
    <col min="1" max="1" width="19.5703125" style="92" customWidth="1"/>
    <col min="2" max="13" width="15.7109375" style="92" customWidth="1"/>
    <col min="14" max="14" width="15.28515625" style="92" bestFit="1" customWidth="1"/>
    <col min="15" max="16384" width="9.140625" style="92"/>
  </cols>
  <sheetData>
    <row r="2" spans="1:14" ht="53.25" customHeight="1">
      <c r="A2" s="482" t="s">
        <v>2</v>
      </c>
      <c r="B2" s="443" t="s">
        <v>653</v>
      </c>
      <c r="C2" s="443" t="s">
        <v>663</v>
      </c>
      <c r="D2" s="443" t="s">
        <v>664</v>
      </c>
      <c r="E2" s="443" t="s">
        <v>665</v>
      </c>
      <c r="F2" s="443" t="s">
        <v>657</v>
      </c>
      <c r="G2" s="443" t="s">
        <v>666</v>
      </c>
      <c r="H2" s="443" t="s">
        <v>667</v>
      </c>
      <c r="I2" s="443" t="s">
        <v>668</v>
      </c>
      <c r="J2" s="443" t="s">
        <v>669</v>
      </c>
      <c r="K2" s="443" t="s">
        <v>670</v>
      </c>
      <c r="L2" s="443" t="s">
        <v>94</v>
      </c>
    </row>
    <row r="3" spans="1:14">
      <c r="A3" s="483"/>
      <c r="B3" s="444">
        <v>5.5</v>
      </c>
      <c r="C3" s="444">
        <v>6.4</v>
      </c>
      <c r="D3" s="445" t="s">
        <v>633</v>
      </c>
      <c r="E3" s="444">
        <v>7.12</v>
      </c>
      <c r="F3" s="444">
        <v>8.4</v>
      </c>
      <c r="G3" s="444">
        <v>8.1199999999999992</v>
      </c>
      <c r="H3" s="444">
        <v>8.1300000000000008</v>
      </c>
      <c r="I3" s="444">
        <v>9.1</v>
      </c>
      <c r="J3" s="444">
        <v>9.1999999999999993</v>
      </c>
      <c r="K3" s="444">
        <v>9.3000000000000007</v>
      </c>
      <c r="L3" s="444"/>
    </row>
    <row r="4" spans="1:14">
      <c r="A4" s="484"/>
      <c r="B4" s="444" t="s">
        <v>671</v>
      </c>
      <c r="C4" s="444" t="s">
        <v>671</v>
      </c>
      <c r="D4" s="444" t="s">
        <v>671</v>
      </c>
      <c r="E4" s="444" t="s">
        <v>671</v>
      </c>
      <c r="F4" s="444" t="s">
        <v>671</v>
      </c>
      <c r="G4" s="444" t="s">
        <v>671</v>
      </c>
      <c r="H4" s="444" t="s">
        <v>671</v>
      </c>
      <c r="I4" s="444" t="s">
        <v>671</v>
      </c>
      <c r="J4" s="444" t="s">
        <v>671</v>
      </c>
      <c r="K4" s="444" t="s">
        <v>671</v>
      </c>
      <c r="L4" s="444" t="s">
        <v>671</v>
      </c>
    </row>
    <row r="5" spans="1:14">
      <c r="A5" s="467" t="s">
        <v>17</v>
      </c>
      <c r="B5" s="447">
        <v>0</v>
      </c>
      <c r="C5" s="447">
        <v>0</v>
      </c>
      <c r="D5" s="448">
        <v>0</v>
      </c>
      <c r="E5" s="447">
        <v>525777</v>
      </c>
      <c r="F5" s="447">
        <f>411505-241953</f>
        <v>169552</v>
      </c>
      <c r="G5" s="448">
        <v>0</v>
      </c>
      <c r="H5" s="448">
        <v>0</v>
      </c>
      <c r="I5" s="448">
        <v>0</v>
      </c>
      <c r="J5" s="448">
        <v>0</v>
      </c>
      <c r="K5" s="448">
        <v>0</v>
      </c>
      <c r="L5" s="448">
        <f t="shared" ref="L5:L6" si="0">SUM(B5:K5)</f>
        <v>695329</v>
      </c>
      <c r="N5" s="449"/>
    </row>
    <row r="6" spans="1:14">
      <c r="A6" s="467" t="s">
        <v>119</v>
      </c>
      <c r="B6" s="448">
        <v>0</v>
      </c>
      <c r="C6" s="448">
        <v>0</v>
      </c>
      <c r="D6" s="448">
        <v>0</v>
      </c>
      <c r="E6" s="448">
        <v>11930</v>
      </c>
      <c r="F6" s="448">
        <v>8914</v>
      </c>
      <c r="G6" s="448">
        <v>0</v>
      </c>
      <c r="H6" s="448">
        <v>0</v>
      </c>
      <c r="I6" s="448">
        <v>0</v>
      </c>
      <c r="J6" s="448">
        <v>0</v>
      </c>
      <c r="K6" s="448">
        <v>0</v>
      </c>
      <c r="L6" s="448">
        <f t="shared" si="0"/>
        <v>20844</v>
      </c>
      <c r="N6" s="449"/>
    </row>
    <row r="7" spans="1:14">
      <c r="A7" s="467" t="s">
        <v>162</v>
      </c>
      <c r="B7" s="448">
        <v>0</v>
      </c>
      <c r="C7" s="448">
        <v>0</v>
      </c>
      <c r="D7" s="448">
        <v>0</v>
      </c>
      <c r="E7" s="448">
        <f>144395950+21932124+8101102</f>
        <v>174429176</v>
      </c>
      <c r="F7" s="448">
        <f>2127557+165662+1065463-5610314+5567962+1124476</f>
        <v>4440806</v>
      </c>
      <c r="G7" s="448">
        <v>0</v>
      </c>
      <c r="H7" s="448">
        <v>0</v>
      </c>
      <c r="I7" s="448">
        <v>0</v>
      </c>
      <c r="J7" s="448">
        <v>-27540182</v>
      </c>
      <c r="K7" s="448">
        <v>-10291041</v>
      </c>
      <c r="L7" s="448">
        <f>SUM(B7:K7)</f>
        <v>141038759</v>
      </c>
      <c r="N7" s="449"/>
    </row>
    <row r="8" spans="1:14">
      <c r="A8" s="467" t="s">
        <v>160</v>
      </c>
      <c r="B8" s="448">
        <v>0</v>
      </c>
      <c r="C8" s="448">
        <f>20593179+439090</f>
        <v>21032269</v>
      </c>
      <c r="D8" s="448">
        <v>0</v>
      </c>
      <c r="E8" s="448">
        <f>1047992+15912447+3413679</f>
        <v>20374118</v>
      </c>
      <c r="F8" s="448">
        <f>133053+118459+864872-8926003-10249978+2759369</f>
        <v>-15300228</v>
      </c>
      <c r="G8" s="448">
        <v>0</v>
      </c>
      <c r="H8" s="448">
        <v>0</v>
      </c>
      <c r="I8" s="448">
        <v>414446</v>
      </c>
      <c r="J8" s="448">
        <v>-6002809</v>
      </c>
      <c r="K8" s="448">
        <v>-7037920</v>
      </c>
      <c r="L8" s="448">
        <f t="shared" ref="L8:L17" si="1">SUM(B8:K8)</f>
        <v>13479876</v>
      </c>
      <c r="N8" s="449"/>
    </row>
    <row r="9" spans="1:14">
      <c r="A9" s="467" t="s">
        <v>60</v>
      </c>
      <c r="B9" s="448">
        <v>0</v>
      </c>
      <c r="C9" s="448">
        <v>0</v>
      </c>
      <c r="D9" s="448">
        <v>0</v>
      </c>
      <c r="E9" s="448">
        <v>7544</v>
      </c>
      <c r="F9" s="448">
        <v>721356</v>
      </c>
      <c r="G9" s="448">
        <v>0</v>
      </c>
      <c r="H9" s="448">
        <v>0</v>
      </c>
      <c r="I9" s="448">
        <v>0</v>
      </c>
      <c r="J9" s="448">
        <v>0</v>
      </c>
      <c r="K9" s="448">
        <v>0</v>
      </c>
      <c r="L9" s="448">
        <f t="shared" si="1"/>
        <v>728900</v>
      </c>
      <c r="N9" s="449"/>
    </row>
    <row r="10" spans="1:14">
      <c r="A10" s="467" t="s">
        <v>29</v>
      </c>
      <c r="B10" s="448">
        <v>0</v>
      </c>
      <c r="C10" s="448">
        <v>0</v>
      </c>
      <c r="D10" s="448">
        <v>0</v>
      </c>
      <c r="E10" s="448">
        <v>141457</v>
      </c>
      <c r="F10" s="448">
        <f>292141+2937896</f>
        <v>3230037</v>
      </c>
      <c r="G10" s="448">
        <v>0</v>
      </c>
      <c r="H10" s="448">
        <v>0</v>
      </c>
      <c r="I10" s="448">
        <v>0</v>
      </c>
      <c r="J10" s="448">
        <v>0</v>
      </c>
      <c r="K10" s="448">
        <v>0</v>
      </c>
      <c r="L10" s="448">
        <f t="shared" si="1"/>
        <v>3371494</v>
      </c>
      <c r="N10" s="449"/>
    </row>
    <row r="11" spans="1:14">
      <c r="A11" s="467" t="s">
        <v>168</v>
      </c>
      <c r="B11" s="448">
        <v>0</v>
      </c>
      <c r="C11" s="448">
        <f>291148808+3781684</f>
        <v>294930492</v>
      </c>
      <c r="D11" s="448">
        <v>0</v>
      </c>
      <c r="E11" s="448">
        <f>-172129-39925853</f>
        <v>-40097982</v>
      </c>
      <c r="F11" s="448">
        <f>346388+36560+203096</f>
        <v>586044</v>
      </c>
      <c r="G11" s="448">
        <v>0</v>
      </c>
      <c r="H11" s="448">
        <v>0</v>
      </c>
      <c r="I11" s="448">
        <v>-8387</v>
      </c>
      <c r="J11" s="448">
        <v>0</v>
      </c>
      <c r="K11" s="448">
        <v>-30967</v>
      </c>
      <c r="L11" s="448">
        <f t="shared" si="1"/>
        <v>255379200</v>
      </c>
      <c r="N11" s="449"/>
    </row>
    <row r="12" spans="1:14">
      <c r="A12" s="467" t="s">
        <v>30</v>
      </c>
      <c r="B12" s="448">
        <v>0</v>
      </c>
      <c r="C12" s="448">
        <v>0</v>
      </c>
      <c r="D12" s="448">
        <v>0</v>
      </c>
      <c r="E12" s="448">
        <v>2893289</v>
      </c>
      <c r="F12" s="448">
        <f>1398094+2067373</f>
        <v>3465467</v>
      </c>
      <c r="G12" s="448">
        <v>0</v>
      </c>
      <c r="H12" s="448">
        <v>0</v>
      </c>
      <c r="I12" s="448">
        <v>0</v>
      </c>
      <c r="J12" s="448">
        <v>0</v>
      </c>
      <c r="K12" s="448">
        <v>0</v>
      </c>
      <c r="L12" s="448">
        <f t="shared" si="1"/>
        <v>6358756</v>
      </c>
      <c r="N12" s="449"/>
    </row>
    <row r="13" spans="1:14">
      <c r="A13" s="467" t="s">
        <v>19</v>
      </c>
      <c r="B13" s="448">
        <f>393+9049</f>
        <v>9442</v>
      </c>
      <c r="C13" s="448">
        <v>0</v>
      </c>
      <c r="D13" s="448">
        <f>-1588964+77013177+13864661</f>
        <v>89288874</v>
      </c>
      <c r="E13" s="448">
        <f>1991278-1624619</f>
        <v>366659</v>
      </c>
      <c r="F13" s="448">
        <v>-5028346</v>
      </c>
      <c r="G13" s="448">
        <v>1465451</v>
      </c>
      <c r="H13" s="448">
        <f>2263607+755097</f>
        <v>3018704</v>
      </c>
      <c r="I13" s="448">
        <v>28454</v>
      </c>
      <c r="J13" s="448">
        <v>33542990</v>
      </c>
      <c r="K13" s="448">
        <v>17359928</v>
      </c>
      <c r="L13" s="448">
        <f t="shared" si="1"/>
        <v>140052156</v>
      </c>
      <c r="N13" s="449"/>
    </row>
    <row r="14" spans="1:14">
      <c r="A14" s="467" t="s">
        <v>10</v>
      </c>
      <c r="B14" s="448">
        <v>0</v>
      </c>
      <c r="C14" s="448">
        <v>0</v>
      </c>
      <c r="D14" s="448">
        <v>0</v>
      </c>
      <c r="E14" s="448">
        <v>2019337</v>
      </c>
      <c r="F14" s="448">
        <f>792980+4925987</f>
        <v>5718967</v>
      </c>
      <c r="G14" s="448">
        <v>0</v>
      </c>
      <c r="H14" s="448">
        <v>0</v>
      </c>
      <c r="I14" s="448">
        <v>-125245</v>
      </c>
      <c r="J14" s="448">
        <v>0</v>
      </c>
      <c r="K14" s="448">
        <v>0</v>
      </c>
      <c r="L14" s="448">
        <f t="shared" si="1"/>
        <v>7613059</v>
      </c>
      <c r="N14" s="449"/>
    </row>
    <row r="15" spans="1:14">
      <c r="A15" s="467" t="s">
        <v>28</v>
      </c>
      <c r="B15" s="448">
        <v>0</v>
      </c>
      <c r="C15" s="448">
        <v>0</v>
      </c>
      <c r="D15" s="448">
        <v>0</v>
      </c>
      <c r="E15" s="448">
        <v>3995389</v>
      </c>
      <c r="F15" s="448">
        <f>2502393+25751822</f>
        <v>28254215</v>
      </c>
      <c r="G15" s="448">
        <v>0</v>
      </c>
      <c r="H15" s="448">
        <v>0</v>
      </c>
      <c r="I15" s="448">
        <v>0</v>
      </c>
      <c r="J15" s="448">
        <v>0</v>
      </c>
      <c r="K15" s="448">
        <v>0</v>
      </c>
      <c r="L15" s="448">
        <f t="shared" si="1"/>
        <v>32249604</v>
      </c>
      <c r="N15" s="449"/>
    </row>
    <row r="16" spans="1:14">
      <c r="A16" s="467" t="s">
        <v>26</v>
      </c>
      <c r="B16" s="448">
        <v>0</v>
      </c>
      <c r="C16" s="448">
        <v>0</v>
      </c>
      <c r="D16" s="448">
        <v>0</v>
      </c>
      <c r="E16" s="448">
        <v>111489</v>
      </c>
      <c r="F16" s="448">
        <f>255050+427430</f>
        <v>682480</v>
      </c>
      <c r="G16" s="448">
        <v>0</v>
      </c>
      <c r="H16" s="448">
        <v>0</v>
      </c>
      <c r="I16" s="448">
        <v>-14946</v>
      </c>
      <c r="J16" s="448">
        <v>0</v>
      </c>
      <c r="K16" s="448">
        <v>0</v>
      </c>
      <c r="L16" s="448">
        <f t="shared" si="1"/>
        <v>779023</v>
      </c>
      <c r="N16" s="449"/>
    </row>
    <row r="17" spans="1:14">
      <c r="A17" s="467" t="s">
        <v>32</v>
      </c>
      <c r="B17" s="450">
        <v>0</v>
      </c>
      <c r="C17" s="450">
        <v>0</v>
      </c>
      <c r="D17" s="448">
        <v>0</v>
      </c>
      <c r="E17" s="450">
        <v>-888354</v>
      </c>
      <c r="F17" s="450">
        <f>439277+3057339</f>
        <v>3496616</v>
      </c>
      <c r="G17" s="448">
        <v>0</v>
      </c>
      <c r="H17" s="448">
        <v>0</v>
      </c>
      <c r="I17" s="448">
        <v>0</v>
      </c>
      <c r="J17" s="448">
        <v>0</v>
      </c>
      <c r="K17" s="448">
        <v>0</v>
      </c>
      <c r="L17" s="448">
        <f t="shared" si="1"/>
        <v>2608262</v>
      </c>
      <c r="N17" s="449"/>
    </row>
    <row r="18" spans="1:14">
      <c r="A18" s="469" t="s">
        <v>678</v>
      </c>
      <c r="B18" s="456">
        <f t="shared" ref="B18:J18" si="2">SUM(B5:B17)</f>
        <v>9442</v>
      </c>
      <c r="C18" s="456">
        <f t="shared" si="2"/>
        <v>315962761</v>
      </c>
      <c r="D18" s="456">
        <f t="shared" si="2"/>
        <v>89288874</v>
      </c>
      <c r="E18" s="456">
        <f t="shared" si="2"/>
        <v>163889829</v>
      </c>
      <c r="F18" s="456">
        <f t="shared" si="2"/>
        <v>30445880</v>
      </c>
      <c r="G18" s="456">
        <f t="shared" si="2"/>
        <v>1465451</v>
      </c>
      <c r="H18" s="456">
        <f t="shared" si="2"/>
        <v>3018704</v>
      </c>
      <c r="I18" s="456">
        <f t="shared" si="2"/>
        <v>294322</v>
      </c>
      <c r="J18" s="456">
        <f t="shared" si="2"/>
        <v>-1</v>
      </c>
      <c r="K18" s="456">
        <f t="shared" ref="K18" si="3">SUM(K5:K17)</f>
        <v>0</v>
      </c>
      <c r="L18" s="456">
        <f>SUM(L5:L17)</f>
        <v>604375262</v>
      </c>
      <c r="N18" s="449"/>
    </row>
    <row r="19" spans="1:14">
      <c r="B19" s="451"/>
      <c r="C19" s="451"/>
      <c r="D19" s="451"/>
      <c r="E19" s="451"/>
      <c r="F19" s="451"/>
      <c r="G19" s="451"/>
      <c r="H19" s="451"/>
      <c r="I19" s="451"/>
      <c r="J19" s="451"/>
      <c r="K19" s="452"/>
      <c r="L19" s="451"/>
      <c r="N19" s="449"/>
    </row>
    <row r="20" spans="1:14">
      <c r="A20" s="469" t="s">
        <v>11</v>
      </c>
      <c r="B20" s="453">
        <v>0</v>
      </c>
      <c r="C20" s="453">
        <v>0</v>
      </c>
      <c r="D20" s="453">
        <v>0</v>
      </c>
      <c r="E20" s="453">
        <v>-180778619</v>
      </c>
      <c r="F20" s="453">
        <v>0</v>
      </c>
      <c r="G20" s="453">
        <v>0</v>
      </c>
      <c r="H20" s="453">
        <v>0</v>
      </c>
      <c r="I20" s="453">
        <v>0</v>
      </c>
      <c r="J20" s="453">
        <v>0</v>
      </c>
      <c r="K20" s="453">
        <v>0</v>
      </c>
      <c r="L20" s="453">
        <f>SUM(B20:K20)</f>
        <v>-180778619</v>
      </c>
      <c r="N20" s="449"/>
    </row>
    <row r="21" spans="1:14">
      <c r="A21" s="181"/>
      <c r="B21" s="181"/>
      <c r="C21" s="181"/>
      <c r="D21" s="181"/>
      <c r="E21" s="181"/>
      <c r="F21" s="454"/>
      <c r="G21" s="454"/>
      <c r="H21" s="454"/>
      <c r="I21" s="454"/>
      <c r="N21" s="449"/>
    </row>
    <row r="22" spans="1:14">
      <c r="A22" s="469" t="s">
        <v>682</v>
      </c>
      <c r="B22" s="456">
        <f t="shared" ref="B22:L22" si="4">+B20+B18</f>
        <v>9442</v>
      </c>
      <c r="C22" s="456">
        <f t="shared" si="4"/>
        <v>315962761</v>
      </c>
      <c r="D22" s="456">
        <f t="shared" si="4"/>
        <v>89288874</v>
      </c>
      <c r="E22" s="456">
        <f t="shared" si="4"/>
        <v>-16888790</v>
      </c>
      <c r="F22" s="456">
        <f t="shared" si="4"/>
        <v>30445880</v>
      </c>
      <c r="G22" s="456">
        <f t="shared" si="4"/>
        <v>1465451</v>
      </c>
      <c r="H22" s="456">
        <f t="shared" si="4"/>
        <v>3018704</v>
      </c>
      <c r="I22" s="456">
        <f t="shared" si="4"/>
        <v>294322</v>
      </c>
      <c r="J22" s="456">
        <f t="shared" si="4"/>
        <v>-1</v>
      </c>
      <c r="K22" s="456">
        <f t="shared" si="4"/>
        <v>0</v>
      </c>
      <c r="L22" s="456">
        <f t="shared" si="4"/>
        <v>423596643</v>
      </c>
      <c r="N22" s="449"/>
    </row>
    <row r="23" spans="1:14">
      <c r="A23" s="181"/>
      <c r="B23" s="181"/>
      <c r="C23" s="181"/>
      <c r="D23" s="181"/>
      <c r="E23" s="181"/>
      <c r="F23" s="457"/>
      <c r="G23" s="457"/>
      <c r="H23" s="457"/>
      <c r="I23" s="457"/>
      <c r="N23" s="449"/>
    </row>
    <row r="24" spans="1:14">
      <c r="A24" s="455"/>
      <c r="B24" s="455"/>
      <c r="C24" s="181"/>
      <c r="D24" s="181"/>
      <c r="E24" s="181"/>
      <c r="F24" s="458"/>
      <c r="G24" s="458"/>
      <c r="H24" s="458"/>
      <c r="I24" s="449"/>
      <c r="N24" s="449"/>
    </row>
    <row r="25" spans="1:14">
      <c r="A25" s="455"/>
      <c r="B25" s="455"/>
      <c r="C25" s="181"/>
      <c r="D25" s="181"/>
      <c r="E25" s="181"/>
      <c r="F25" s="458"/>
      <c r="G25" s="458"/>
      <c r="H25" s="458"/>
      <c r="I25" s="449"/>
      <c r="N25" s="449"/>
    </row>
    <row r="26" spans="1:14" ht="51">
      <c r="A26" s="482" t="s">
        <v>659</v>
      </c>
      <c r="B26" s="443" t="s">
        <v>653</v>
      </c>
      <c r="C26" s="443" t="s">
        <v>663</v>
      </c>
      <c r="D26" s="443" t="s">
        <v>664</v>
      </c>
      <c r="E26" s="443" t="s">
        <v>665</v>
      </c>
      <c r="F26" s="443" t="s">
        <v>657</v>
      </c>
      <c r="G26" s="443" t="s">
        <v>666</v>
      </c>
      <c r="H26" s="443" t="s">
        <v>667</v>
      </c>
      <c r="I26" s="443" t="s">
        <v>668</v>
      </c>
      <c r="J26" s="443" t="s">
        <v>669</v>
      </c>
      <c r="K26" s="443" t="s">
        <v>670</v>
      </c>
      <c r="L26" s="443" t="s">
        <v>94</v>
      </c>
      <c r="M26" s="443" t="s">
        <v>717</v>
      </c>
      <c r="N26" s="449"/>
    </row>
    <row r="27" spans="1:14">
      <c r="A27" s="483"/>
      <c r="B27" s="485">
        <v>5.5</v>
      </c>
      <c r="C27" s="444">
        <v>6.4</v>
      </c>
      <c r="D27" s="445" t="s">
        <v>633</v>
      </c>
      <c r="E27" s="444">
        <v>7.12</v>
      </c>
      <c r="F27" s="444">
        <v>8.4</v>
      </c>
      <c r="G27" s="444">
        <v>8.1199999999999992</v>
      </c>
      <c r="H27" s="444">
        <v>8.1300000000000008</v>
      </c>
      <c r="I27" s="444">
        <v>9.1</v>
      </c>
      <c r="J27" s="444">
        <v>9.1999999999999993</v>
      </c>
      <c r="K27" s="444">
        <v>9.3000000000000007</v>
      </c>
      <c r="L27" s="444"/>
      <c r="M27" s="463"/>
      <c r="N27" s="449"/>
    </row>
    <row r="28" spans="1:14">
      <c r="A28" s="484"/>
      <c r="B28" s="485" t="s">
        <v>671</v>
      </c>
      <c r="C28" s="444" t="s">
        <v>671</v>
      </c>
      <c r="D28" s="444" t="s">
        <v>671</v>
      </c>
      <c r="E28" s="444" t="s">
        <v>671</v>
      </c>
      <c r="F28" s="444" t="s">
        <v>671</v>
      </c>
      <c r="G28" s="444" t="s">
        <v>671</v>
      </c>
      <c r="H28" s="444" t="s">
        <v>671</v>
      </c>
      <c r="I28" s="444" t="s">
        <v>671</v>
      </c>
      <c r="J28" s="444" t="s">
        <v>671</v>
      </c>
      <c r="K28" s="444" t="s">
        <v>671</v>
      </c>
      <c r="L28" s="444" t="s">
        <v>671</v>
      </c>
      <c r="M28" s="444" t="s">
        <v>671</v>
      </c>
      <c r="N28" s="449"/>
    </row>
    <row r="29" spans="1:14">
      <c r="A29" s="467" t="s">
        <v>17</v>
      </c>
      <c r="B29" s="447">
        <v>0</v>
      </c>
      <c r="C29" s="447">
        <v>0</v>
      </c>
      <c r="D29" s="448">
        <v>0</v>
      </c>
      <c r="E29" s="447">
        <v>0</v>
      </c>
      <c r="F29" s="447">
        <v>0</v>
      </c>
      <c r="G29" s="448">
        <v>0</v>
      </c>
      <c r="H29" s="448">
        <v>0</v>
      </c>
      <c r="I29" s="448">
        <v>0</v>
      </c>
      <c r="J29" s="448">
        <v>0</v>
      </c>
      <c r="K29" s="448">
        <v>0</v>
      </c>
      <c r="L29" s="448">
        <f t="shared" ref="L29:L30" si="5">SUM(B29:K29)</f>
        <v>0</v>
      </c>
      <c r="M29" s="473">
        <v>0</v>
      </c>
      <c r="N29" s="449"/>
    </row>
    <row r="30" spans="1:14">
      <c r="A30" s="467" t="s">
        <v>119</v>
      </c>
      <c r="B30" s="448">
        <v>0</v>
      </c>
      <c r="C30" s="448">
        <v>0</v>
      </c>
      <c r="D30" s="448">
        <v>0</v>
      </c>
      <c r="E30" s="448">
        <v>0</v>
      </c>
      <c r="F30" s="448">
        <v>0</v>
      </c>
      <c r="G30" s="448">
        <v>0</v>
      </c>
      <c r="H30" s="448">
        <v>0</v>
      </c>
      <c r="I30" s="448">
        <v>0</v>
      </c>
      <c r="J30" s="448">
        <v>0</v>
      </c>
      <c r="K30" s="448">
        <v>0</v>
      </c>
      <c r="L30" s="448">
        <f t="shared" si="5"/>
        <v>0</v>
      </c>
      <c r="M30" s="464">
        <v>0</v>
      </c>
      <c r="N30" s="449"/>
    </row>
    <row r="31" spans="1:14">
      <c r="A31" s="467" t="s">
        <v>162</v>
      </c>
      <c r="B31" s="448">
        <v>0</v>
      </c>
      <c r="C31" s="448">
        <v>0</v>
      </c>
      <c r="D31" s="448">
        <v>0</v>
      </c>
      <c r="E31" s="448">
        <v>0</v>
      </c>
      <c r="F31" s="448">
        <v>0</v>
      </c>
      <c r="G31" s="448">
        <v>0</v>
      </c>
      <c r="H31" s="448">
        <v>0</v>
      </c>
      <c r="I31" s="448">
        <v>0</v>
      </c>
      <c r="J31" s="448">
        <v>0</v>
      </c>
      <c r="K31" s="448">
        <v>0</v>
      </c>
      <c r="L31" s="448">
        <f>SUM(B31:K31)</f>
        <v>0</v>
      </c>
      <c r="M31" s="464">
        <v>0</v>
      </c>
      <c r="N31" s="449"/>
    </row>
    <row r="32" spans="1:14">
      <c r="A32" s="467" t="s">
        <v>160</v>
      </c>
      <c r="B32" s="448">
        <f t="shared" ref="B32:K32" si="6">ROUND(B8*$M$32,0)</f>
        <v>0</v>
      </c>
      <c r="C32" s="448">
        <f t="shared" si="6"/>
        <v>4538173</v>
      </c>
      <c r="D32" s="448">
        <f t="shared" si="6"/>
        <v>0</v>
      </c>
      <c r="E32" s="448">
        <f t="shared" si="6"/>
        <v>4396163</v>
      </c>
      <c r="F32" s="448">
        <f t="shared" si="6"/>
        <v>-3301360</v>
      </c>
      <c r="G32" s="448">
        <f t="shared" si="6"/>
        <v>0</v>
      </c>
      <c r="H32" s="448">
        <f t="shared" si="6"/>
        <v>0</v>
      </c>
      <c r="I32" s="448">
        <f t="shared" si="6"/>
        <v>89426</v>
      </c>
      <c r="J32" s="448">
        <f t="shared" si="6"/>
        <v>-1295238</v>
      </c>
      <c r="K32" s="448">
        <f t="shared" si="6"/>
        <v>-1518586</v>
      </c>
      <c r="L32" s="448">
        <f t="shared" ref="L32:L41" si="7">SUM(B32:K32)</f>
        <v>2908578</v>
      </c>
      <c r="M32" s="464">
        <f>VLOOKUP(A32,'Allocation Factors'!$B$3:$N$89,5,FALSE)</f>
        <v>0.21577192756641544</v>
      </c>
      <c r="N32" s="449"/>
    </row>
    <row r="33" spans="1:14">
      <c r="A33" s="467" t="s">
        <v>60</v>
      </c>
      <c r="B33" s="448">
        <v>0</v>
      </c>
      <c r="C33" s="448">
        <v>0</v>
      </c>
      <c r="D33" s="448">
        <v>0</v>
      </c>
      <c r="E33" s="448">
        <f t="shared" ref="E33:K33" si="8">ROUND(E9*$M$33,0)</f>
        <v>523</v>
      </c>
      <c r="F33" s="448">
        <f t="shared" si="8"/>
        <v>50034</v>
      </c>
      <c r="G33" s="448">
        <f t="shared" si="8"/>
        <v>0</v>
      </c>
      <c r="H33" s="448">
        <f t="shared" si="8"/>
        <v>0</v>
      </c>
      <c r="I33" s="448">
        <f t="shared" si="8"/>
        <v>0</v>
      </c>
      <c r="J33" s="448">
        <f t="shared" si="8"/>
        <v>0</v>
      </c>
      <c r="K33" s="448">
        <f t="shared" si="8"/>
        <v>0</v>
      </c>
      <c r="L33" s="448">
        <f t="shared" si="7"/>
        <v>50557</v>
      </c>
      <c r="M33" s="464">
        <f>VLOOKUP(A33,'Allocation Factors'!$B$3:$N$89,5,FALSE)</f>
        <v>6.9360885492844845E-2</v>
      </c>
      <c r="N33" s="449"/>
    </row>
    <row r="34" spans="1:14">
      <c r="A34" s="467" t="s">
        <v>29</v>
      </c>
      <c r="B34" s="448">
        <v>0</v>
      </c>
      <c r="C34" s="448">
        <v>0</v>
      </c>
      <c r="D34" s="448">
        <v>0</v>
      </c>
      <c r="E34" s="448">
        <v>0</v>
      </c>
      <c r="F34" s="448">
        <v>0</v>
      </c>
      <c r="G34" s="448">
        <v>0</v>
      </c>
      <c r="H34" s="448">
        <v>0</v>
      </c>
      <c r="I34" s="448">
        <v>0</v>
      </c>
      <c r="J34" s="448">
        <v>0</v>
      </c>
      <c r="K34" s="448">
        <v>0</v>
      </c>
      <c r="L34" s="448">
        <f t="shared" si="7"/>
        <v>0</v>
      </c>
      <c r="M34" s="464">
        <v>0</v>
      </c>
      <c r="N34" s="449"/>
    </row>
    <row r="35" spans="1:14">
      <c r="A35" s="467" t="s">
        <v>168</v>
      </c>
      <c r="B35" s="448">
        <f t="shared" ref="B35:K35" si="9">ROUND(B11*$M$35,0)</f>
        <v>0</v>
      </c>
      <c r="C35" s="448">
        <f t="shared" si="9"/>
        <v>63637721</v>
      </c>
      <c r="D35" s="448">
        <f t="shared" si="9"/>
        <v>0</v>
      </c>
      <c r="E35" s="448">
        <f t="shared" si="9"/>
        <v>-8652019</v>
      </c>
      <c r="F35" s="448">
        <f t="shared" si="9"/>
        <v>126452</v>
      </c>
      <c r="G35" s="448">
        <f t="shared" si="9"/>
        <v>0</v>
      </c>
      <c r="H35" s="448">
        <f t="shared" si="9"/>
        <v>0</v>
      </c>
      <c r="I35" s="448">
        <f t="shared" si="9"/>
        <v>-1810</v>
      </c>
      <c r="J35" s="448">
        <f t="shared" si="9"/>
        <v>0</v>
      </c>
      <c r="K35" s="448">
        <f t="shared" si="9"/>
        <v>-6682</v>
      </c>
      <c r="L35" s="448">
        <f t="shared" si="7"/>
        <v>55103662</v>
      </c>
      <c r="M35" s="464">
        <f>VLOOKUP(A35,'Allocation Factors'!$B$3:$N$89,5,FALSE)</f>
        <v>0.21577192756641544</v>
      </c>
    </row>
    <row r="36" spans="1:14">
      <c r="A36" s="467" t="s">
        <v>30</v>
      </c>
      <c r="B36" s="448">
        <v>0</v>
      </c>
      <c r="C36" s="448">
        <v>0</v>
      </c>
      <c r="D36" s="448">
        <v>0</v>
      </c>
      <c r="E36" s="448">
        <v>0</v>
      </c>
      <c r="F36" s="448">
        <v>0</v>
      </c>
      <c r="G36" s="448">
        <v>0</v>
      </c>
      <c r="H36" s="448">
        <v>0</v>
      </c>
      <c r="I36" s="448">
        <v>0</v>
      </c>
      <c r="J36" s="448">
        <v>0</v>
      </c>
      <c r="K36" s="448">
        <v>0</v>
      </c>
      <c r="L36" s="448">
        <f t="shared" si="7"/>
        <v>0</v>
      </c>
      <c r="M36" s="464">
        <v>0</v>
      </c>
    </row>
    <row r="37" spans="1:14">
      <c r="A37" s="467" t="s">
        <v>19</v>
      </c>
      <c r="B37" s="448">
        <f t="shared" ref="B37:K37" si="10">ROUND(B13*$M$37,0)</f>
        <v>738</v>
      </c>
      <c r="C37" s="448">
        <f t="shared" si="10"/>
        <v>0</v>
      </c>
      <c r="D37" s="448">
        <f t="shared" si="10"/>
        <v>6974447</v>
      </c>
      <c r="E37" s="448">
        <f t="shared" si="10"/>
        <v>28640</v>
      </c>
      <c r="F37" s="448">
        <f t="shared" si="10"/>
        <v>-392769</v>
      </c>
      <c r="G37" s="448">
        <f t="shared" si="10"/>
        <v>114468</v>
      </c>
      <c r="H37" s="448">
        <f t="shared" si="10"/>
        <v>235794</v>
      </c>
      <c r="I37" s="448">
        <f t="shared" si="10"/>
        <v>2223</v>
      </c>
      <c r="J37" s="448">
        <f t="shared" si="10"/>
        <v>2620078</v>
      </c>
      <c r="K37" s="448">
        <f t="shared" si="10"/>
        <v>1356002</v>
      </c>
      <c r="L37" s="448">
        <f t="shared" si="7"/>
        <v>10939621</v>
      </c>
      <c r="M37" s="464">
        <f>VLOOKUP(A37,'Allocation Factors'!$B$3:$N$89,5,FALSE)</f>
        <v>7.8111041399714837E-2</v>
      </c>
    </row>
    <row r="38" spans="1:14">
      <c r="A38" s="467" t="s">
        <v>10</v>
      </c>
      <c r="B38" s="448">
        <f t="shared" ref="B38:K38" si="11">ROUND(B14*$M$38,0)</f>
        <v>0</v>
      </c>
      <c r="C38" s="448">
        <f t="shared" si="11"/>
        <v>0</v>
      </c>
      <c r="D38" s="448">
        <f t="shared" si="11"/>
        <v>0</v>
      </c>
      <c r="E38" s="448">
        <f t="shared" si="11"/>
        <v>135331</v>
      </c>
      <c r="F38" s="448">
        <f t="shared" si="11"/>
        <v>383272</v>
      </c>
      <c r="G38" s="448">
        <f t="shared" si="11"/>
        <v>0</v>
      </c>
      <c r="H38" s="448">
        <f t="shared" si="11"/>
        <v>0</v>
      </c>
      <c r="I38" s="448">
        <f t="shared" si="11"/>
        <v>-8394</v>
      </c>
      <c r="J38" s="448">
        <f t="shared" si="11"/>
        <v>0</v>
      </c>
      <c r="K38" s="448">
        <f t="shared" si="11"/>
        <v>0</v>
      </c>
      <c r="L38" s="448">
        <f t="shared" si="7"/>
        <v>510209</v>
      </c>
      <c r="M38" s="464">
        <f>VLOOKUP(A38,'Allocation Factors'!$B$3:$N$89,5,FALSE)</f>
        <v>6.7017620954721469E-2</v>
      </c>
    </row>
    <row r="39" spans="1:14">
      <c r="A39" s="467" t="s">
        <v>28</v>
      </c>
      <c r="B39" s="448">
        <v>0</v>
      </c>
      <c r="C39" s="448">
        <v>0</v>
      </c>
      <c r="D39" s="448">
        <v>0</v>
      </c>
      <c r="E39" s="448">
        <v>0</v>
      </c>
      <c r="F39" s="448">
        <v>0</v>
      </c>
      <c r="G39" s="448">
        <v>0</v>
      </c>
      <c r="H39" s="448">
        <v>0</v>
      </c>
      <c r="I39" s="448">
        <v>0</v>
      </c>
      <c r="J39" s="448">
        <v>0</v>
      </c>
      <c r="K39" s="448">
        <v>0</v>
      </c>
      <c r="L39" s="448">
        <f t="shared" si="7"/>
        <v>0</v>
      </c>
      <c r="M39" s="464">
        <v>0</v>
      </c>
    </row>
    <row r="40" spans="1:14">
      <c r="A40" s="467" t="s">
        <v>26</v>
      </c>
      <c r="B40" s="448">
        <v>0</v>
      </c>
      <c r="C40" s="448">
        <v>0</v>
      </c>
      <c r="D40" s="448">
        <v>0</v>
      </c>
      <c r="E40" s="448">
        <v>111489</v>
      </c>
      <c r="F40" s="448">
        <f>255050+427430</f>
        <v>682480</v>
      </c>
      <c r="G40" s="448">
        <v>0</v>
      </c>
      <c r="H40" s="448">
        <v>0</v>
      </c>
      <c r="I40" s="448">
        <v>-14946</v>
      </c>
      <c r="J40" s="448">
        <v>0</v>
      </c>
      <c r="K40" s="448">
        <v>0</v>
      </c>
      <c r="L40" s="448">
        <f t="shared" si="7"/>
        <v>779023</v>
      </c>
      <c r="M40" s="464">
        <f>VLOOKUP(A40,'Allocation Factors'!$B$3:$N$89,5,FALSE)</f>
        <v>1</v>
      </c>
    </row>
    <row r="41" spans="1:14">
      <c r="A41" s="467" t="s">
        <v>32</v>
      </c>
      <c r="B41" s="450">
        <v>0</v>
      </c>
      <c r="C41" s="450">
        <v>0</v>
      </c>
      <c r="D41" s="448">
        <v>0</v>
      </c>
      <c r="E41" s="450">
        <v>0</v>
      </c>
      <c r="F41" s="450">
        <v>0</v>
      </c>
      <c r="G41" s="448">
        <v>0</v>
      </c>
      <c r="H41" s="448">
        <v>0</v>
      </c>
      <c r="I41" s="448">
        <v>0</v>
      </c>
      <c r="J41" s="448">
        <v>0</v>
      </c>
      <c r="K41" s="448">
        <v>0</v>
      </c>
      <c r="L41" s="448">
        <f t="shared" si="7"/>
        <v>0</v>
      </c>
      <c r="M41" s="474">
        <v>0</v>
      </c>
    </row>
    <row r="42" spans="1:14">
      <c r="A42" s="469" t="s">
        <v>678</v>
      </c>
      <c r="B42" s="456">
        <f t="shared" ref="B42:J42" si="12">SUM(B29:B41)</f>
        <v>738</v>
      </c>
      <c r="C42" s="456">
        <f t="shared" si="12"/>
        <v>68175894</v>
      </c>
      <c r="D42" s="456">
        <f t="shared" si="12"/>
        <v>6974447</v>
      </c>
      <c r="E42" s="456">
        <f t="shared" si="12"/>
        <v>-3979873</v>
      </c>
      <c r="F42" s="456">
        <f t="shared" si="12"/>
        <v>-2451891</v>
      </c>
      <c r="G42" s="456">
        <f t="shared" si="12"/>
        <v>114468</v>
      </c>
      <c r="H42" s="456">
        <f t="shared" si="12"/>
        <v>235794</v>
      </c>
      <c r="I42" s="456">
        <f t="shared" si="12"/>
        <v>66499</v>
      </c>
      <c r="J42" s="456">
        <f t="shared" si="12"/>
        <v>1324840</v>
      </c>
      <c r="K42" s="456">
        <f t="shared" ref="K42" si="13">SUM(K29:K41)</f>
        <v>-169266</v>
      </c>
      <c r="L42" s="456">
        <f>SUM(L29:L41)</f>
        <v>70291650</v>
      </c>
      <c r="M42" s="545"/>
    </row>
    <row r="43" spans="1:14">
      <c r="B43" s="451"/>
      <c r="C43" s="451"/>
      <c r="D43" s="451"/>
      <c r="E43" s="451"/>
      <c r="F43" s="451"/>
      <c r="G43" s="451"/>
      <c r="H43" s="451"/>
      <c r="I43" s="451"/>
      <c r="J43" s="451"/>
      <c r="K43" s="452"/>
    </row>
    <row r="44" spans="1:14">
      <c r="A44" s="469" t="s">
        <v>11</v>
      </c>
      <c r="B44" s="453">
        <f t="shared" ref="B44:K44" si="14">ROUND(B20*$M$44,0)</f>
        <v>0</v>
      </c>
      <c r="C44" s="453">
        <f t="shared" si="14"/>
        <v>0</v>
      </c>
      <c r="D44" s="453">
        <f t="shared" si="14"/>
        <v>0</v>
      </c>
      <c r="E44" s="453">
        <f t="shared" si="14"/>
        <v>-12239205</v>
      </c>
      <c r="F44" s="453">
        <f t="shared" si="14"/>
        <v>0</v>
      </c>
      <c r="G44" s="453">
        <f t="shared" si="14"/>
        <v>0</v>
      </c>
      <c r="H44" s="453">
        <f t="shared" si="14"/>
        <v>0</v>
      </c>
      <c r="I44" s="453">
        <f t="shared" si="14"/>
        <v>0</v>
      </c>
      <c r="J44" s="453">
        <f t="shared" si="14"/>
        <v>0</v>
      </c>
      <c r="K44" s="453">
        <f t="shared" si="14"/>
        <v>0</v>
      </c>
      <c r="L44" s="453">
        <f>SUM(B44:K44)</f>
        <v>-12239205</v>
      </c>
      <c r="M44" s="465">
        <f>VLOOKUP(A44,'Allocation Factors'!$B$3:$N$89,5,FALSE)</f>
        <v>6.7702726582684086E-2</v>
      </c>
    </row>
    <row r="45" spans="1:14">
      <c r="A45" s="181"/>
      <c r="B45" s="181"/>
      <c r="C45" s="181"/>
      <c r="D45" s="181"/>
      <c r="E45" s="181"/>
      <c r="F45" s="454"/>
      <c r="G45" s="454"/>
      <c r="H45" s="454"/>
      <c r="I45" s="454"/>
    </row>
    <row r="46" spans="1:14">
      <c r="A46" s="469" t="s">
        <v>682</v>
      </c>
      <c r="B46" s="456">
        <f t="shared" ref="B46:L46" si="15">+B44+B42</f>
        <v>738</v>
      </c>
      <c r="C46" s="456">
        <f t="shared" si="15"/>
        <v>68175894</v>
      </c>
      <c r="D46" s="456">
        <f t="shared" si="15"/>
        <v>6974447</v>
      </c>
      <c r="E46" s="456">
        <f t="shared" si="15"/>
        <v>-16219078</v>
      </c>
      <c r="F46" s="456">
        <f t="shared" si="15"/>
        <v>-2451891</v>
      </c>
      <c r="G46" s="456">
        <f t="shared" si="15"/>
        <v>114468</v>
      </c>
      <c r="H46" s="456">
        <f t="shared" si="15"/>
        <v>235794</v>
      </c>
      <c r="I46" s="456">
        <f t="shared" si="15"/>
        <v>66499</v>
      </c>
      <c r="J46" s="456">
        <f t="shared" si="15"/>
        <v>1324840</v>
      </c>
      <c r="K46" s="456">
        <f t="shared" si="15"/>
        <v>-169266</v>
      </c>
      <c r="L46" s="456">
        <f t="shared" si="15"/>
        <v>58052445</v>
      </c>
      <c r="M46" s="545"/>
    </row>
  </sheetData>
  <pageMargins left="0.7" right="0.7" top="0.75" bottom="0.75" header="0.3" footer="0.3"/>
  <pageSetup scale="59" fitToHeight="0" orientation="landscape" r:id="rId1"/>
  <headerFooter>
    <oddHeader>&amp;L&amp;"Arial,Bold"&amp;10PacifiCorp 
Washington - General Rate Case
Twelve Months Ending December 31, 2021
Summary of Property Related &amp;A Adjustments</oddHeader>
    <oddFooter>&amp;L&amp;"Arial,Bold"&amp;10&amp;A&amp;R&amp;"Arial,Bold"&amp;10Page &amp;P of &amp;N</oddFooter>
  </headerFooter>
  <ignoredErrors>
    <ignoredError sqref="K18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6"/>
  <sheetViews>
    <sheetView zoomScale="80" zoomScaleNormal="80" workbookViewId="0"/>
  </sheetViews>
  <sheetFormatPr defaultRowHeight="12.75"/>
  <cols>
    <col min="1" max="1" width="21.140625" style="92" customWidth="1"/>
    <col min="2" max="14" width="15.5703125" style="92" customWidth="1"/>
    <col min="15" max="16384" width="9.140625" style="92"/>
  </cols>
  <sheetData>
    <row r="2" spans="1:13" ht="60.75" customHeight="1">
      <c r="A2" s="443" t="s">
        <v>2</v>
      </c>
      <c r="B2" s="443" t="s">
        <v>672</v>
      </c>
      <c r="C2" s="443" t="s">
        <v>653</v>
      </c>
      <c r="D2" s="443" t="s">
        <v>663</v>
      </c>
      <c r="E2" s="443" t="s">
        <v>664</v>
      </c>
      <c r="F2" s="443" t="s">
        <v>665</v>
      </c>
      <c r="G2" s="443" t="s">
        <v>657</v>
      </c>
      <c r="H2" s="443" t="s">
        <v>666</v>
      </c>
      <c r="I2" s="443" t="s">
        <v>667</v>
      </c>
      <c r="J2" s="443" t="s">
        <v>668</v>
      </c>
      <c r="K2" s="443" t="s">
        <v>669</v>
      </c>
      <c r="L2" s="443" t="s">
        <v>670</v>
      </c>
      <c r="M2" s="443" t="s">
        <v>94</v>
      </c>
    </row>
    <row r="3" spans="1:13">
      <c r="A3" s="463"/>
      <c r="B3" s="444">
        <v>5.3</v>
      </c>
      <c r="C3" s="444">
        <v>5.5</v>
      </c>
      <c r="D3" s="444">
        <v>6.4</v>
      </c>
      <c r="E3" s="445" t="s">
        <v>633</v>
      </c>
      <c r="F3" s="444">
        <v>7.12</v>
      </c>
      <c r="G3" s="444">
        <v>8.4</v>
      </c>
      <c r="H3" s="444">
        <v>8.1199999999999992</v>
      </c>
      <c r="I3" s="444">
        <v>8.1300000000000008</v>
      </c>
      <c r="J3" s="444">
        <v>9.1</v>
      </c>
      <c r="K3" s="444">
        <v>9.1999999999999993</v>
      </c>
      <c r="L3" s="444">
        <v>9.3000000000000007</v>
      </c>
      <c r="M3" s="444"/>
    </row>
    <row r="4" spans="1:13">
      <c r="A4" s="486"/>
      <c r="B4" s="444" t="s">
        <v>673</v>
      </c>
      <c r="C4" s="444" t="s">
        <v>673</v>
      </c>
      <c r="D4" s="444" t="s">
        <v>673</v>
      </c>
      <c r="E4" s="444" t="s">
        <v>673</v>
      </c>
      <c r="F4" s="444" t="s">
        <v>673</v>
      </c>
      <c r="G4" s="444" t="s">
        <v>673</v>
      </c>
      <c r="H4" s="444" t="s">
        <v>673</v>
      </c>
      <c r="I4" s="444" t="s">
        <v>673</v>
      </c>
      <c r="J4" s="444" t="s">
        <v>673</v>
      </c>
      <c r="K4" s="444" t="s">
        <v>673</v>
      </c>
      <c r="L4" s="444" t="s">
        <v>673</v>
      </c>
      <c r="M4" s="444" t="s">
        <v>673</v>
      </c>
    </row>
    <row r="5" spans="1:13">
      <c r="A5" s="467" t="s">
        <v>17</v>
      </c>
      <c r="B5" s="447">
        <v>0</v>
      </c>
      <c r="C5" s="447">
        <v>0</v>
      </c>
      <c r="D5" s="447">
        <v>0</v>
      </c>
      <c r="E5" s="448">
        <v>0</v>
      </c>
      <c r="F5" s="447">
        <v>0</v>
      </c>
      <c r="G5" s="447">
        <v>-1400390</v>
      </c>
      <c r="H5" s="448">
        <v>0</v>
      </c>
      <c r="I5" s="448">
        <v>0</v>
      </c>
      <c r="J5" s="448">
        <v>0</v>
      </c>
      <c r="K5" s="448">
        <v>0</v>
      </c>
      <c r="L5" s="448">
        <v>0</v>
      </c>
      <c r="M5" s="447">
        <f>SUM(B5:L5)</f>
        <v>-1400390</v>
      </c>
    </row>
    <row r="6" spans="1:13">
      <c r="A6" s="467" t="s">
        <v>119</v>
      </c>
      <c r="B6" s="448">
        <v>0</v>
      </c>
      <c r="C6" s="448">
        <v>0</v>
      </c>
      <c r="D6" s="448">
        <v>0</v>
      </c>
      <c r="E6" s="448">
        <v>0</v>
      </c>
      <c r="F6" s="448">
        <v>0</v>
      </c>
      <c r="G6" s="448">
        <v>0</v>
      </c>
      <c r="H6" s="448">
        <v>0</v>
      </c>
      <c r="I6" s="448">
        <v>0</v>
      </c>
      <c r="J6" s="448">
        <v>0</v>
      </c>
      <c r="K6" s="448">
        <v>0</v>
      </c>
      <c r="L6" s="448">
        <v>0</v>
      </c>
      <c r="M6" s="448">
        <f>SUM(B6:L6)</f>
        <v>0</v>
      </c>
    </row>
    <row r="7" spans="1:13">
      <c r="A7" s="467" t="s">
        <v>162</v>
      </c>
      <c r="B7" s="448">
        <v>0</v>
      </c>
      <c r="C7" s="448">
        <v>0</v>
      </c>
      <c r="D7" s="448">
        <v>0</v>
      </c>
      <c r="E7" s="448">
        <v>0</v>
      </c>
      <c r="F7" s="448">
        <v>0</v>
      </c>
      <c r="G7" s="448">
        <f>-5712904-903833-9869620</f>
        <v>-16486357</v>
      </c>
      <c r="H7" s="448">
        <v>0</v>
      </c>
      <c r="I7" s="448">
        <v>0</v>
      </c>
      <c r="J7" s="448">
        <v>0</v>
      </c>
      <c r="K7" s="448">
        <v>884038</v>
      </c>
      <c r="L7" s="448">
        <v>9869620</v>
      </c>
      <c r="M7" s="448">
        <f t="shared" ref="M7:M17" si="0">SUM(B7:L7)</f>
        <v>-5732699</v>
      </c>
    </row>
    <row r="8" spans="1:13">
      <c r="A8" s="467" t="s">
        <v>160</v>
      </c>
      <c r="B8" s="448">
        <v>-1201023</v>
      </c>
      <c r="C8" s="448">
        <v>0</v>
      </c>
      <c r="D8" s="448">
        <v>0</v>
      </c>
      <c r="E8" s="448">
        <v>0</v>
      </c>
      <c r="F8" s="448">
        <v>0</v>
      </c>
      <c r="G8" s="448">
        <f>-1695140-771988-5075978</f>
        <v>-7543106</v>
      </c>
      <c r="H8" s="448">
        <v>0</v>
      </c>
      <c r="I8" s="448">
        <v>0</v>
      </c>
      <c r="J8" s="448">
        <v>54030</v>
      </c>
      <c r="K8" s="448">
        <v>755081</v>
      </c>
      <c r="L8" s="448">
        <v>5075978</v>
      </c>
      <c r="M8" s="448">
        <f t="shared" si="0"/>
        <v>-2859040</v>
      </c>
    </row>
    <row r="9" spans="1:13">
      <c r="A9" s="467" t="s">
        <v>60</v>
      </c>
      <c r="B9" s="448">
        <v>0</v>
      </c>
      <c r="C9" s="448">
        <v>0</v>
      </c>
      <c r="D9" s="448">
        <v>0</v>
      </c>
      <c r="E9" s="448">
        <v>0</v>
      </c>
      <c r="F9" s="448">
        <v>0</v>
      </c>
      <c r="G9" s="448">
        <v>0</v>
      </c>
      <c r="H9" s="448">
        <v>0</v>
      </c>
      <c r="I9" s="448">
        <v>0</v>
      </c>
      <c r="J9" s="448">
        <v>0</v>
      </c>
      <c r="K9" s="448">
        <v>0</v>
      </c>
      <c r="L9" s="448">
        <v>0</v>
      </c>
      <c r="M9" s="448">
        <f t="shared" si="0"/>
        <v>0</v>
      </c>
    </row>
    <row r="10" spans="1:13">
      <c r="A10" s="467" t="s">
        <v>29</v>
      </c>
      <c r="B10" s="448">
        <v>0</v>
      </c>
      <c r="C10" s="448">
        <v>0</v>
      </c>
      <c r="D10" s="448">
        <v>0</v>
      </c>
      <c r="E10" s="448">
        <v>0</v>
      </c>
      <c r="F10" s="448">
        <v>0</v>
      </c>
      <c r="G10" s="448">
        <v>-1536219</v>
      </c>
      <c r="H10" s="448">
        <v>0</v>
      </c>
      <c r="I10" s="448">
        <v>0</v>
      </c>
      <c r="J10" s="448">
        <v>0</v>
      </c>
      <c r="K10" s="448">
        <v>0</v>
      </c>
      <c r="L10" s="448">
        <v>0</v>
      </c>
      <c r="M10" s="448">
        <f t="shared" si="0"/>
        <v>-1536219</v>
      </c>
    </row>
    <row r="11" spans="1:13">
      <c r="A11" s="467" t="s">
        <v>168</v>
      </c>
      <c r="B11" s="448">
        <v>0</v>
      </c>
      <c r="C11" s="448">
        <v>0</v>
      </c>
      <c r="D11" s="448">
        <v>0</v>
      </c>
      <c r="E11" s="448">
        <v>0</v>
      </c>
      <c r="F11" s="448">
        <v>0</v>
      </c>
      <c r="G11" s="448">
        <v>-1337743</v>
      </c>
      <c r="H11" s="448">
        <v>0</v>
      </c>
      <c r="I11" s="448">
        <v>0</v>
      </c>
      <c r="J11" s="448">
        <v>29297</v>
      </c>
      <c r="K11" s="448">
        <v>0</v>
      </c>
      <c r="L11" s="448">
        <v>0</v>
      </c>
      <c r="M11" s="448">
        <f t="shared" si="0"/>
        <v>-1308446</v>
      </c>
    </row>
    <row r="12" spans="1:13">
      <c r="A12" s="467" t="s">
        <v>30</v>
      </c>
      <c r="B12" s="448">
        <v>0</v>
      </c>
      <c r="C12" s="448">
        <v>0</v>
      </c>
      <c r="D12" s="448">
        <v>0</v>
      </c>
      <c r="E12" s="448">
        <v>0</v>
      </c>
      <c r="F12" s="448">
        <v>0</v>
      </c>
      <c r="G12" s="448">
        <v>-6249548</v>
      </c>
      <c r="H12" s="448">
        <v>0</v>
      </c>
      <c r="I12" s="448">
        <v>0</v>
      </c>
      <c r="J12" s="448">
        <v>0</v>
      </c>
      <c r="K12" s="448">
        <v>0</v>
      </c>
      <c r="L12" s="448">
        <v>0</v>
      </c>
      <c r="M12" s="448">
        <f t="shared" si="0"/>
        <v>-6249548</v>
      </c>
    </row>
    <row r="13" spans="1:13">
      <c r="A13" s="467" t="s">
        <v>19</v>
      </c>
      <c r="B13" s="448">
        <v>0</v>
      </c>
      <c r="C13" s="448">
        <v>-1333200</v>
      </c>
      <c r="D13" s="448">
        <v>0</v>
      </c>
      <c r="E13" s="448">
        <v>0</v>
      </c>
      <c r="F13" s="448">
        <v>0</v>
      </c>
      <c r="G13" s="448">
        <v>0</v>
      </c>
      <c r="H13" s="448">
        <v>-41577618</v>
      </c>
      <c r="I13" s="448">
        <v>-357601319</v>
      </c>
      <c r="J13" s="448">
        <v>7918459</v>
      </c>
      <c r="K13" s="448">
        <v>-1639119</v>
      </c>
      <c r="L13" s="448">
        <v>-14945598</v>
      </c>
      <c r="M13" s="448">
        <f t="shared" si="0"/>
        <v>-409178395</v>
      </c>
    </row>
    <row r="14" spans="1:13">
      <c r="A14" s="467" t="s">
        <v>10</v>
      </c>
      <c r="B14" s="448">
        <v>0</v>
      </c>
      <c r="C14" s="448">
        <v>0</v>
      </c>
      <c r="D14" s="448">
        <v>0</v>
      </c>
      <c r="E14" s="448">
        <v>0</v>
      </c>
      <c r="F14" s="448">
        <v>0</v>
      </c>
      <c r="G14" s="448">
        <v>-14741918</v>
      </c>
      <c r="H14" s="448">
        <v>0</v>
      </c>
      <c r="I14" s="448">
        <v>0</v>
      </c>
      <c r="J14" s="448">
        <v>322848</v>
      </c>
      <c r="K14" s="448">
        <v>0</v>
      </c>
      <c r="L14" s="448">
        <v>0</v>
      </c>
      <c r="M14" s="448">
        <f t="shared" si="0"/>
        <v>-14419070</v>
      </c>
    </row>
    <row r="15" spans="1:13">
      <c r="A15" s="467" t="s">
        <v>28</v>
      </c>
      <c r="B15" s="448">
        <v>0</v>
      </c>
      <c r="C15" s="448">
        <v>0</v>
      </c>
      <c r="D15" s="448">
        <v>0</v>
      </c>
      <c r="E15" s="448">
        <v>0</v>
      </c>
      <c r="F15" s="448">
        <v>0</v>
      </c>
      <c r="G15" s="448">
        <v>-14882398</v>
      </c>
      <c r="H15" s="448">
        <v>0</v>
      </c>
      <c r="I15" s="448">
        <v>0</v>
      </c>
      <c r="J15" s="448">
        <v>0</v>
      </c>
      <c r="K15" s="448">
        <v>0</v>
      </c>
      <c r="L15" s="448">
        <v>0</v>
      </c>
      <c r="M15" s="448">
        <f t="shared" si="0"/>
        <v>-14882398</v>
      </c>
    </row>
    <row r="16" spans="1:13">
      <c r="A16" s="467" t="s">
        <v>26</v>
      </c>
      <c r="B16" s="448">
        <v>0</v>
      </c>
      <c r="C16" s="448">
        <v>0</v>
      </c>
      <c r="D16" s="448">
        <v>0</v>
      </c>
      <c r="E16" s="448">
        <v>0</v>
      </c>
      <c r="F16" s="448">
        <v>0</v>
      </c>
      <c r="G16" s="448">
        <v>-1125869</v>
      </c>
      <c r="H16" s="448">
        <v>0</v>
      </c>
      <c r="I16" s="448">
        <v>0</v>
      </c>
      <c r="J16" s="448">
        <v>24657</v>
      </c>
      <c r="K16" s="448">
        <v>0</v>
      </c>
      <c r="L16" s="448">
        <v>0</v>
      </c>
      <c r="M16" s="448">
        <f t="shared" si="0"/>
        <v>-1101212</v>
      </c>
    </row>
    <row r="17" spans="1:14">
      <c r="A17" s="467" t="s">
        <v>32</v>
      </c>
      <c r="B17" s="450">
        <v>0</v>
      </c>
      <c r="C17" s="450">
        <v>0</v>
      </c>
      <c r="D17" s="450">
        <v>0</v>
      </c>
      <c r="E17" s="448">
        <v>0</v>
      </c>
      <c r="F17" s="450">
        <v>0</v>
      </c>
      <c r="G17" s="450">
        <v>-2321726</v>
      </c>
      <c r="H17" s="448">
        <v>0</v>
      </c>
      <c r="I17" s="448">
        <v>0</v>
      </c>
      <c r="J17" s="448">
        <v>0</v>
      </c>
      <c r="K17" s="448">
        <v>0</v>
      </c>
      <c r="L17" s="448">
        <v>0</v>
      </c>
      <c r="M17" s="448">
        <f t="shared" si="0"/>
        <v>-2321726</v>
      </c>
    </row>
    <row r="18" spans="1:14">
      <c r="A18" s="470" t="s">
        <v>678</v>
      </c>
      <c r="B18" s="456">
        <f t="shared" ref="B18:M18" si="1">SUM(B5:B17)</f>
        <v>-1201023</v>
      </c>
      <c r="C18" s="456">
        <f t="shared" si="1"/>
        <v>-1333200</v>
      </c>
      <c r="D18" s="456">
        <f t="shared" si="1"/>
        <v>0</v>
      </c>
      <c r="E18" s="456">
        <f t="shared" si="1"/>
        <v>0</v>
      </c>
      <c r="F18" s="456">
        <f t="shared" si="1"/>
        <v>0</v>
      </c>
      <c r="G18" s="456">
        <f t="shared" si="1"/>
        <v>-67625274</v>
      </c>
      <c r="H18" s="456">
        <f t="shared" si="1"/>
        <v>-41577618</v>
      </c>
      <c r="I18" s="456">
        <f t="shared" si="1"/>
        <v>-357601319</v>
      </c>
      <c r="J18" s="456">
        <f t="shared" si="1"/>
        <v>8349291</v>
      </c>
      <c r="K18" s="456">
        <f t="shared" si="1"/>
        <v>0</v>
      </c>
      <c r="L18" s="456">
        <f t="shared" si="1"/>
        <v>0</v>
      </c>
      <c r="M18" s="456">
        <f t="shared" si="1"/>
        <v>-460989143</v>
      </c>
    </row>
    <row r="19" spans="1:14">
      <c r="B19" s="459"/>
      <c r="C19" s="459"/>
      <c r="D19" s="459"/>
      <c r="E19" s="459"/>
      <c r="F19" s="459"/>
      <c r="G19" s="459"/>
      <c r="H19" s="459"/>
      <c r="I19" s="459"/>
      <c r="J19" s="459"/>
    </row>
    <row r="20" spans="1:14">
      <c r="A20" s="469" t="s">
        <v>45</v>
      </c>
      <c r="B20" s="453">
        <v>0</v>
      </c>
      <c r="C20" s="453">
        <v>0</v>
      </c>
      <c r="D20" s="453">
        <v>0</v>
      </c>
      <c r="E20" s="453">
        <v>0</v>
      </c>
      <c r="F20" s="453">
        <v>-278447609</v>
      </c>
      <c r="G20" s="453">
        <v>0</v>
      </c>
      <c r="H20" s="453">
        <v>0</v>
      </c>
      <c r="I20" s="453">
        <v>0</v>
      </c>
      <c r="J20" s="453">
        <v>0</v>
      </c>
      <c r="K20" s="453">
        <v>0</v>
      </c>
      <c r="L20" s="453">
        <v>0</v>
      </c>
      <c r="M20" s="453">
        <f>SUM(B20:L20)</f>
        <v>-278447609</v>
      </c>
    </row>
    <row r="22" spans="1:14">
      <c r="A22" s="469" t="s">
        <v>681</v>
      </c>
      <c r="B22" s="456">
        <f t="shared" ref="B22:M22" si="2">+B20+B18</f>
        <v>-1201023</v>
      </c>
      <c r="C22" s="456">
        <f t="shared" si="2"/>
        <v>-1333200</v>
      </c>
      <c r="D22" s="456">
        <f t="shared" si="2"/>
        <v>0</v>
      </c>
      <c r="E22" s="456">
        <f t="shared" si="2"/>
        <v>0</v>
      </c>
      <c r="F22" s="456">
        <f t="shared" si="2"/>
        <v>-278447609</v>
      </c>
      <c r="G22" s="456">
        <f t="shared" si="2"/>
        <v>-67625274</v>
      </c>
      <c r="H22" s="456">
        <f t="shared" si="2"/>
        <v>-41577618</v>
      </c>
      <c r="I22" s="456">
        <f t="shared" si="2"/>
        <v>-357601319</v>
      </c>
      <c r="J22" s="456">
        <f t="shared" si="2"/>
        <v>8349291</v>
      </c>
      <c r="K22" s="456">
        <f t="shared" si="2"/>
        <v>0</v>
      </c>
      <c r="L22" s="456">
        <f t="shared" si="2"/>
        <v>0</v>
      </c>
      <c r="M22" s="456">
        <f t="shared" si="2"/>
        <v>-739436752</v>
      </c>
    </row>
    <row r="26" spans="1:14" ht="63" customHeight="1">
      <c r="A26" s="443" t="s">
        <v>659</v>
      </c>
      <c r="B26" s="443" t="s">
        <v>672</v>
      </c>
      <c r="C26" s="443" t="s">
        <v>653</v>
      </c>
      <c r="D26" s="443" t="s">
        <v>663</v>
      </c>
      <c r="E26" s="443" t="s">
        <v>664</v>
      </c>
      <c r="F26" s="443" t="s">
        <v>665</v>
      </c>
      <c r="G26" s="443" t="s">
        <v>657</v>
      </c>
      <c r="H26" s="443" t="s">
        <v>666</v>
      </c>
      <c r="I26" s="443" t="s">
        <v>667</v>
      </c>
      <c r="J26" s="443" t="s">
        <v>668</v>
      </c>
      <c r="K26" s="443" t="s">
        <v>669</v>
      </c>
      <c r="L26" s="443" t="s">
        <v>670</v>
      </c>
      <c r="M26" s="443" t="s">
        <v>94</v>
      </c>
      <c r="N26" s="443" t="s">
        <v>717</v>
      </c>
    </row>
    <row r="27" spans="1:14">
      <c r="A27" s="463"/>
      <c r="B27" s="444">
        <v>5.3</v>
      </c>
      <c r="C27" s="444">
        <v>5.5</v>
      </c>
      <c r="D27" s="444">
        <v>6.4</v>
      </c>
      <c r="E27" s="445" t="s">
        <v>633</v>
      </c>
      <c r="F27" s="444">
        <v>7.12</v>
      </c>
      <c r="G27" s="444">
        <v>8.4</v>
      </c>
      <c r="H27" s="444">
        <v>8.1199999999999992</v>
      </c>
      <c r="I27" s="444">
        <v>8.1300000000000008</v>
      </c>
      <c r="J27" s="444">
        <v>9.1</v>
      </c>
      <c r="K27" s="444">
        <v>9.1999999999999993</v>
      </c>
      <c r="L27" s="444">
        <v>9.3000000000000007</v>
      </c>
      <c r="M27" s="444"/>
      <c r="N27" s="463"/>
    </row>
    <row r="28" spans="1:14">
      <c r="A28" s="486"/>
      <c r="B28" s="444" t="s">
        <v>673</v>
      </c>
      <c r="C28" s="444" t="s">
        <v>673</v>
      </c>
      <c r="D28" s="444" t="s">
        <v>673</v>
      </c>
      <c r="E28" s="444" t="s">
        <v>673</v>
      </c>
      <c r="F28" s="444" t="s">
        <v>673</v>
      </c>
      <c r="G28" s="444" t="s">
        <v>673</v>
      </c>
      <c r="H28" s="444" t="s">
        <v>673</v>
      </c>
      <c r="I28" s="444" t="s">
        <v>673</v>
      </c>
      <c r="J28" s="444" t="s">
        <v>673</v>
      </c>
      <c r="K28" s="444" t="s">
        <v>673</v>
      </c>
      <c r="L28" s="444" t="s">
        <v>673</v>
      </c>
      <c r="M28" s="444" t="s">
        <v>673</v>
      </c>
      <c r="N28" s="444" t="s">
        <v>673</v>
      </c>
    </row>
    <row r="29" spans="1:14">
      <c r="A29" s="471" t="s">
        <v>17</v>
      </c>
      <c r="B29" s="447">
        <v>0</v>
      </c>
      <c r="C29" s="447">
        <v>0</v>
      </c>
      <c r="D29" s="447">
        <v>0</v>
      </c>
      <c r="E29" s="448">
        <v>0</v>
      </c>
      <c r="F29" s="447">
        <v>0</v>
      </c>
      <c r="G29" s="447">
        <v>0</v>
      </c>
      <c r="H29" s="448">
        <v>0</v>
      </c>
      <c r="I29" s="448">
        <v>0</v>
      </c>
      <c r="J29" s="448">
        <v>0</v>
      </c>
      <c r="K29" s="448">
        <v>0</v>
      </c>
      <c r="L29" s="448">
        <v>0</v>
      </c>
      <c r="M29" s="447">
        <f>SUM(B29:L29)</f>
        <v>0</v>
      </c>
      <c r="N29" s="473">
        <v>0</v>
      </c>
    </row>
    <row r="30" spans="1:14">
      <c r="A30" s="467" t="s">
        <v>119</v>
      </c>
      <c r="B30" s="448">
        <v>0</v>
      </c>
      <c r="C30" s="448">
        <v>0</v>
      </c>
      <c r="D30" s="448">
        <v>0</v>
      </c>
      <c r="E30" s="448">
        <v>0</v>
      </c>
      <c r="F30" s="448">
        <v>0</v>
      </c>
      <c r="G30" s="448">
        <v>0</v>
      </c>
      <c r="H30" s="448">
        <v>0</v>
      </c>
      <c r="I30" s="448">
        <v>0</v>
      </c>
      <c r="J30" s="448">
        <v>0</v>
      </c>
      <c r="K30" s="448">
        <v>0</v>
      </c>
      <c r="L30" s="448">
        <v>0</v>
      </c>
      <c r="M30" s="448">
        <f>SUM(B30:L30)</f>
        <v>0</v>
      </c>
      <c r="N30" s="464">
        <v>0</v>
      </c>
    </row>
    <row r="31" spans="1:14">
      <c r="A31" s="467" t="s">
        <v>162</v>
      </c>
      <c r="B31" s="448">
        <v>0</v>
      </c>
      <c r="C31" s="448">
        <v>0</v>
      </c>
      <c r="D31" s="448">
        <v>0</v>
      </c>
      <c r="E31" s="448">
        <v>0</v>
      </c>
      <c r="F31" s="448">
        <v>0</v>
      </c>
      <c r="G31" s="448">
        <v>0</v>
      </c>
      <c r="H31" s="448">
        <v>0</v>
      </c>
      <c r="I31" s="448">
        <v>0</v>
      </c>
      <c r="J31" s="448">
        <v>0</v>
      </c>
      <c r="K31" s="448">
        <v>0</v>
      </c>
      <c r="L31" s="448">
        <v>0</v>
      </c>
      <c r="M31" s="448">
        <f t="shared" ref="M31:M41" si="3">SUM(B31:L31)</f>
        <v>0</v>
      </c>
      <c r="N31" s="464">
        <v>0</v>
      </c>
    </row>
    <row r="32" spans="1:14">
      <c r="A32" s="467" t="s">
        <v>160</v>
      </c>
      <c r="B32" s="448">
        <f t="shared" ref="B32:L32" si="4">ROUND(B8*$N$32,0)</f>
        <v>-259147</v>
      </c>
      <c r="C32" s="448">
        <f t="shared" si="4"/>
        <v>0</v>
      </c>
      <c r="D32" s="448">
        <f t="shared" si="4"/>
        <v>0</v>
      </c>
      <c r="E32" s="448">
        <f t="shared" si="4"/>
        <v>0</v>
      </c>
      <c r="F32" s="448">
        <f t="shared" si="4"/>
        <v>0</v>
      </c>
      <c r="G32" s="448">
        <f t="shared" si="4"/>
        <v>-1627591</v>
      </c>
      <c r="H32" s="448">
        <f t="shared" si="4"/>
        <v>0</v>
      </c>
      <c r="I32" s="448">
        <f t="shared" si="4"/>
        <v>0</v>
      </c>
      <c r="J32" s="448">
        <f t="shared" si="4"/>
        <v>11658</v>
      </c>
      <c r="K32" s="448">
        <f t="shared" si="4"/>
        <v>162925</v>
      </c>
      <c r="L32" s="448">
        <f t="shared" si="4"/>
        <v>1095254</v>
      </c>
      <c r="M32" s="448">
        <f t="shared" si="3"/>
        <v>-616901</v>
      </c>
      <c r="N32" s="464">
        <f>VLOOKUP(A32,'Allocation Factors'!$B$3:$N$89,5,FALSE)</f>
        <v>0.21577192756641544</v>
      </c>
    </row>
    <row r="33" spans="1:14">
      <c r="A33" s="467" t="s">
        <v>60</v>
      </c>
      <c r="B33" s="448">
        <f t="shared" ref="B33:L33" si="5">ROUND(B9*$N$33,0)</f>
        <v>0</v>
      </c>
      <c r="C33" s="448">
        <f t="shared" si="5"/>
        <v>0</v>
      </c>
      <c r="D33" s="448">
        <f t="shared" si="5"/>
        <v>0</v>
      </c>
      <c r="E33" s="448">
        <f t="shared" si="5"/>
        <v>0</v>
      </c>
      <c r="F33" s="448">
        <f t="shared" si="5"/>
        <v>0</v>
      </c>
      <c r="G33" s="448">
        <f t="shared" si="5"/>
        <v>0</v>
      </c>
      <c r="H33" s="448">
        <f t="shared" si="5"/>
        <v>0</v>
      </c>
      <c r="I33" s="448">
        <f t="shared" si="5"/>
        <v>0</v>
      </c>
      <c r="J33" s="448">
        <f t="shared" si="5"/>
        <v>0</v>
      </c>
      <c r="K33" s="448">
        <f t="shared" si="5"/>
        <v>0</v>
      </c>
      <c r="L33" s="448">
        <f t="shared" si="5"/>
        <v>0</v>
      </c>
      <c r="M33" s="448">
        <f t="shared" si="3"/>
        <v>0</v>
      </c>
      <c r="N33" s="464">
        <f>VLOOKUP(A33,'Allocation Factors'!$B$3:$N$89,5,FALSE)</f>
        <v>6.9360885492844845E-2</v>
      </c>
    </row>
    <row r="34" spans="1:14">
      <c r="A34" s="467" t="s">
        <v>29</v>
      </c>
      <c r="B34" s="448">
        <v>0</v>
      </c>
      <c r="C34" s="448">
        <v>0</v>
      </c>
      <c r="D34" s="448">
        <v>0</v>
      </c>
      <c r="E34" s="448">
        <v>0</v>
      </c>
      <c r="F34" s="448">
        <v>0</v>
      </c>
      <c r="G34" s="448">
        <v>0</v>
      </c>
      <c r="H34" s="448">
        <v>0</v>
      </c>
      <c r="I34" s="448">
        <v>0</v>
      </c>
      <c r="J34" s="448">
        <v>0</v>
      </c>
      <c r="K34" s="448">
        <v>0</v>
      </c>
      <c r="L34" s="448">
        <v>0</v>
      </c>
      <c r="M34" s="448">
        <f t="shared" si="3"/>
        <v>0</v>
      </c>
      <c r="N34" s="464">
        <v>0</v>
      </c>
    </row>
    <row r="35" spans="1:14">
      <c r="A35" s="467" t="s">
        <v>168</v>
      </c>
      <c r="B35" s="448">
        <f t="shared" ref="B35:L35" si="6">ROUND(B11*$N$35,0)</f>
        <v>0</v>
      </c>
      <c r="C35" s="448">
        <f t="shared" si="6"/>
        <v>0</v>
      </c>
      <c r="D35" s="448">
        <f t="shared" si="6"/>
        <v>0</v>
      </c>
      <c r="E35" s="448">
        <f t="shared" si="6"/>
        <v>0</v>
      </c>
      <c r="F35" s="448">
        <f t="shared" si="6"/>
        <v>0</v>
      </c>
      <c r="G35" s="448">
        <f t="shared" si="6"/>
        <v>-288647</v>
      </c>
      <c r="H35" s="448">
        <f t="shared" si="6"/>
        <v>0</v>
      </c>
      <c r="I35" s="448">
        <f t="shared" si="6"/>
        <v>0</v>
      </c>
      <c r="J35" s="448">
        <f t="shared" si="6"/>
        <v>6321</v>
      </c>
      <c r="K35" s="448">
        <f t="shared" si="6"/>
        <v>0</v>
      </c>
      <c r="L35" s="448">
        <f t="shared" si="6"/>
        <v>0</v>
      </c>
      <c r="M35" s="448">
        <f t="shared" si="3"/>
        <v>-282326</v>
      </c>
      <c r="N35" s="464">
        <f>VLOOKUP(A35,'Allocation Factors'!$B$3:$N$89,5,FALSE)</f>
        <v>0.21577192756641544</v>
      </c>
    </row>
    <row r="36" spans="1:14">
      <c r="A36" s="467" t="s">
        <v>30</v>
      </c>
      <c r="B36" s="448">
        <v>0</v>
      </c>
      <c r="C36" s="448">
        <v>0</v>
      </c>
      <c r="D36" s="448">
        <v>0</v>
      </c>
      <c r="E36" s="448">
        <v>0</v>
      </c>
      <c r="F36" s="448">
        <v>0</v>
      </c>
      <c r="G36" s="448">
        <v>0</v>
      </c>
      <c r="H36" s="448">
        <v>0</v>
      </c>
      <c r="I36" s="448">
        <v>0</v>
      </c>
      <c r="J36" s="448">
        <v>0</v>
      </c>
      <c r="K36" s="448">
        <v>0</v>
      </c>
      <c r="L36" s="448">
        <v>0</v>
      </c>
      <c r="M36" s="448">
        <f t="shared" si="3"/>
        <v>0</v>
      </c>
      <c r="N36" s="464">
        <v>0</v>
      </c>
    </row>
    <row r="37" spans="1:14">
      <c r="A37" s="467" t="s">
        <v>19</v>
      </c>
      <c r="B37" s="448">
        <f t="shared" ref="B37:L37" si="7">ROUND(B13*$N$37,0)</f>
        <v>0</v>
      </c>
      <c r="C37" s="448">
        <f t="shared" si="7"/>
        <v>-104138</v>
      </c>
      <c r="D37" s="448">
        <f t="shared" si="7"/>
        <v>0</v>
      </c>
      <c r="E37" s="448">
        <f t="shared" si="7"/>
        <v>0</v>
      </c>
      <c r="F37" s="448">
        <f t="shared" si="7"/>
        <v>0</v>
      </c>
      <c r="G37" s="448">
        <f t="shared" si="7"/>
        <v>0</v>
      </c>
      <c r="H37" s="448">
        <f t="shared" si="7"/>
        <v>-3247671</v>
      </c>
      <c r="I37" s="448">
        <f t="shared" si="7"/>
        <v>-27932611</v>
      </c>
      <c r="J37" s="448">
        <f t="shared" si="7"/>
        <v>618519</v>
      </c>
      <c r="K37" s="448">
        <f t="shared" si="7"/>
        <v>-128033</v>
      </c>
      <c r="L37" s="448">
        <f t="shared" si="7"/>
        <v>-1167416</v>
      </c>
      <c r="M37" s="448">
        <f t="shared" si="3"/>
        <v>-31961350</v>
      </c>
      <c r="N37" s="464">
        <f>VLOOKUP(A37,'Allocation Factors'!$B$3:$N$89,5,FALSE)</f>
        <v>7.8111041399714837E-2</v>
      </c>
    </row>
    <row r="38" spans="1:14">
      <c r="A38" s="467" t="s">
        <v>10</v>
      </c>
      <c r="B38" s="448">
        <f t="shared" ref="B38:L38" si="8">ROUND(B14*$N$38,0)</f>
        <v>0</v>
      </c>
      <c r="C38" s="448">
        <f t="shared" si="8"/>
        <v>0</v>
      </c>
      <c r="D38" s="448">
        <f t="shared" si="8"/>
        <v>0</v>
      </c>
      <c r="E38" s="448">
        <f t="shared" si="8"/>
        <v>0</v>
      </c>
      <c r="F38" s="448">
        <f t="shared" si="8"/>
        <v>0</v>
      </c>
      <c r="G38" s="448">
        <f t="shared" si="8"/>
        <v>-987968</v>
      </c>
      <c r="H38" s="448">
        <f t="shared" si="8"/>
        <v>0</v>
      </c>
      <c r="I38" s="448">
        <f t="shared" si="8"/>
        <v>0</v>
      </c>
      <c r="J38" s="448">
        <f t="shared" si="8"/>
        <v>21637</v>
      </c>
      <c r="K38" s="448">
        <f t="shared" si="8"/>
        <v>0</v>
      </c>
      <c r="L38" s="448">
        <f t="shared" si="8"/>
        <v>0</v>
      </c>
      <c r="M38" s="448">
        <f t="shared" si="3"/>
        <v>-966331</v>
      </c>
      <c r="N38" s="464">
        <f>VLOOKUP(A38,'Allocation Factors'!$B$3:$N$89,5,FALSE)</f>
        <v>6.7017620954721469E-2</v>
      </c>
    </row>
    <row r="39" spans="1:14">
      <c r="A39" s="467" t="s">
        <v>28</v>
      </c>
      <c r="B39" s="448">
        <v>0</v>
      </c>
      <c r="C39" s="448">
        <v>0</v>
      </c>
      <c r="D39" s="448">
        <v>0</v>
      </c>
      <c r="E39" s="448">
        <v>0</v>
      </c>
      <c r="F39" s="448">
        <v>0</v>
      </c>
      <c r="G39" s="448">
        <v>0</v>
      </c>
      <c r="H39" s="448">
        <v>0</v>
      </c>
      <c r="I39" s="448">
        <v>0</v>
      </c>
      <c r="J39" s="448">
        <v>0</v>
      </c>
      <c r="K39" s="448">
        <v>0</v>
      </c>
      <c r="L39" s="448">
        <v>0</v>
      </c>
      <c r="M39" s="448">
        <f t="shared" si="3"/>
        <v>0</v>
      </c>
      <c r="N39" s="464">
        <v>0</v>
      </c>
    </row>
    <row r="40" spans="1:14">
      <c r="A40" s="467" t="s">
        <v>26</v>
      </c>
      <c r="B40" s="448">
        <v>0</v>
      </c>
      <c r="C40" s="448">
        <v>0</v>
      </c>
      <c r="D40" s="448">
        <v>0</v>
      </c>
      <c r="E40" s="448">
        <v>0</v>
      </c>
      <c r="F40" s="448">
        <v>0</v>
      </c>
      <c r="G40" s="448">
        <v>-1125869</v>
      </c>
      <c r="H40" s="448">
        <v>0</v>
      </c>
      <c r="I40" s="448">
        <v>0</v>
      </c>
      <c r="J40" s="448">
        <v>24657</v>
      </c>
      <c r="K40" s="448">
        <v>0</v>
      </c>
      <c r="L40" s="448">
        <v>0</v>
      </c>
      <c r="M40" s="448">
        <f t="shared" si="3"/>
        <v>-1101212</v>
      </c>
      <c r="N40" s="464">
        <f>VLOOKUP(A40,'Allocation Factors'!$B$3:$N$89,5,FALSE)</f>
        <v>1</v>
      </c>
    </row>
    <row r="41" spans="1:14">
      <c r="A41" s="470" t="s">
        <v>32</v>
      </c>
      <c r="B41" s="450">
        <v>0</v>
      </c>
      <c r="C41" s="450">
        <v>0</v>
      </c>
      <c r="D41" s="450">
        <v>0</v>
      </c>
      <c r="E41" s="448">
        <v>0</v>
      </c>
      <c r="F41" s="450">
        <v>0</v>
      </c>
      <c r="G41" s="450">
        <v>0</v>
      </c>
      <c r="H41" s="448">
        <v>0</v>
      </c>
      <c r="I41" s="448">
        <v>0</v>
      </c>
      <c r="J41" s="448">
        <v>0</v>
      </c>
      <c r="K41" s="448">
        <v>0</v>
      </c>
      <c r="L41" s="448">
        <v>0</v>
      </c>
      <c r="M41" s="448">
        <f t="shared" si="3"/>
        <v>0</v>
      </c>
      <c r="N41" s="474">
        <v>0</v>
      </c>
    </row>
    <row r="42" spans="1:14">
      <c r="A42" s="470" t="s">
        <v>678</v>
      </c>
      <c r="B42" s="456">
        <f t="shared" ref="B42:M42" si="9">SUM(B29:B41)</f>
        <v>-259147</v>
      </c>
      <c r="C42" s="456">
        <f t="shared" si="9"/>
        <v>-104138</v>
      </c>
      <c r="D42" s="456">
        <f t="shared" si="9"/>
        <v>0</v>
      </c>
      <c r="E42" s="456">
        <f t="shared" si="9"/>
        <v>0</v>
      </c>
      <c r="F42" s="456">
        <f t="shared" si="9"/>
        <v>0</v>
      </c>
      <c r="G42" s="456">
        <f t="shared" si="9"/>
        <v>-4030075</v>
      </c>
      <c r="H42" s="456">
        <f t="shared" si="9"/>
        <v>-3247671</v>
      </c>
      <c r="I42" s="456">
        <f t="shared" si="9"/>
        <v>-27932611</v>
      </c>
      <c r="J42" s="456">
        <f t="shared" si="9"/>
        <v>682792</v>
      </c>
      <c r="K42" s="456">
        <f t="shared" si="9"/>
        <v>34892</v>
      </c>
      <c r="L42" s="456">
        <f t="shared" si="9"/>
        <v>-72162</v>
      </c>
      <c r="M42" s="456">
        <f t="shared" si="9"/>
        <v>-34928120</v>
      </c>
      <c r="N42" s="545"/>
    </row>
    <row r="43" spans="1:14">
      <c r="B43" s="459"/>
      <c r="C43" s="459"/>
      <c r="D43" s="459"/>
      <c r="E43" s="459"/>
      <c r="F43" s="459"/>
      <c r="G43" s="459"/>
      <c r="H43" s="459"/>
      <c r="I43" s="459"/>
      <c r="J43" s="459"/>
    </row>
    <row r="44" spans="1:14">
      <c r="A44" s="469" t="s">
        <v>45</v>
      </c>
      <c r="B44" s="453">
        <f t="shared" ref="B44:L44" si="10">ROUND(B20*$N$44,0)</f>
        <v>0</v>
      </c>
      <c r="C44" s="453">
        <f t="shared" si="10"/>
        <v>0</v>
      </c>
      <c r="D44" s="453">
        <f t="shared" si="10"/>
        <v>0</v>
      </c>
      <c r="E44" s="453">
        <f t="shared" si="10"/>
        <v>0</v>
      </c>
      <c r="F44" s="453">
        <f t="shared" si="10"/>
        <v>-17920125</v>
      </c>
      <c r="G44" s="453">
        <f t="shared" si="10"/>
        <v>0</v>
      </c>
      <c r="H44" s="453">
        <f t="shared" si="10"/>
        <v>0</v>
      </c>
      <c r="I44" s="453">
        <f t="shared" si="10"/>
        <v>0</v>
      </c>
      <c r="J44" s="453">
        <f t="shared" si="10"/>
        <v>0</v>
      </c>
      <c r="K44" s="453">
        <f t="shared" si="10"/>
        <v>0</v>
      </c>
      <c r="L44" s="453">
        <f t="shared" si="10"/>
        <v>0</v>
      </c>
      <c r="M44" s="453">
        <f>SUM(B44:L44)</f>
        <v>-17920125</v>
      </c>
      <c r="N44" s="465">
        <f>VLOOKUP(A44,'Allocation Factors'!$B$3:$N$89,5,FALSE)</f>
        <v>6.4357257992723779E-2</v>
      </c>
    </row>
    <row r="46" spans="1:14">
      <c r="A46" s="469" t="s">
        <v>681</v>
      </c>
      <c r="B46" s="456">
        <f t="shared" ref="B46:M46" si="11">+B44+B42</f>
        <v>-259147</v>
      </c>
      <c r="C46" s="456">
        <f t="shared" si="11"/>
        <v>-104138</v>
      </c>
      <c r="D46" s="456">
        <f t="shared" si="11"/>
        <v>0</v>
      </c>
      <c r="E46" s="456">
        <f t="shared" si="11"/>
        <v>0</v>
      </c>
      <c r="F46" s="456">
        <f t="shared" si="11"/>
        <v>-17920125</v>
      </c>
      <c r="G46" s="456">
        <f t="shared" si="11"/>
        <v>-4030075</v>
      </c>
      <c r="H46" s="456">
        <f t="shared" si="11"/>
        <v>-3247671</v>
      </c>
      <c r="I46" s="456">
        <f t="shared" si="11"/>
        <v>-27932611</v>
      </c>
      <c r="J46" s="456">
        <f t="shared" si="11"/>
        <v>682792</v>
      </c>
      <c r="K46" s="456">
        <f t="shared" si="11"/>
        <v>34892</v>
      </c>
      <c r="L46" s="456">
        <f t="shared" si="11"/>
        <v>-72162</v>
      </c>
      <c r="M46" s="456">
        <f t="shared" si="11"/>
        <v>-52848245</v>
      </c>
      <c r="N46" s="545"/>
    </row>
  </sheetData>
  <pageMargins left="0.7" right="0.7" top="0.75" bottom="0.75" header="0.3" footer="0.3"/>
  <pageSetup scale="55" fitToHeight="0" orientation="landscape" r:id="rId1"/>
  <headerFooter>
    <oddHeader>&amp;L&amp;"Arial,Bold"&amp;10PacifiCorp 
Washington - General Rate Case
Twelve Months Ending December 31, 2021
Summary of Property Related &amp;A Adjustments</oddHeader>
    <oddFooter>&amp;L&amp;"Arial,Bold"&amp;10&amp;A&amp;R&amp;"Arial,Bold"&amp;10Page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E56D7FF-633C-44A7-A4D2-2C30BF085265}"/>
</file>

<file path=customXml/itemProps2.xml><?xml version="1.0" encoding="utf-8"?>
<ds:datastoreItem xmlns:ds="http://schemas.openxmlformats.org/officeDocument/2006/customXml" ds:itemID="{9F018C17-C571-4910-9224-36A0A2ABB6D9}"/>
</file>

<file path=customXml/itemProps3.xml><?xml version="1.0" encoding="utf-8"?>
<ds:datastoreItem xmlns:ds="http://schemas.openxmlformats.org/officeDocument/2006/customXml" ds:itemID="{5F0A5980-CBB5-4DB5-A621-6CEB67A06745}"/>
</file>

<file path=customXml/itemProps4.xml><?xml version="1.0" encoding="utf-8"?>
<ds:datastoreItem xmlns:ds="http://schemas.openxmlformats.org/officeDocument/2006/customXml" ds:itemID="{27A9E681-C40B-4834-9264-D6FEC861AA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Results Summary (SCH M)</vt:lpstr>
      <vt:lpstr>Results Summary (DIT EXP)</vt:lpstr>
      <vt:lpstr>Results Summary (ADIT)</vt:lpstr>
      <vt:lpstr>Current Income Tax Expense</vt:lpstr>
      <vt:lpstr>Deferred Income Tax Expense</vt:lpstr>
      <vt:lpstr>Accumulated Deferred Income Tax</vt:lpstr>
      <vt:lpstr>Allocation Factors</vt:lpstr>
      <vt:lpstr>SCHMAT</vt:lpstr>
      <vt:lpstr>SCHMDT</vt:lpstr>
      <vt:lpstr>41010</vt:lpstr>
      <vt:lpstr>41110</vt:lpstr>
      <vt:lpstr>282</vt:lpstr>
      <vt:lpstr>Recon of WA Alloc 282 ADIT</vt:lpstr>
      <vt:lpstr>'Accumulated Deferred Income Tax'!Print_Area</vt:lpstr>
      <vt:lpstr>'Deferred Income Tax Expense'!Print_Area</vt:lpstr>
      <vt:lpstr>'Results Summary (ADIT)'!Print_Area</vt:lpstr>
      <vt:lpstr>'Results Summary (DIT EXP)'!Print_Area</vt:lpstr>
      <vt:lpstr>'Results Summary (SCH M)'!Print_Area</vt:lpstr>
      <vt:lpstr>'Accumulated Deferred Income Tax'!Print_Titles</vt:lpstr>
      <vt:lpstr>'Current Income Tax Expense'!Print_Titles</vt:lpstr>
      <vt:lpstr>'Deferred Income Tax Expense'!Print_Titles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Fuller</dc:creator>
  <cp:lastModifiedBy>Sutherland, Colin</cp:lastModifiedBy>
  <cp:lastPrinted>2019-12-03T21:19:27Z</cp:lastPrinted>
  <dcterms:created xsi:type="dcterms:W3CDTF">2010-10-01T02:36:27Z</dcterms:created>
  <dcterms:modified xsi:type="dcterms:W3CDTF">2019-12-19T23:22:35Z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